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defaultThemeVersion="124226"/>
  <bookViews>
    <workbookView xWindow="4065" yWindow="15" windowWidth="23715" windowHeight="13305" tabRatio="949" activeTab="2"/>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 r:id="rId19"/>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S86" i="15"/>
  <c r="M22"/>
  <c r="S19"/>
  <c r="C58" i="8"/>
  <c r="D58"/>
  <c r="E58"/>
  <c r="F58"/>
  <c r="B58"/>
  <c r="C29"/>
  <c r="D29"/>
  <c r="E29"/>
  <c r="F29"/>
  <c r="G29"/>
  <c r="H29"/>
  <c r="I29"/>
  <c r="J29"/>
  <c r="K29"/>
  <c r="B29"/>
  <c r="L19" i="3" l="1"/>
  <c r="P30" i="15"/>
  <c r="G29"/>
  <c r="P25"/>
  <c r="L20" i="3"/>
  <c r="H37" l="1"/>
  <c r="P114" i="15"/>
  <c r="P112"/>
  <c r="M114"/>
  <c r="M112"/>
  <c r="J114"/>
  <c r="J112"/>
  <c r="G113"/>
  <c r="G31" l="1"/>
  <c r="G30"/>
  <c r="G19" l="1"/>
  <c r="G22"/>
  <c r="M37" i="3" l="1"/>
  <c r="F142" i="36"/>
  <c r="F141"/>
  <c r="P141"/>
  <c r="F157" l="1"/>
  <c r="F144" l="1"/>
  <c r="G96" i="15" l="1"/>
  <c r="G97"/>
  <c r="G98"/>
  <c r="G99"/>
  <c r="G100"/>
  <c r="G101"/>
  <c r="G102"/>
  <c r="G103"/>
  <c r="G95"/>
  <c r="P55"/>
  <c r="S109"/>
  <c r="P14"/>
  <c r="P10"/>
  <c r="P9"/>
  <c r="P8"/>
  <c r="P68" l="1"/>
  <c r="P67"/>
  <c r="P53" l="1"/>
  <c r="J53"/>
  <c r="S53"/>
  <c r="S52"/>
  <c r="P52"/>
  <c r="J52"/>
  <c r="G126" l="1"/>
  <c r="G122"/>
  <c r="G121"/>
  <c r="G120"/>
  <c r="G119"/>
  <c r="G118"/>
  <c r="G117"/>
  <c r="G109"/>
  <c r="G108"/>
  <c r="G107"/>
  <c r="G106"/>
  <c r="G87"/>
  <c r="G89"/>
  <c r="G88"/>
  <c r="G86"/>
  <c r="G85"/>
  <c r="G84"/>
  <c r="G81"/>
  <c r="G80"/>
  <c r="G79"/>
  <c r="G78"/>
  <c r="G75"/>
  <c r="G74"/>
  <c r="G73"/>
  <c r="G72"/>
  <c r="G71"/>
  <c r="G70"/>
  <c r="G69"/>
  <c r="G67"/>
  <c r="G62"/>
  <c r="G61"/>
  <c r="G60"/>
  <c r="G59"/>
  <c r="G58"/>
  <c r="G57"/>
  <c r="G56"/>
  <c r="G55"/>
  <c r="G54"/>
  <c r="G53"/>
  <c r="G52"/>
  <c r="G40"/>
  <c r="G26"/>
  <c r="G25"/>
  <c r="G21"/>
  <c r="G20"/>
  <c r="G9"/>
  <c r="G10"/>
  <c r="G11"/>
  <c r="G12"/>
  <c r="G13"/>
  <c r="G14"/>
  <c r="G15"/>
  <c r="G16"/>
  <c r="G8"/>
  <c r="L156" i="11" l="1"/>
  <c r="O63"/>
  <c r="M214"/>
  <c r="P211" s="1"/>
  <c r="K214"/>
  <c r="O211" s="1"/>
  <c r="P38"/>
  <c r="O38"/>
  <c r="B28" i="8" l="1"/>
  <c r="M35" i="3"/>
  <c r="M34"/>
  <c r="M33"/>
  <c r="A113" i="11"/>
  <c r="A105"/>
  <c r="A103"/>
  <c r="A102"/>
  <c r="A95"/>
  <c r="A89"/>
  <c r="U61" i="15"/>
  <c r="A61"/>
  <c r="V39"/>
  <c r="O39"/>
  <c r="E36"/>
  <c r="E35"/>
  <c r="S37"/>
  <c r="M37"/>
  <c r="S32"/>
  <c r="P32"/>
  <c r="M32"/>
  <c r="J32"/>
  <c r="G32"/>
  <c r="J35" l="1"/>
  <c r="J34"/>
  <c r="J36"/>
  <c r="B23" i="8"/>
  <c r="B24"/>
  <c r="B25"/>
  <c r="B26"/>
  <c r="A3" i="6"/>
  <c r="H3" s="1"/>
  <c r="M288" i="11"/>
  <c r="S337" i="6"/>
  <c r="J37" i="15" l="1"/>
  <c r="J46" s="1"/>
  <c r="B40" i="8"/>
  <c r="O264" i="11"/>
  <c r="O254"/>
  <c r="O250"/>
  <c r="P264"/>
  <c r="P252" l="1"/>
  <c r="P260"/>
  <c r="P267"/>
  <c r="O252"/>
  <c r="O260"/>
  <c r="O267"/>
  <c r="P250"/>
  <c r="P254"/>
  <c r="M100"/>
  <c r="M99"/>
  <c r="M98"/>
  <c r="M97"/>
  <c r="M106"/>
  <c r="M108"/>
  <c r="M109"/>
  <c r="M110"/>
  <c r="M111"/>
  <c r="M112"/>
  <c r="M107"/>
  <c r="O86"/>
  <c r="L264"/>
  <c r="L234"/>
  <c r="P231"/>
  <c r="O231"/>
  <c r="A4" i="41"/>
  <c r="A2"/>
  <c r="M68" i="11"/>
  <c r="K60" i="6"/>
  <c r="L52" l="1"/>
  <c r="L51"/>
  <c r="L50"/>
  <c r="L49"/>
  <c r="L48"/>
  <c r="G52"/>
  <c r="G51"/>
  <c r="G50"/>
  <c r="G49"/>
  <c r="G48"/>
  <c r="I96" i="11"/>
  <c r="M96" s="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59" i="11" l="1"/>
  <c r="O259"/>
  <c r="I204"/>
  <c r="O162" i="15"/>
  <c r="B97" i="8"/>
  <c r="B96"/>
  <c r="B95"/>
  <c r="B68"/>
  <c r="B67"/>
  <c r="B66"/>
  <c r="K97"/>
  <c r="J97"/>
  <c r="I97"/>
  <c r="H97"/>
  <c r="G97"/>
  <c r="F97"/>
  <c r="E97"/>
  <c r="D97"/>
  <c r="C97"/>
  <c r="K96"/>
  <c r="J96"/>
  <c r="I96"/>
  <c r="H96"/>
  <c r="G96"/>
  <c r="F96"/>
  <c r="E96"/>
  <c r="D96"/>
  <c r="C96"/>
  <c r="K95"/>
  <c r="J95"/>
  <c r="I95"/>
  <c r="H95"/>
  <c r="G95"/>
  <c r="F95"/>
  <c r="E95"/>
  <c r="D95"/>
  <c r="C95"/>
  <c r="C66"/>
  <c r="D66"/>
  <c r="E66"/>
  <c r="F66"/>
  <c r="G66"/>
  <c r="H66"/>
  <c r="I66"/>
  <c r="J66"/>
  <c r="C67"/>
  <c r="D67"/>
  <c r="E67"/>
  <c r="F67"/>
  <c r="G67"/>
  <c r="H67"/>
  <c r="I67"/>
  <c r="J67"/>
  <c r="C68"/>
  <c r="D68"/>
  <c r="E68"/>
  <c r="F68"/>
  <c r="G68"/>
  <c r="H68"/>
  <c r="I68"/>
  <c r="J68"/>
  <c r="K68"/>
  <c r="K67"/>
  <c r="K66"/>
  <c r="D37"/>
  <c r="E37"/>
  <c r="F37"/>
  <c r="G37"/>
  <c r="H37"/>
  <c r="I37"/>
  <c r="J37"/>
  <c r="K37"/>
  <c r="D38"/>
  <c r="E38"/>
  <c r="F38"/>
  <c r="G38"/>
  <c r="H38"/>
  <c r="I38"/>
  <c r="J38"/>
  <c r="K38"/>
  <c r="D39"/>
  <c r="E39"/>
  <c r="F39"/>
  <c r="G39"/>
  <c r="H39"/>
  <c r="I39"/>
  <c r="J39"/>
  <c r="K39"/>
  <c r="C39"/>
  <c r="C38"/>
  <c r="C37"/>
  <c r="B39"/>
  <c r="B38"/>
  <c r="B37"/>
  <c r="V135" i="15"/>
  <c r="N169" i="11"/>
  <c r="N164"/>
  <c r="N136"/>
  <c r="N56"/>
  <c r="P47"/>
  <c r="O47"/>
  <c r="M6" l="1"/>
  <c r="L263"/>
  <c r="A250"/>
  <c r="P240"/>
  <c r="O240"/>
  <c r="K52" i="6" l="1"/>
  <c r="K49"/>
  <c r="K51"/>
  <c r="K48"/>
  <c r="K50"/>
  <c r="O249" i="11"/>
  <c r="P249"/>
  <c r="L204"/>
  <c r="M50" i="6" l="1"/>
  <c r="N50"/>
  <c r="M49"/>
  <c r="N49"/>
  <c r="M51"/>
  <c r="N51"/>
  <c r="N52"/>
  <c r="M52"/>
  <c r="N48"/>
  <c r="K53"/>
  <c r="M48"/>
  <c r="P248" i="11"/>
  <c r="O248"/>
  <c r="O128"/>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32"/>
  <c r="A31"/>
  <c r="K84"/>
  <c r="J84"/>
  <c r="I84"/>
  <c r="H84"/>
  <c r="G84"/>
  <c r="F84"/>
  <c r="E84"/>
  <c r="D84"/>
  <c r="C84"/>
  <c r="B84"/>
  <c r="K83"/>
  <c r="J83"/>
  <c r="I83"/>
  <c r="H83"/>
  <c r="G83"/>
  <c r="F83"/>
  <c r="E83"/>
  <c r="D83"/>
  <c r="C83"/>
  <c r="B83"/>
  <c r="K82"/>
  <c r="J82"/>
  <c r="I82"/>
  <c r="H82"/>
  <c r="G82"/>
  <c r="F82"/>
  <c r="E82"/>
  <c r="D82"/>
  <c r="C82"/>
  <c r="B82"/>
  <c r="K55"/>
  <c r="J55"/>
  <c r="I55"/>
  <c r="H55"/>
  <c r="G55"/>
  <c r="F55"/>
  <c r="E55"/>
  <c r="D55"/>
  <c r="C55"/>
  <c r="B55"/>
  <c r="K54"/>
  <c r="J54"/>
  <c r="I54"/>
  <c r="H54"/>
  <c r="G54"/>
  <c r="F54"/>
  <c r="E54"/>
  <c r="D54"/>
  <c r="C54"/>
  <c r="B54"/>
  <c r="K53"/>
  <c r="J53"/>
  <c r="I53"/>
  <c r="H53"/>
  <c r="G53"/>
  <c r="F53"/>
  <c r="E53"/>
  <c r="D53"/>
  <c r="C53"/>
  <c r="B53"/>
  <c r="K26"/>
  <c r="J26"/>
  <c r="I26"/>
  <c r="H26"/>
  <c r="G26"/>
  <c r="F26"/>
  <c r="E26"/>
  <c r="D26"/>
  <c r="C26"/>
  <c r="K25"/>
  <c r="J25"/>
  <c r="I25"/>
  <c r="H25"/>
  <c r="G25"/>
  <c r="F25"/>
  <c r="E25"/>
  <c r="D25"/>
  <c r="C25"/>
  <c r="K24"/>
  <c r="J24"/>
  <c r="I24"/>
  <c r="H24"/>
  <c r="G24"/>
  <c r="F24"/>
  <c r="E24"/>
  <c r="D24"/>
  <c r="C24"/>
  <c r="N53" i="6" l="1"/>
  <c r="Q15" i="36"/>
  <c r="Q16"/>
  <c r="Q18"/>
  <c r="Q20"/>
  <c r="Q21"/>
  <c r="Q22"/>
  <c r="Q23"/>
  <c r="Q24"/>
  <c r="Q25"/>
  <c r="Q26"/>
  <c r="Q27"/>
  <c r="Q28"/>
  <c r="Q29"/>
  <c r="Q30"/>
  <c r="Q31"/>
  <c r="Q32"/>
  <c r="Q33"/>
  <c r="Q34"/>
  <c r="Q35"/>
  <c r="Q36"/>
  <c r="Q37"/>
  <c r="Q38"/>
  <c r="Q39"/>
  <c r="Q40"/>
  <c r="Q41"/>
  <c r="Q42"/>
  <c r="Q43"/>
  <c r="Q44"/>
  <c r="Q45"/>
  <c r="Q46"/>
  <c r="Q47"/>
  <c r="H49" i="3"/>
  <c r="O45" i="15"/>
  <c r="M17"/>
  <c r="O8" i="11"/>
  <c r="O121"/>
  <c r="O148"/>
  <c r="O279"/>
  <c r="J27" i="7"/>
  <c r="I17" i="29"/>
  <c r="J123" i="15"/>
  <c r="J17"/>
  <c r="J27"/>
  <c r="J63"/>
  <c r="J76"/>
  <c r="J82"/>
  <c r="J115"/>
  <c r="J127"/>
  <c r="J143"/>
  <c r="J147"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3" i="15"/>
  <c r="G17"/>
  <c r="G27"/>
  <c r="G63"/>
  <c r="G76"/>
  <c r="G82"/>
  <c r="G90"/>
  <c r="G104"/>
  <c r="G110"/>
  <c r="G127"/>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E34"/>
  <c r="E33" s="1"/>
  <c r="S17"/>
  <c r="S27"/>
  <c r="S63"/>
  <c r="S76"/>
  <c r="S82"/>
  <c r="S90"/>
  <c r="S104"/>
  <c r="S110"/>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P16"/>
  <c r="P17"/>
  <c r="Q17" s="1"/>
  <c r="P18"/>
  <c r="P19"/>
  <c r="Q19" s="1"/>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11" i="11"/>
  <c r="L169"/>
  <c r="R150"/>
  <c r="R149"/>
  <c r="L220"/>
  <c r="G122"/>
  <c r="M36" i="3"/>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2"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5" i="7"/>
  <c r="M44"/>
  <c r="D10" i="25"/>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L180" i="11"/>
  <c r="P16"/>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P35" i="15" l="1"/>
  <c r="P36"/>
  <c r="P34"/>
  <c r="C40" i="8"/>
  <c r="D40" s="1"/>
  <c r="E40" s="1"/>
  <c r="F40" s="1"/>
  <c r="G40" s="1"/>
  <c r="H40" s="1"/>
  <c r="I40" s="1"/>
  <c r="J40" s="1"/>
  <c r="K40" s="1"/>
  <c r="FW48" i="36"/>
  <c r="J85" s="1"/>
  <c r="A82"/>
  <c r="A1"/>
  <c r="T1" s="1"/>
  <c r="A1" i="7"/>
  <c r="A1" i="8"/>
  <c r="M1" s="1"/>
  <c r="A1" i="18"/>
  <c r="A1" i="6"/>
  <c r="A1" i="3"/>
  <c r="S1" s="1"/>
  <c r="A1" i="11"/>
  <c r="A1" i="15"/>
  <c r="V1" s="1"/>
  <c r="A1" i="42"/>
  <c r="J161" i="15"/>
  <c r="AQ48" i="36"/>
  <c r="AU48"/>
  <c r="H65" s="1"/>
  <c r="AY48"/>
  <c r="L65" s="1"/>
  <c r="BC48"/>
  <c r="K64" s="1"/>
  <c r="AK48"/>
  <c r="H59" s="1"/>
  <c r="AZ48"/>
  <c r="H64" s="1"/>
  <c r="H66" s="1"/>
  <c r="F36" i="15"/>
  <c r="M129"/>
  <c r="M146" s="1"/>
  <c r="M148" s="1"/>
  <c r="M150" s="1"/>
  <c r="J129"/>
  <c r="J146" s="1"/>
  <c r="J148" s="1"/>
  <c r="J150"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AX48"/>
  <c r="K65" s="1"/>
  <c r="BB48"/>
  <c r="J64" s="1"/>
  <c r="BG48"/>
  <c r="AN48"/>
  <c r="K59" s="1"/>
  <c r="AE48"/>
  <c r="L57" s="1"/>
  <c r="AC48"/>
  <c r="J57" s="1"/>
  <c r="AA48"/>
  <c r="H57" s="1"/>
  <c r="FY48"/>
  <c r="L85" s="1"/>
  <c r="FB48"/>
  <c r="I89" s="1"/>
  <c r="FH48"/>
  <c r="J92" s="1"/>
  <c r="GH48"/>
  <c r="K87" s="1"/>
  <c r="AT48"/>
  <c r="AP48"/>
  <c r="GF48"/>
  <c r="I87" s="1"/>
  <c r="HF48"/>
  <c r="AR48"/>
  <c r="GZ48"/>
  <c r="HL48"/>
  <c r="A3" i="41"/>
  <c r="F34" i="15"/>
  <c r="L279"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5" i="15"/>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O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A58" i="26"/>
  <c r="G58"/>
  <c r="A1" i="25"/>
  <c r="J28" i="7"/>
  <c r="I3" i="29"/>
  <c r="A50" i="25"/>
  <c r="A1" i="29"/>
  <c r="A1" i="26"/>
  <c r="A3" i="37"/>
  <c r="I28" i="7"/>
  <c r="CR48" i="36"/>
  <c r="L97" s="1"/>
  <c r="CQ48"/>
  <c r="K97" s="1"/>
  <c r="CP48"/>
  <c r="CO48"/>
  <c r="I97" s="1"/>
  <c r="CN48"/>
  <c r="H97" s="1"/>
  <c r="CH48"/>
  <c r="L95" s="1"/>
  <c r="CC48"/>
  <c r="L94" s="1"/>
  <c r="CG48"/>
  <c r="K95" s="1"/>
  <c r="CB48"/>
  <c r="K94" s="1"/>
  <c r="CF48"/>
  <c r="J95" s="1"/>
  <c r="CA48"/>
  <c r="J94" s="1"/>
  <c r="CE48"/>
  <c r="I95" s="1"/>
  <c r="BZ48"/>
  <c r="I94" s="1"/>
  <c r="CD48"/>
  <c r="H95" s="1"/>
  <c r="J97"/>
  <c r="G112" i="15" l="1"/>
  <c r="S115"/>
  <c r="G114"/>
  <c r="I58" i="36"/>
  <c r="I60" s="1"/>
  <c r="I62" s="1"/>
  <c r="F49" i="6" s="1"/>
  <c r="G36" i="15"/>
  <c r="G34"/>
  <c r="P37"/>
  <c r="P46" s="1"/>
  <c r="G35"/>
  <c r="L66" i="36"/>
  <c r="K66"/>
  <c r="H58"/>
  <c r="H60" s="1"/>
  <c r="H62" s="1"/>
  <c r="F48" i="6" s="1"/>
  <c r="I66" i="36"/>
  <c r="J58"/>
  <c r="J60" s="1"/>
  <c r="J62" s="1"/>
  <c r="F50" i="6" s="1"/>
  <c r="L58" i="36"/>
  <c r="L60" s="1"/>
  <c r="L62" s="1"/>
  <c r="F52" i="6" s="1"/>
  <c r="M65" i="36"/>
  <c r="J66"/>
  <c r="M59"/>
  <c r="K60"/>
  <c r="K62" s="1"/>
  <c r="F51" i="6" s="1"/>
  <c r="M87" i="36"/>
  <c r="M56"/>
  <c r="M64"/>
  <c r="M57"/>
  <c r="K77"/>
  <c r="M89"/>
  <c r="K80"/>
  <c r="M90"/>
  <c r="Q90" s="1"/>
  <c r="L70"/>
  <c r="I77"/>
  <c r="M61"/>
  <c r="M99"/>
  <c r="M91"/>
  <c r="Q91" s="1"/>
  <c r="I84"/>
  <c r="H70"/>
  <c r="M72"/>
  <c r="Q72" s="1"/>
  <c r="M69"/>
  <c r="Q69" s="1"/>
  <c r="M79"/>
  <c r="Q79" s="1"/>
  <c r="M75"/>
  <c r="Q75" s="1"/>
  <c r="L77"/>
  <c r="J70"/>
  <c r="M78"/>
  <c r="Q78" s="1"/>
  <c r="K70"/>
  <c r="H74"/>
  <c r="M73"/>
  <c r="Q73" s="1"/>
  <c r="J80"/>
  <c r="I80"/>
  <c r="M76"/>
  <c r="Q76" s="1"/>
  <c r="L80"/>
  <c r="J77"/>
  <c r="I70"/>
  <c r="B14" i="8"/>
  <c r="H80" i="36"/>
  <c r="K84"/>
  <c r="M68"/>
  <c r="Q68" s="1"/>
  <c r="H77"/>
  <c r="I74"/>
  <c r="M85"/>
  <c r="J84"/>
  <c r="H84"/>
  <c r="L84"/>
  <c r="M88"/>
  <c r="M86"/>
  <c r="J74"/>
  <c r="L74"/>
  <c r="K74"/>
  <c r="J96"/>
  <c r="J98" s="1"/>
  <c r="J100" s="1"/>
  <c r="K96"/>
  <c r="K98" s="1"/>
  <c r="K100" s="1"/>
  <c r="L96"/>
  <c r="L98" s="1"/>
  <c r="L100" s="1"/>
  <c r="M97"/>
  <c r="M92"/>
  <c r="Q92" s="1"/>
  <c r="D28" i="8"/>
  <c r="N6" i="36"/>
  <c r="P6"/>
  <c r="M95"/>
  <c r="Q95" s="1"/>
  <c r="H96"/>
  <c r="I96"/>
  <c r="I98" s="1"/>
  <c r="I100" s="1"/>
  <c r="M94"/>
  <c r="Q94" s="1"/>
  <c r="G115" i="15" l="1"/>
  <c r="F114" s="1"/>
  <c r="P129"/>
  <c r="P146" s="1"/>
  <c r="P148" s="1"/>
  <c r="P150" s="1"/>
  <c r="Q13" i="36"/>
  <c r="Q14"/>
  <c r="Q10"/>
  <c r="Q11"/>
  <c r="Q12"/>
  <c r="K14" i="8"/>
  <c r="G37" i="15"/>
  <c r="Q61" i="36"/>
  <c r="Q64"/>
  <c r="Q97"/>
  <c r="Q89"/>
  <c r="Q56"/>
  <c r="Q59"/>
  <c r="Q99"/>
  <c r="Q65"/>
  <c r="I50" i="6"/>
  <c r="M66" i="36"/>
  <c r="Q66" s="1"/>
  <c r="I50" i="7"/>
  <c r="H51"/>
  <c r="M58" i="36"/>
  <c r="H50" i="6"/>
  <c r="H52" i="7"/>
  <c r="I51"/>
  <c r="I52" i="6"/>
  <c r="H52"/>
  <c r="Q57" i="36"/>
  <c r="H50" i="7"/>
  <c r="H49" s="1"/>
  <c r="P52"/>
  <c r="M60" i="36"/>
  <c r="F72" i="8"/>
  <c r="I43"/>
  <c r="M70" i="36"/>
  <c r="Q70" s="1"/>
  <c r="H48" i="6"/>
  <c r="I48"/>
  <c r="F53"/>
  <c r="H51"/>
  <c r="I51"/>
  <c r="H54" i="7"/>
  <c r="M77" i="36"/>
  <c r="M84"/>
  <c r="Q84" s="1"/>
  <c r="M80"/>
  <c r="H49" i="6"/>
  <c r="I49"/>
  <c r="D72" i="8"/>
  <c r="D14"/>
  <c r="B72"/>
  <c r="J43"/>
  <c r="H14"/>
  <c r="E72"/>
  <c r="F43"/>
  <c r="B43"/>
  <c r="G14"/>
  <c r="E43"/>
  <c r="I72"/>
  <c r="C14"/>
  <c r="J72"/>
  <c r="J14"/>
  <c r="C43"/>
  <c r="K43"/>
  <c r="G72"/>
  <c r="B15"/>
  <c r="K73" s="1"/>
  <c r="E14"/>
  <c r="H43"/>
  <c r="H72"/>
  <c r="P50" i="7"/>
  <c r="F14" i="8"/>
  <c r="G43"/>
  <c r="C72"/>
  <c r="K72"/>
  <c r="I14"/>
  <c r="D43"/>
  <c r="M74" i="36"/>
  <c r="M62"/>
  <c r="R12" i="24"/>
  <c r="R11"/>
  <c r="E28" i="8"/>
  <c r="M96" i="36"/>
  <c r="H98"/>
  <c r="F112" i="15" l="1"/>
  <c r="D37" i="3"/>
  <c r="F113" i="15"/>
  <c r="C115"/>
  <c r="G46"/>
  <c r="B43"/>
  <c r="E42" s="1"/>
  <c r="F45" i="7"/>
  <c r="Q58" i="36"/>
  <c r="I164" i="11"/>
  <c r="J159" i="36"/>
  <c r="J158"/>
  <c r="J157"/>
  <c r="F46" i="7"/>
  <c r="K164" i="11"/>
  <c r="H53" i="7"/>
  <c r="H55" s="1"/>
  <c r="Q60" i="36"/>
  <c r="P138" i="7"/>
  <c r="L32" i="11"/>
  <c r="P137" i="7"/>
  <c r="L31" i="11"/>
  <c r="Q77" i="36"/>
  <c r="Q80"/>
  <c r="I53" i="6"/>
  <c r="P48" s="1"/>
  <c r="C44" i="8"/>
  <c r="C45" s="1"/>
  <c r="G15"/>
  <c r="G16" s="1"/>
  <c r="J73"/>
  <c r="J74" s="1"/>
  <c r="I73"/>
  <c r="I74" s="1"/>
  <c r="F73"/>
  <c r="F74" s="1"/>
  <c r="E73"/>
  <c r="E74" s="1"/>
  <c r="D44"/>
  <c r="D45" s="1"/>
  <c r="E44"/>
  <c r="E45" s="1"/>
  <c r="I15"/>
  <c r="I16" s="1"/>
  <c r="J44"/>
  <c r="J45" s="1"/>
  <c r="D15"/>
  <c r="D16" s="1"/>
  <c r="B44"/>
  <c r="B45" s="1"/>
  <c r="K15"/>
  <c r="K16" s="1"/>
  <c r="F44"/>
  <c r="F45" s="1"/>
  <c r="J15"/>
  <c r="J16" s="1"/>
  <c r="K44"/>
  <c r="K45" s="1"/>
  <c r="B73"/>
  <c r="B74" s="1"/>
  <c r="C15"/>
  <c r="C16" s="1"/>
  <c r="D73"/>
  <c r="D74" s="1"/>
  <c r="H15"/>
  <c r="H16" s="1"/>
  <c r="I44"/>
  <c r="I45" s="1"/>
  <c r="G73"/>
  <c r="G74" s="1"/>
  <c r="E99" i="15"/>
  <c r="B16" i="8"/>
  <c r="E15"/>
  <c r="E16" s="1"/>
  <c r="H44"/>
  <c r="H45" s="1"/>
  <c r="H73"/>
  <c r="H74" s="1"/>
  <c r="F15"/>
  <c r="F16" s="1"/>
  <c r="G44"/>
  <c r="G45" s="1"/>
  <c r="C73"/>
  <c r="C74" s="1"/>
  <c r="F44" i="7"/>
  <c r="Q74" i="36"/>
  <c r="K74" i="8"/>
  <c r="P71" i="7"/>
  <c r="P69"/>
  <c r="Q62" i="36"/>
  <c r="P67" i="7"/>
  <c r="F121" i="15"/>
  <c r="P160" i="36"/>
  <c r="F28" i="8"/>
  <c r="M98" i="36"/>
  <c r="H100"/>
  <c r="M100" s="1"/>
  <c r="P49" i="7"/>
  <c r="P51" s="1"/>
  <c r="P53" s="1"/>
  <c r="P58" s="1"/>
  <c r="Q96" i="36"/>
  <c r="G42" i="15" l="1"/>
  <c r="F46"/>
  <c r="J151"/>
  <c r="J152" s="1"/>
  <c r="J154" s="1"/>
  <c r="P30" i="11"/>
  <c r="O30"/>
  <c r="J159" i="15"/>
  <c r="Q98" i="36"/>
  <c r="E43" i="15"/>
  <c r="P151"/>
  <c r="P152" s="1"/>
  <c r="P154" s="1"/>
  <c r="M151"/>
  <c r="M152" s="1"/>
  <c r="M154" s="1"/>
  <c r="B21" i="8"/>
  <c r="G28"/>
  <c r="Q100" i="36"/>
  <c r="G43" i="15"/>
  <c r="L25" i="3" l="1"/>
  <c r="L30" i="11"/>
  <c r="R30"/>
  <c r="Q53" i="36"/>
  <c r="J155" i="15"/>
  <c r="B79" i="8"/>
  <c r="J79"/>
  <c r="H79"/>
  <c r="F79"/>
  <c r="D79"/>
  <c r="C79"/>
  <c r="K50"/>
  <c r="I50"/>
  <c r="G50"/>
  <c r="E50"/>
  <c r="C50"/>
  <c r="D21"/>
  <c r="F21"/>
  <c r="H21"/>
  <c r="J21"/>
  <c r="K79"/>
  <c r="G79"/>
  <c r="J50"/>
  <c r="F50"/>
  <c r="E21"/>
  <c r="I79"/>
  <c r="E79"/>
  <c r="B50"/>
  <c r="H50"/>
  <c r="D50"/>
  <c r="C21"/>
  <c r="G21"/>
  <c r="I21"/>
  <c r="K21"/>
  <c r="H28"/>
  <c r="I28" l="1"/>
  <c r="G111" i="36" l="1"/>
  <c r="B17" i="8" s="1"/>
  <c r="J28"/>
  <c r="B20" l="1"/>
  <c r="K7" s="1"/>
  <c r="M121" i="36"/>
  <c r="H46" i="8" s="1"/>
  <c r="P121" i="36"/>
  <c r="K46" i="8" s="1"/>
  <c r="L131" i="36"/>
  <c r="G75" i="8" s="1"/>
  <c r="L121" i="36"/>
  <c r="G46" i="8" s="1"/>
  <c r="N121" i="36"/>
  <c r="I46" i="8" s="1"/>
  <c r="O121" i="36"/>
  <c r="J46" i="8" s="1"/>
  <c r="G131" i="36"/>
  <c r="B75" i="8" s="1"/>
  <c r="J121" i="36"/>
  <c r="E46" i="8" s="1"/>
  <c r="K131" i="36"/>
  <c r="F75" i="8" s="1"/>
  <c r="K121" i="36"/>
  <c r="F46" i="8" s="1"/>
  <c r="O131" i="36"/>
  <c r="J75" i="8" s="1"/>
  <c r="M131" i="36"/>
  <c r="H75" i="8" s="1"/>
  <c r="H121" i="36"/>
  <c r="C46" i="8" s="1"/>
  <c r="H131" i="36"/>
  <c r="C75" i="8" s="1"/>
  <c r="N131" i="36"/>
  <c r="I75" i="8" s="1"/>
  <c r="I121" i="36"/>
  <c r="D46" i="8" s="1"/>
  <c r="J131" i="36"/>
  <c r="E75" i="8" s="1"/>
  <c r="E78" s="1"/>
  <c r="P131" i="36"/>
  <c r="K75" i="8" s="1"/>
  <c r="I131" i="36"/>
  <c r="D75" i="8" s="1"/>
  <c r="K5"/>
  <c r="K28"/>
  <c r="E49" l="1"/>
  <c r="J49"/>
  <c r="K49"/>
  <c r="D78"/>
  <c r="I78"/>
  <c r="C49"/>
  <c r="J78"/>
  <c r="B78"/>
  <c r="G78"/>
  <c r="P147" i="36"/>
  <c r="K78" i="8"/>
  <c r="D49"/>
  <c r="H78"/>
  <c r="F49"/>
  <c r="G49"/>
  <c r="C78"/>
  <c r="F78"/>
  <c r="I49"/>
  <c r="H49"/>
  <c r="B57"/>
  <c r="N148" i="36" l="1"/>
  <c r="N149"/>
  <c r="P157"/>
  <c r="C57" i="8"/>
  <c r="F118" i="15" l="1"/>
  <c r="N157" i="36"/>
  <c r="F119" i="15"/>
  <c r="B19" i="8"/>
  <c r="P165" i="36"/>
  <c r="D57" i="8"/>
  <c r="C48" l="1"/>
  <c r="K48"/>
  <c r="H77"/>
  <c r="H48"/>
  <c r="J77"/>
  <c r="G19"/>
  <c r="C19"/>
  <c r="B77"/>
  <c r="D77"/>
  <c r="E19"/>
  <c r="D48"/>
  <c r="I77"/>
  <c r="J48"/>
  <c r="B48"/>
  <c r="I48"/>
  <c r="G48"/>
  <c r="C77"/>
  <c r="H19"/>
  <c r="D19"/>
  <c r="G77"/>
  <c r="F77"/>
  <c r="E48"/>
  <c r="I19"/>
  <c r="F48"/>
  <c r="K19"/>
  <c r="F19"/>
  <c r="K77"/>
  <c r="E77"/>
  <c r="J19"/>
  <c r="B22"/>
  <c r="B35"/>
  <c r="E57"/>
  <c r="E51" l="1"/>
  <c r="E64"/>
  <c r="K51"/>
  <c r="K64"/>
  <c r="K80"/>
  <c r="K93"/>
  <c r="I64"/>
  <c r="I51"/>
  <c r="D51"/>
  <c r="D64"/>
  <c r="H93"/>
  <c r="H80"/>
  <c r="E80"/>
  <c r="E93"/>
  <c r="F51"/>
  <c r="F64"/>
  <c r="G80"/>
  <c r="G93"/>
  <c r="G51"/>
  <c r="G64"/>
  <c r="I80"/>
  <c r="I93"/>
  <c r="B80"/>
  <c r="B93"/>
  <c r="H51"/>
  <c r="H64"/>
  <c r="F93"/>
  <c r="F80"/>
  <c r="C80"/>
  <c r="C93"/>
  <c r="J51"/>
  <c r="J64"/>
  <c r="D80"/>
  <c r="D93"/>
  <c r="J93"/>
  <c r="J80"/>
  <c r="C51"/>
  <c r="C64"/>
  <c r="F57"/>
  <c r="G57" l="1"/>
  <c r="H57" l="1"/>
  <c r="I57" l="1"/>
  <c r="J57" l="1"/>
  <c r="K57" l="1"/>
  <c r="B86" l="1"/>
  <c r="C86" l="1"/>
  <c r="D86" l="1"/>
  <c r="E86" l="1"/>
  <c r="F86" l="1"/>
  <c r="G86" l="1"/>
  <c r="H86" l="1"/>
  <c r="I86" l="1"/>
  <c r="J86" l="1"/>
  <c r="K86" l="1"/>
  <c r="B30" l="1"/>
  <c r="C23"/>
  <c r="D23"/>
  <c r="D32" s="1"/>
  <c r="E23"/>
  <c r="F23"/>
  <c r="G23"/>
  <c r="H23"/>
  <c r="I23"/>
  <c r="J23"/>
  <c r="K23"/>
  <c r="B33"/>
  <c r="B52"/>
  <c r="C52"/>
  <c r="C60" s="1"/>
  <c r="D52"/>
  <c r="E52"/>
  <c r="F52"/>
  <c r="G52"/>
  <c r="H52"/>
  <c r="H61" s="1"/>
  <c r="I52"/>
  <c r="I61" s="1"/>
  <c r="J52"/>
  <c r="K52"/>
  <c r="B81"/>
  <c r="C81"/>
  <c r="D81"/>
  <c r="D88" s="1"/>
  <c r="E81"/>
  <c r="F81"/>
  <c r="G81"/>
  <c r="H81"/>
  <c r="E88"/>
  <c r="E34" l="1"/>
  <c r="E32"/>
  <c r="H32"/>
  <c r="I32"/>
  <c r="D62"/>
  <c r="D63"/>
  <c r="I62"/>
  <c r="E63"/>
  <c r="H88"/>
  <c r="D89"/>
  <c r="F62"/>
  <c r="E89"/>
  <c r="H34"/>
  <c r="D33"/>
  <c r="H62"/>
  <c r="H33"/>
  <c r="E92"/>
  <c r="D90"/>
  <c r="E90"/>
  <c r="E91"/>
  <c r="E62"/>
  <c r="D92"/>
  <c r="D34"/>
  <c r="D91"/>
  <c r="J88"/>
  <c r="F92"/>
  <c r="B88"/>
  <c r="D60"/>
  <c r="H92"/>
  <c r="H91"/>
  <c r="H90"/>
  <c r="H89"/>
  <c r="J62"/>
  <c r="B62"/>
  <c r="J60"/>
  <c r="K88"/>
  <c r="G88"/>
  <c r="C88"/>
  <c r="E60"/>
  <c r="I33"/>
  <c r="E33"/>
  <c r="I92"/>
  <c r="I91"/>
  <c r="I90"/>
  <c r="I89"/>
  <c r="I88"/>
  <c r="K62"/>
  <c r="G62"/>
  <c r="C62"/>
  <c r="K60"/>
  <c r="I34"/>
  <c r="J91"/>
  <c r="F91"/>
  <c r="B91"/>
  <c r="F60"/>
  <c r="J33"/>
  <c r="F33"/>
  <c r="K91"/>
  <c r="G91"/>
  <c r="C91"/>
  <c r="G60"/>
  <c r="K33"/>
  <c r="G33"/>
  <c r="C33"/>
  <c r="J89"/>
  <c r="F89"/>
  <c r="B89"/>
  <c r="H63"/>
  <c r="D61"/>
  <c r="H60"/>
  <c r="B31"/>
  <c r="K89"/>
  <c r="G89"/>
  <c r="C89"/>
  <c r="I63"/>
  <c r="E61"/>
  <c r="I60"/>
  <c r="J92"/>
  <c r="B92"/>
  <c r="J90"/>
  <c r="F90"/>
  <c r="B90"/>
  <c r="F88"/>
  <c r="J63"/>
  <c r="F63"/>
  <c r="B63"/>
  <c r="J61"/>
  <c r="F61"/>
  <c r="B61"/>
  <c r="J34"/>
  <c r="F34"/>
  <c r="B34"/>
  <c r="J32"/>
  <c r="F32"/>
  <c r="B32"/>
  <c r="K92"/>
  <c r="G92"/>
  <c r="C92"/>
  <c r="K90"/>
  <c r="G90"/>
  <c r="C90"/>
  <c r="K63"/>
  <c r="G63"/>
  <c r="C63"/>
  <c r="K61"/>
  <c r="G61"/>
  <c r="C61"/>
  <c r="K34"/>
  <c r="G34"/>
  <c r="C34"/>
  <c r="K32"/>
  <c r="G32"/>
  <c r="C32"/>
  <c r="O111" i="36" l="1"/>
  <c r="J17" i="8" s="1"/>
  <c r="J20" s="1"/>
  <c r="P111" i="36"/>
  <c r="K17" i="8" s="1"/>
  <c r="K20" s="1"/>
  <c r="K111" i="36"/>
  <c r="F17" i="8" s="1"/>
  <c r="F20" s="1"/>
  <c r="N111" i="36"/>
  <c r="I17" i="8" s="1"/>
  <c r="I20" s="1"/>
  <c r="L111" i="36"/>
  <c r="G17" i="8" s="1"/>
  <c r="G20" s="1"/>
  <c r="K35" l="1"/>
  <c r="K22"/>
  <c r="J22"/>
  <c r="J35"/>
  <c r="F22"/>
  <c r="F35"/>
  <c r="G35"/>
  <c r="G22"/>
  <c r="I35"/>
  <c r="I22"/>
  <c r="K31" l="1"/>
  <c r="K30"/>
  <c r="J30"/>
  <c r="J31"/>
  <c r="G30"/>
  <c r="G31"/>
  <c r="I31"/>
  <c r="I30"/>
  <c r="F30"/>
  <c r="F31"/>
  <c r="J111" i="36" l="1"/>
  <c r="E17" i="8" s="1"/>
  <c r="E20" s="1"/>
  <c r="E22" l="1"/>
  <c r="E35"/>
  <c r="H111" i="36" l="1"/>
  <c r="C17" i="8" s="1"/>
  <c r="C20" s="1"/>
  <c r="E30"/>
  <c r="E31"/>
  <c r="C35" l="1"/>
  <c r="C22"/>
  <c r="C31" l="1"/>
  <c r="C30"/>
  <c r="I111" i="36" l="1"/>
  <c r="D17" i="8" s="1"/>
  <c r="D20" s="1"/>
  <c r="D35" l="1"/>
  <c r="D22"/>
  <c r="D30" l="1"/>
  <c r="D31"/>
  <c r="G121" i="36"/>
  <c r="B46" i="8" s="1"/>
  <c r="B49" s="1"/>
  <c r="B64" l="1"/>
  <c r="B51"/>
  <c r="B60" l="1"/>
  <c r="B59"/>
  <c r="B69"/>
  <c r="C69" s="1"/>
  <c r="C59" l="1"/>
  <c r="D59" l="1"/>
  <c r="D69"/>
  <c r="E69" l="1"/>
  <c r="E59"/>
  <c r="F69" l="1"/>
  <c r="F59"/>
  <c r="G69" l="1"/>
  <c r="G59"/>
  <c r="H59" l="1"/>
  <c r="H69"/>
  <c r="I59" l="1"/>
  <c r="I69"/>
  <c r="J69" l="1"/>
  <c r="J59"/>
  <c r="K69" l="1"/>
  <c r="K59"/>
  <c r="B98" l="1"/>
  <c r="C98" l="1"/>
  <c r="D98" l="1"/>
  <c r="E98" l="1"/>
  <c r="F98" l="1"/>
  <c r="G98" l="1"/>
  <c r="H98" l="1"/>
  <c r="I98" l="1"/>
  <c r="J98" l="1"/>
  <c r="K98" l="1"/>
  <c r="S23" i="15"/>
  <c r="S129" s="1"/>
  <c r="G23"/>
  <c r="L26" i="3" s="1"/>
  <c r="L27" s="1"/>
  <c r="G129" i="15" l="1"/>
  <c r="D131" l="1"/>
  <c r="J270" i="11"/>
  <c r="H50" i="3"/>
  <c r="J160" i="15"/>
  <c r="G131"/>
  <c r="I206" i="11"/>
  <c r="J162" i="15" l="1"/>
  <c r="J164" s="1"/>
  <c r="J166" s="1"/>
  <c r="J168" s="1"/>
  <c r="G159"/>
  <c r="L207" i="11"/>
  <c r="P188" s="1"/>
  <c r="P180" s="1"/>
  <c r="I207"/>
  <c r="O188" s="1"/>
  <c r="O180" s="1"/>
  <c r="O41" i="3"/>
  <c r="H51"/>
  <c r="O42"/>
  <c r="O43" l="1"/>
  <c r="O288" i="11"/>
  <c r="P288"/>
  <c r="J170" i="15"/>
  <c r="J172" l="1"/>
  <c r="O289" i="11"/>
  <c r="O6"/>
  <c r="M170" i="15"/>
  <c r="P6" i="11"/>
  <c r="P289"/>
  <c r="J40" i="3" l="1"/>
  <c r="L40" s="1"/>
  <c r="J41"/>
  <c r="L41" s="1"/>
  <c r="J6" i="7"/>
  <c r="E98" i="15"/>
  <c r="H100" i="7" l="1"/>
  <c r="H17" i="8" l="1"/>
  <c r="H20"/>
  <c r="H35" s="1"/>
  <c r="M111" i="36"/>
  <c r="H22" i="8" l="1"/>
  <c r="H30" s="1"/>
  <c r="A17" i="11"/>
  <c r="H31" i="8" l="1"/>
</calcChain>
</file>

<file path=xl/sharedStrings.xml><?xml version="1.0" encoding="utf-8"?>
<sst xmlns="http://schemas.openxmlformats.org/spreadsheetml/2006/main" count="8333" uniqueCount="4205">
  <si>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</si>
  <si>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</si>
  <si>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</si>
  <si>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</si>
  <si>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</si>
  <si>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</si>
  <si>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</si>
  <si>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</si>
  <si>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</si>
  <si>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</si>
  <si>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</si>
  <si>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</si>
  <si>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</si>
  <si>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</si>
  <si>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</si>
  <si>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</si>
  <si>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</si>
  <si>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</si>
  <si>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</si>
  <si>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</si>
  <si>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</si>
  <si>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</si>
  <si>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</si>
  <si>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</si>
  <si>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</si>
  <si>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</si>
  <si>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</si>
  <si>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</si>
  <si>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</si>
  <si>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</si>
  <si>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</si>
  <si>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</si>
  <si>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</si>
  <si>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</si>
  <si>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</si>
  <si>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</si>
  <si>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</si>
  <si>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</si>
  <si>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</si>
  <si>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</si>
  <si>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</si>
  <si>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</si>
  <si>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</si>
  <si>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</si>
  <si>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</si>
  <si>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</si>
  <si>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</si>
  <si>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</si>
  <si>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</si>
  <si>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</si>
  <si>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</si>
  <si>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</si>
  <si>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</si>
  <si>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</si>
  <si>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</si>
  <si>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</si>
  <si>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</si>
  <si>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</si>
  <si>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</si>
  <si>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</si>
  <si>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</si>
  <si>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</si>
  <si>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</si>
  <si>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</si>
  <si>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</si>
  <si>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</si>
  <si>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</si>
  <si>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</si>
  <si>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</si>
  <si>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</si>
  <si>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</si>
  <si>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</si>
  <si>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</si>
  <si>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</si>
  <si>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</si>
  <si>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</si>
  <si>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</si>
  <si>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</si>
  <si>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</si>
  <si>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</si>
  <si>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</si>
  <si>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</si>
  <si>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</si>
  <si>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</si>
  <si>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</si>
  <si>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</si>
  <si>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</si>
  <si>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</si>
  <si>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</si>
  <si>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</si>
  <si>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</si>
  <si>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</si>
  <si>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</si>
  <si>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</si>
  <si>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</si>
  <si>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</si>
  <si>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</si>
  <si>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</si>
  <si>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</si>
  <si>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</si>
  <si>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</si>
  <si>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</si>
  <si>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</si>
  <si>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</si>
  <si>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</si>
  <si>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</si>
  <si>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</si>
  <si>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</si>
  <si>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</si>
  <si>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</si>
  <si>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</si>
  <si>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</si>
  <si>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</si>
  <si>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</si>
  <si>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</si>
  <si>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</si>
  <si>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</si>
  <si>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</si>
  <si>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</si>
  <si>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</si>
  <si>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</si>
  <si>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</si>
  <si>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</si>
  <si>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</si>
  <si>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</si>
  <si>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</si>
  <si>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</si>
  <si>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</si>
  <si>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</si>
  <si>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</si>
  <si>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</si>
  <si>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</si>
  <si>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</si>
  <si>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</si>
  <si>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</si>
  <si>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</si>
  <si>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</si>
  <si>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</si>
  <si>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</si>
  <si>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</si>
  <si>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</si>
  <si>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</si>
  <si>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</si>
  <si>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</si>
  <si>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</si>
  <si>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</si>
  <si>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</si>
  <si>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</si>
  <si>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</si>
  <si>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</si>
  <si>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</si>
  <si>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</si>
  <si>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</si>
  <si>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</si>
  <si>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</si>
  <si>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</si>
  <si>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</si>
  <si>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</si>
  <si>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</si>
  <si>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</si>
  <si>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</si>
  <si>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</si>
  <si>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</si>
  <si>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</si>
  <si>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</si>
  <si>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</si>
  <si>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</si>
  <si>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</si>
  <si>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</si>
  <si>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</si>
  <si>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</si>
  <si>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</si>
  <si>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</si>
  <si>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</si>
  <si>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</si>
  <si>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</si>
  <si>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</si>
  <si>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</si>
  <si>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</si>
  <si>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</si>
  <si>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</si>
  <si>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</si>
  <si>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</si>
  <si>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</si>
  <si>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</si>
  <si>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</si>
  <si>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</si>
  <si>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</si>
  <si>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</si>
  <si>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</si>
  <si>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</si>
  <si>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</si>
  <si>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</si>
  <si>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</si>
  <si>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</si>
  <si>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</si>
  <si>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</si>
  <si>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</si>
  <si>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</si>
  <si>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</si>
  <si>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</si>
  <si>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</si>
  <si>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</si>
  <si>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</si>
  <si>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</si>
  <si>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</si>
  <si>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</si>
  <si>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</si>
  <si>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</si>
  <si>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</si>
  <si>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</si>
  <si>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</si>
  <si>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</si>
  <si>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</si>
  <si>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</si>
  <si>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</si>
  <si>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</si>
  <si>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</si>
  <si>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</si>
  <si>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</si>
  <si>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</si>
  <si>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</si>
  <si>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</si>
  <si>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</si>
  <si>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</si>
  <si>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</si>
  <si>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</si>
  <si>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</si>
  <si>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</si>
  <si>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</si>
  <si>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</si>
  <si>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</si>
  <si>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</si>
  <si>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</si>
  <si>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</si>
  <si>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</si>
  <si>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</si>
  <si>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</si>
  <si>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</si>
  <si>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</si>
  <si>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</si>
  <si>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</si>
  <si>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</si>
  <si>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</si>
  <si>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</si>
  <si>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</si>
  <si>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</si>
  <si>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</si>
  <si>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</si>
  <si>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</si>
  <si>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</si>
  <si>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</si>
  <si>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</si>
  <si>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</si>
  <si>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</si>
  <si>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</si>
  <si>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</si>
  <si>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</si>
  <si>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</si>
  <si>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</si>
  <si>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</si>
  <si>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</si>
  <si>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</si>
  <si>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</si>
  <si>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</si>
  <si>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</si>
  <si>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</si>
  <si>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</si>
  <si>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</si>
  <si>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</si>
  <si>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</si>
  <si>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</si>
  <si>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</si>
  <si>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</si>
  <si>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</si>
  <si>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</si>
  <si>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</si>
  <si>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</si>
  <si>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</si>
  <si>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</si>
  <si>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</si>
  <si>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</si>
  <si>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</si>
  <si>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</si>
  <si>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</si>
  <si>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</si>
  <si>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</si>
  <si>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</si>
  <si>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</si>
  <si>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</si>
  <si>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</si>
  <si>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</si>
  <si>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</si>
  <si>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</si>
  <si>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</si>
  <si>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</si>
  <si>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</si>
  <si>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</si>
  <si>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</si>
  <si>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</si>
  <si>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</si>
  <si>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</si>
  <si>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</si>
  <si>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</si>
  <si>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</si>
  <si>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</si>
  <si>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</si>
  <si>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</si>
  <si>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</si>
  <si>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</si>
  <si>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</si>
  <si>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</si>
  <si>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</si>
  <si>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</si>
  <si>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</si>
  <si>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</si>
  <si>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</si>
  <si>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</si>
  <si>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</si>
  <si>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</si>
  <si>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</si>
  <si>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</si>
  <si>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</si>
  <si>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</si>
  <si>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</si>
  <si>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</si>
  <si>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</si>
  <si>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</si>
  <si>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</si>
  <si>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</si>
  <si>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</si>
  <si>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</si>
  <si>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</si>
  <si>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</si>
  <si>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</si>
  <si>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</si>
  <si>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</si>
  <si>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</si>
  <si>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</si>
  <si>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</si>
  <si>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</si>
  <si>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</si>
  <si>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</si>
  <si>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</si>
  <si>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</si>
  <si>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</si>
  <si>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</si>
  <si>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</si>
  <si>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</si>
  <si>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</si>
  <si>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</si>
  <si>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</si>
  <si>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</si>
  <si>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</si>
  <si>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</si>
  <si>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</si>
  <si>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</si>
  <si>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</si>
  <si>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</si>
  <si>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</si>
  <si>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</si>
  <si>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</si>
  <si>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</si>
  <si>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</si>
  <si>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</si>
  <si>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</si>
  <si>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</si>
  <si>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</si>
  <si>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</si>
  <si>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</si>
  <si>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</si>
  <si>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</si>
  <si>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</si>
  <si>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</si>
  <si>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</si>
  <si>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</si>
  <si>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</si>
  <si>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</si>
  <si>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</si>
  <si>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</si>
  <si>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</si>
  <si>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</si>
  <si>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</si>
  <si>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</si>
  <si>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</si>
  <si>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</si>
  <si>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</si>
  <si>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</si>
  <si>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</si>
  <si>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</si>
  <si>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</si>
  <si>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</si>
  <si>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</si>
  <si>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</si>
  <si>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</si>
  <si>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</si>
  <si>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</si>
  <si>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</si>
  <si>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</si>
  <si>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</si>
  <si>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</si>
  <si>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</si>
  <si>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</si>
  <si>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</si>
  <si>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</si>
  <si>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</si>
  <si>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</si>
  <si>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</si>
  <si>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</si>
  <si>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</si>
  <si>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</si>
  <si>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</si>
  <si>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</si>
  <si>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</si>
  <si>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</si>
  <si>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</si>
  <si>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</si>
  <si>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</si>
  <si>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</si>
  <si>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</si>
  <si>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</si>
  <si>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</si>
  <si>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</si>
  <si>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</si>
  <si>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</si>
  <si>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</si>
  <si>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</si>
  <si>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</si>
  <si>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</si>
  <si>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</si>
  <si>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</si>
  <si>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</si>
  <si>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</si>
  <si>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</si>
  <si>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</si>
  <si>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</si>
  <si>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</si>
  <si>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</si>
  <si>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</si>
  <si>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</si>
  <si>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</si>
  <si>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</si>
  <si>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</si>
  <si>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</si>
  <si>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</si>
  <si>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</si>
  <si>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</si>
  <si>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</si>
  <si>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</si>
  <si>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</si>
  <si>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</si>
  <si>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</si>
  <si>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</si>
  <si>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</si>
  <si>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</si>
  <si>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</si>
  <si>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</si>
  <si>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</si>
  <si>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</si>
  <si>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</si>
  <si>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</si>
  <si>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</si>
  <si>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</si>
  <si>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</si>
  <si>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</si>
  <si>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</si>
  <si>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</si>
  <si>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</si>
  <si>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</si>
  <si>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</si>
  <si>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</si>
  <si>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</si>
  <si>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</si>
  <si>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</si>
  <si>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</si>
  <si>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</si>
  <si>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</si>
  <si>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</si>
  <si>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</si>
  <si>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</si>
  <si>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</si>
  <si>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</si>
  <si>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</si>
  <si>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</si>
  <si>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</si>
  <si>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</si>
  <si>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</si>
  <si>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</si>
  <si>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</si>
  <si>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</si>
  <si>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</si>
  <si>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</si>
  <si>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</si>
  <si>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</si>
  <si>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</si>
  <si>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</si>
  <si>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</si>
  <si>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</si>
  <si>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</si>
  <si>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</si>
  <si>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</si>
  <si>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</si>
  <si>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</si>
  <si>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</si>
  <si>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</si>
  <si>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</si>
  <si>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</si>
  <si>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</si>
  <si>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</si>
  <si>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</si>
  <si>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</si>
  <si>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</si>
  <si>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</si>
  <si>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</si>
  <si>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</si>
  <si>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</si>
  <si>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</si>
  <si>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</si>
  <si>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</si>
  <si>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</si>
  <si>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</si>
  <si>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</si>
  <si>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</si>
  <si>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</si>
  <si>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</si>
  <si>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</si>
  <si>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</si>
  <si>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</si>
  <si>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</si>
  <si>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</si>
  <si>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</si>
  <si>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</si>
  <si>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</si>
  <si>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</si>
  <si>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</si>
  <si>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</si>
  <si>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</si>
  <si>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</si>
  <si>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</si>
  <si>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</si>
  <si>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</si>
  <si>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</si>
  <si>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</si>
  <si>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</si>
  <si>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</si>
  <si>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</si>
  <si>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</si>
  <si>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</si>
  <si>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</si>
  <si>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</si>
  <si>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</si>
  <si>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</si>
  <si>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</si>
  <si>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</si>
  <si>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</si>
  <si>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</si>
  <si>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</si>
  <si>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</si>
  <si>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</si>
  <si>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</si>
  <si>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</si>
  <si>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</si>
  <si>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</si>
  <si>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</si>
  <si>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</si>
  <si>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</si>
  <si>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</si>
  <si>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</si>
  <si>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</si>
  <si>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</si>
  <si>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</si>
  <si>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</si>
  <si>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</si>
  <si>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</si>
  <si>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</si>
  <si>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</si>
  <si>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</si>
  <si>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</si>
  <si>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</si>
  <si>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</si>
  <si>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</si>
  <si>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</si>
  <si>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</si>
  <si>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</si>
  <si>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</si>
  <si>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</si>
  <si>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</si>
  <si>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</si>
  <si>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</si>
  <si>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</si>
  <si>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</si>
  <si>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</si>
  <si>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</si>
  <si>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</si>
  <si>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</si>
  <si>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</si>
  <si>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</si>
  <si>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</si>
  <si>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</si>
  <si>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</si>
  <si>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</si>
  <si>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</si>
  <si>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</si>
  <si>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</si>
  <si>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</si>
  <si>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</si>
  <si>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</si>
  <si>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</si>
  <si>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</si>
  <si>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</si>
  <si>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</si>
  <si>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</si>
  <si>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</si>
  <si>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</si>
  <si>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</si>
  <si>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</si>
  <si>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</si>
  <si>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</si>
  <si>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</si>
  <si>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</si>
  <si>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</si>
  <si>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</si>
  <si>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</si>
  <si>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</si>
  <si>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</si>
  <si>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</si>
  <si>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</si>
  <si>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</si>
  <si>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</si>
  <si>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</si>
  <si>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</si>
  <si>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</si>
  <si>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</si>
  <si>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</si>
  <si>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</si>
  <si>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</si>
  <si>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</si>
  <si>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</si>
  <si>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</si>
  <si>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</si>
  <si>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</si>
  <si>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</si>
  <si>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</si>
  <si>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</si>
  <si>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</si>
  <si>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</si>
  <si>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</si>
  <si>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</si>
  <si>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</si>
  <si>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</si>
  <si>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</si>
  <si>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</si>
  <si>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</si>
  <si>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</si>
  <si>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</si>
  <si>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</si>
  <si>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</si>
  <si>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</si>
  <si>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</si>
  <si>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</si>
  <si>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</si>
  <si>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</si>
  <si>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</si>
  <si>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</si>
  <si>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</si>
  <si>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</si>
  <si>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</si>
  <si>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</si>
  <si>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</si>
  <si>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</si>
  <si>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</si>
  <si>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</si>
  <si>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</si>
  <si>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</si>
  <si>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</si>
  <si>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</si>
  <si>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</si>
  <si>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</si>
  <si>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</si>
  <si>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</si>
  <si>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</si>
  <si>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</si>
  <si>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</si>
  <si>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</si>
  <si>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</si>
  <si>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</si>
  <si>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</si>
  <si>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</si>
  <si>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</si>
  <si>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</si>
  <si>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</si>
  <si>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</si>
  <si>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</si>
  <si>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</si>
  <si>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</si>
  <si>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</si>
  <si>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</si>
  <si>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</si>
  <si>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</si>
  <si>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</si>
  <si>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</si>
  <si>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</si>
  <si>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</si>
  <si>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</si>
  <si>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</si>
  <si>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</si>
  <si>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</si>
  <si>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</si>
  <si>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</si>
  <si>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</si>
  <si>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</si>
  <si>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</si>
  <si>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</si>
  <si>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</si>
  <si>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</si>
  <si>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</si>
  <si>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</si>
  <si>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</si>
  <si>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</si>
  <si>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</si>
  <si>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</si>
  <si>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</si>
  <si>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</si>
  <si>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</si>
  <si>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</si>
  <si>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</si>
  <si>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</si>
  <si>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</si>
  <si>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</si>
  <si>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</si>
  <si>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</si>
  <si>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</si>
  <si>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</si>
  <si>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</si>
  <si>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</si>
  <si>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</si>
  <si>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</si>
  <si>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</si>
  <si>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</si>
  <si>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</si>
  <si>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</si>
  <si>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</si>
  <si>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</si>
  <si>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</si>
  <si>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</si>
  <si>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</si>
  <si>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</si>
  <si>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</si>
  <si>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</si>
  <si>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</si>
  <si>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</si>
  <si>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</si>
  <si>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</si>
  <si>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</si>
  <si>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</si>
  <si>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</si>
  <si>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</si>
  <si>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</si>
  <si>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</si>
  <si>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</si>
  <si>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</si>
  <si>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</si>
  <si>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</si>
  <si>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</si>
  <si>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</si>
  <si>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</si>
  <si>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</si>
  <si>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</si>
  <si>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</si>
  <si>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</si>
  <si>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</si>
  <si>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</si>
  <si>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</si>
  <si>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</si>
  <si>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</si>
  <si>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</si>
  <si>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</si>
  <si>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</si>
  <si>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</si>
  <si>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</si>
  <si>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</si>
  <si>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</si>
  <si>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</si>
  <si>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</si>
  <si>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</si>
  <si>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</si>
  <si>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</si>
  <si>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</si>
  <si>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</si>
  <si>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</si>
  <si>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</si>
  <si>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</si>
  <si>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</si>
  <si>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</si>
  <si>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</si>
  <si>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</si>
  <si>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</si>
  <si>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</si>
  <si>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</si>
  <si>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</si>
  <si>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</si>
  <si>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</si>
  <si>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</si>
  <si>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</si>
  <si>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</si>
  <si>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</si>
  <si>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</si>
  <si>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</si>
  <si>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</si>
  <si>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</si>
  <si>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</si>
  <si>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</si>
  <si>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</si>
  <si>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</si>
  <si>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</si>
  <si>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</si>
  <si>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</si>
  <si>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</si>
  <si>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</si>
  <si>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</si>
  <si>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</si>
  <si>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</si>
  <si>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</si>
  <si>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</si>
  <si>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</si>
  <si>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</si>
  <si>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</si>
  <si>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</si>
  <si>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</si>
  <si>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</si>
  <si>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</si>
  <si>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</si>
  <si>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</si>
  <si>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</si>
  <si>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</si>
  <si>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</si>
  <si>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</si>
  <si>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</si>
  <si>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</si>
  <si>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</si>
  <si>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</si>
  <si>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</si>
  <si>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</si>
  <si>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</si>
  <si>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</si>
  <si>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</si>
  <si>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</si>
  <si>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</si>
  <si>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</si>
  <si>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</si>
  <si>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</si>
  <si>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</si>
  <si>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</si>
  <si>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</si>
  <si>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</si>
  <si>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</si>
  <si>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</si>
  <si>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</si>
  <si>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</si>
  <si>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</si>
  <si>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</si>
  <si>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</si>
  <si>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</si>
  <si>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</si>
  <si>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</si>
  <si>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</si>
  <si>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</si>
  <si>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</si>
  <si>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</si>
  <si>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</si>
  <si>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</si>
  <si>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</si>
  <si>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</si>
  <si>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</si>
  <si>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</si>
  <si>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</si>
  <si>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</si>
  <si>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</si>
  <si>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</si>
  <si>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</si>
  <si>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</si>
  <si>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</si>
  <si>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</si>
  <si>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</si>
  <si>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</si>
  <si>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</si>
  <si>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</si>
  <si>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</si>
  <si>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</si>
  <si>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</si>
  <si>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</si>
  <si>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</si>
  <si>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</si>
  <si>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</si>
  <si>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</si>
  <si>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</si>
  <si>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</si>
  <si>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</si>
  <si>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</si>
  <si>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</si>
  <si>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</si>
  <si>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</si>
  <si>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</si>
  <si>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</si>
  <si>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</si>
  <si>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</si>
  <si>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</si>
  <si>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</si>
  <si>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</si>
  <si>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</si>
  <si>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</si>
  <si>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</si>
  <si>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</si>
  <si>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</si>
  <si>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</si>
  <si>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</si>
  <si>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</si>
  <si>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</si>
  <si>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</si>
  <si>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</si>
  <si>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</si>
  <si>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</si>
  <si>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</si>
  <si>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</si>
  <si>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</si>
  <si>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</si>
  <si>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</si>
  <si>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</si>
  <si>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</si>
  <si>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</si>
  <si>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</si>
  <si>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</si>
  <si>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</si>
  <si>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</si>
  <si>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</si>
  <si>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</si>
  <si>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</si>
  <si>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</si>
  <si>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</si>
  <si>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</si>
  <si>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</si>
  <si>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</si>
  <si>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</si>
  <si>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</si>
  <si>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</si>
  <si>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</si>
  <si>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</si>
  <si>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</si>
  <si>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</si>
  <si>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</si>
  <si>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</si>
  <si>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</si>
  <si>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</si>
  <si>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</si>
  <si>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</si>
  <si>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</si>
  <si>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</si>
  <si>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</si>
  <si>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</si>
  <si>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</si>
  <si>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</si>
  <si>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</si>
  <si>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</si>
  <si>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</si>
  <si>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</si>
  <si>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</si>
  <si>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</si>
  <si>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</si>
  <si>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</si>
  <si>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</si>
  <si>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</si>
  <si>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</si>
  <si>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</si>
  <si>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</si>
  <si>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</si>
  <si>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</si>
  <si>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</si>
  <si>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</si>
  <si>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</si>
  <si>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</si>
  <si>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</si>
  <si>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</si>
  <si>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</si>
  <si>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</si>
  <si>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</si>
  <si>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</si>
  <si>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</si>
  <si>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</si>
  <si>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</si>
  <si>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</si>
  <si>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</si>
  <si>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</si>
  <si>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</si>
  <si>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</si>
  <si>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</si>
  <si>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</si>
  <si>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</si>
  <si>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</si>
  <si>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</si>
  <si>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</si>
  <si>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</si>
  <si>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</si>
  <si>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</si>
  <si>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</si>
  <si>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</si>
  <si>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</si>
  <si>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</si>
  <si>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</si>
  <si>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</si>
  <si>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</si>
  <si>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</si>
  <si>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</si>
  <si>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</si>
  <si>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</si>
  <si>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</si>
  <si>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</si>
  <si>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</si>
  <si>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</si>
  <si>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</si>
  <si>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</si>
  <si>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</si>
  <si>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</si>
  <si>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</si>
  <si>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</si>
  <si>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</si>
  <si>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</si>
  <si>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</si>
  <si>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</si>
  <si>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</si>
  <si>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</si>
  <si>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</si>
  <si>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</si>
  <si>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</si>
  <si>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</si>
  <si>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</si>
  <si>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</si>
  <si>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</si>
  <si>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</si>
  <si>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</si>
  <si>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</si>
  <si>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</si>
  <si>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</si>
  <si>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</si>
  <si>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</si>
  <si>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</si>
  <si>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</si>
  <si>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</si>
  <si>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</si>
  <si>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</si>
  <si>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</si>
  <si>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</si>
  <si>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</si>
  <si>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</si>
  <si>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</si>
  <si>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</si>
  <si>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</si>
  <si>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</si>
  <si>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</si>
  <si>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</si>
  <si>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</si>
  <si>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</si>
  <si>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</si>
  <si>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</si>
  <si>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</si>
  <si>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</si>
  <si>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</si>
  <si>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</si>
  <si>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</si>
  <si>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</si>
  <si>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</si>
  <si>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</si>
  <si>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</si>
  <si>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</si>
  <si>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</si>
  <si>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</si>
  <si>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</si>
  <si>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</si>
  <si>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</si>
  <si>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</si>
  <si>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</si>
  <si>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</si>
  <si>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</si>
  <si>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</si>
  <si>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</si>
  <si>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</si>
  <si>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</si>
  <si>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</si>
  <si>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</si>
  <si>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</si>
  <si>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</si>
  <si>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</si>
  <si>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</si>
  <si>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</si>
  <si>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</si>
  <si>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</si>
  <si>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</si>
  <si>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</si>
  <si>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</si>
  <si>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</si>
  <si>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</si>
  <si>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</si>
  <si>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</si>
  <si>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</si>
  <si>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</si>
  <si>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</si>
  <si>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</si>
  <si>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</si>
  <si>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</si>
  <si>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</si>
  <si>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</si>
  <si>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</si>
  <si>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</si>
  <si>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</si>
  <si>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</si>
  <si>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</si>
  <si>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</si>
  <si>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</si>
  <si>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</si>
  <si>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</si>
  <si>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</si>
  <si>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</si>
  <si>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</si>
  <si>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</si>
  <si>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</si>
  <si>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</si>
  <si>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</si>
  <si>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</si>
  <si>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</si>
  <si>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</si>
  <si>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</si>
  <si>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</si>
  <si>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</si>
  <si>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</si>
  <si>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</si>
  <si>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</si>
  <si>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</si>
  <si>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</si>
  <si>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</si>
  <si>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</si>
  <si>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</si>
  <si>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</si>
  <si>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</si>
  <si>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</si>
  <si>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</si>
  <si>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</si>
  <si>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</si>
  <si>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</si>
  <si>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</si>
  <si>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</si>
  <si>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</si>
  <si>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</si>
  <si>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</si>
  <si>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</si>
  <si>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</si>
  <si>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</si>
  <si>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</si>
  <si>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</si>
  <si>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</si>
  <si>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</si>
  <si>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</si>
  <si>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</si>
  <si>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</si>
  <si>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</si>
  <si>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</si>
  <si>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</si>
  <si>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</si>
  <si>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</si>
  <si>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</si>
  <si>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</si>
  <si>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</si>
  <si>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</si>
  <si>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</si>
  <si>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</si>
  <si>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</si>
  <si>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</si>
  <si>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</si>
  <si>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</si>
  <si>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</si>
  <si>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</si>
  <si>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</si>
  <si>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</si>
  <si>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</si>
  <si>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</si>
  <si>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</si>
  <si>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</si>
  <si>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</si>
  <si>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</si>
  <si>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</si>
  <si>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</si>
  <si>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</si>
  <si>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</si>
  <si>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</si>
  <si>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</si>
  <si>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</si>
  <si>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</si>
  <si>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</si>
  <si>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</si>
  <si>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</si>
  <si>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</si>
  <si>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</si>
  <si>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</si>
  <si>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</si>
  <si>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</si>
  <si>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</si>
  <si>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</si>
  <si>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</si>
  <si>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</si>
  <si>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</si>
  <si>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</si>
  <si>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</si>
  <si>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</si>
  <si>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</si>
  <si>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</si>
  <si>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</si>
  <si>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</si>
  <si>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</si>
  <si>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</si>
  <si>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</si>
  <si>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</si>
  <si>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</si>
  <si>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</si>
  <si>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</si>
  <si>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</si>
  <si>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</si>
  <si>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</si>
  <si>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</si>
  <si>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</si>
  <si>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</si>
  <si>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</si>
  <si>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</si>
  <si>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</si>
  <si>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</si>
  <si>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</si>
  <si>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</si>
  <si>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</si>
  <si>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</si>
  <si>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</si>
  <si>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</si>
  <si>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</si>
  <si>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</si>
  <si>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</si>
  <si>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</si>
  <si>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</si>
  <si>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</si>
  <si>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</si>
  <si>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</si>
  <si>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</si>
  <si>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</si>
  <si>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</si>
  <si>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</si>
  <si>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</si>
  <si>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</si>
  <si>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</si>
  <si>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</si>
  <si>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</si>
  <si>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</si>
  <si>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</si>
  <si>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</si>
  <si>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</si>
  <si>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</si>
  <si>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</si>
  <si>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</si>
  <si>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</si>
  <si>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</si>
  <si>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</si>
  <si>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</si>
  <si>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</si>
  <si>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</si>
  <si>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</si>
  <si>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</si>
  <si>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</si>
  <si>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</si>
  <si>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</si>
  <si>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</si>
  <si>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</si>
  <si>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</si>
  <si>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</si>
  <si>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</si>
  <si>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</si>
  <si>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</si>
  <si>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</si>
  <si>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</si>
  <si>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</si>
  <si>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</si>
  <si>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</si>
  <si>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</si>
  <si>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</si>
  <si>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</si>
  <si>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</si>
  <si>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</si>
  <si>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</si>
  <si>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</si>
  <si>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</si>
  <si>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</si>
  <si>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</si>
  <si>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</si>
  <si>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</si>
  <si>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</si>
  <si>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</si>
  <si>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</si>
  <si>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</si>
  <si>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</si>
  <si>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</si>
  <si>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</si>
  <si>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</si>
  <si>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</si>
  <si>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</si>
  <si>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</si>
  <si>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</si>
  <si>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</si>
  <si>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</si>
  <si>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</si>
  <si>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</si>
  <si>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</si>
  <si>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</si>
  <si>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</si>
  <si>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</si>
  <si>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</si>
  <si>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</si>
  <si>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</si>
  <si>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</si>
  <si>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</si>
  <si>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</si>
  <si>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</si>
  <si>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</si>
  <si>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</si>
  <si>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</si>
  <si>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</si>
  <si>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</si>
  <si>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</si>
  <si>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</si>
  <si>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</si>
  <si>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</si>
  <si>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</si>
  <si>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</si>
  <si>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</si>
  <si>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</si>
  <si>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</si>
  <si>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</si>
  <si>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</si>
  <si>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</si>
  <si>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</si>
  <si>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</si>
  <si>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</si>
  <si>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</si>
  <si>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</si>
  <si>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</si>
  <si>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</si>
  <si>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</si>
  <si>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</si>
  <si>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</si>
  <si>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</si>
  <si>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</si>
  <si>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</si>
  <si>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</si>
  <si>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</si>
  <si>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</si>
  <si>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</si>
  <si>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</si>
  <si>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</si>
  <si>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</si>
  <si>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</si>
  <si>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</si>
  <si>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</si>
  <si>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</si>
  <si>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</si>
  <si>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</si>
  <si>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</si>
  <si>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</si>
  <si>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</si>
  <si>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</si>
  <si>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</si>
  <si>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</si>
  <si>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</si>
  <si>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</si>
  <si>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</si>
  <si>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</si>
  <si>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</si>
  <si>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</si>
  <si>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</si>
  <si>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</si>
  <si>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</si>
  <si>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</si>
  <si>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</si>
  <si>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</si>
  <si>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</si>
  <si>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</si>
  <si>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</si>
  <si>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</si>
  <si>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</si>
  <si>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</si>
  <si>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</si>
  <si>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</si>
  <si>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</si>
  <si>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</si>
  <si>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</si>
  <si>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</si>
  <si>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</si>
  <si>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</si>
  <si>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</si>
  <si>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</si>
  <si>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</si>
  <si>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</si>
  <si>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</si>
  <si>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</si>
  <si>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</si>
  <si>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</si>
  <si>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</si>
  <si>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</si>
  <si>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</si>
  <si>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</si>
  <si>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</si>
  <si>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</si>
  <si>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</si>
  <si>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</si>
  <si>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</si>
  <si>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</si>
  <si>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</si>
  <si>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</si>
  <si>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</si>
  <si>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</si>
  <si>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</si>
  <si>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</si>
  <si>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</si>
  <si>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</si>
  <si>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</si>
  <si>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</si>
  <si>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</si>
  <si>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</si>
  <si>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</si>
  <si>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</si>
  <si>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</si>
  <si>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</si>
  <si>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</si>
  <si>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</si>
  <si>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</si>
  <si>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</si>
  <si>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</si>
  <si>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</si>
  <si>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</si>
  <si>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</si>
  <si>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</si>
  <si>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</si>
  <si>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</si>
  <si>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</si>
  <si>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</si>
  <si>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</si>
  <si>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</si>
  <si>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</si>
  <si>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</si>
  <si>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</si>
  <si>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</si>
  <si>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</si>
  <si>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</si>
  <si>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</si>
  <si>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</si>
  <si>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</si>
  <si>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</si>
  <si>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</si>
  <si>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</si>
  <si>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</si>
  <si>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</si>
  <si>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</si>
  <si>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</si>
  <si>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</si>
  <si>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</si>
  <si>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</si>
  <si>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</si>
  <si>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</si>
  <si>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</si>
  <si>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</si>
  <si>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</si>
  <si>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</si>
  <si>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</si>
  <si>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</si>
  <si>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</si>
  <si>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</si>
  <si>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</si>
  <si>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</si>
  <si>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</si>
  <si>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</si>
  <si>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</si>
  <si>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</si>
  <si>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</si>
  <si>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</si>
  <si>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</si>
  <si>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</si>
  <si>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</si>
  <si>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</si>
  <si>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</si>
  <si>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</si>
  <si>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</si>
  <si>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</si>
  <si>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</si>
  <si>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</si>
  <si>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</si>
  <si>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</si>
  <si>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</si>
  <si>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</si>
  <si>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</si>
  <si>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</si>
  <si>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</si>
  <si>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</si>
  <si>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</si>
  <si>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</si>
  <si>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</si>
  <si>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</si>
  <si>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</si>
  <si>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</si>
  <si>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</si>
  <si>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</si>
  <si>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</si>
  <si>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</si>
  <si>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</si>
  <si>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</si>
  <si>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</si>
  <si>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</si>
  <si>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</si>
  <si>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</si>
  <si>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</si>
  <si>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</si>
  <si>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</si>
  <si>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</si>
  <si>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</si>
  <si>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</si>
  <si>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</si>
  <si>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</si>
  <si>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</si>
  <si>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</si>
  <si>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</si>
  <si>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</si>
  <si>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</si>
  <si>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</si>
  <si>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</si>
  <si>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</si>
  <si>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</si>
  <si>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</si>
  <si>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</si>
  <si>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</si>
  <si>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</si>
  <si>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</si>
  <si>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</si>
  <si>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</si>
  <si>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</si>
  <si>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</si>
  <si>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</si>
  <si>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</si>
  <si>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</si>
  <si>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</si>
  <si>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</si>
  <si>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</si>
  <si>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</si>
  <si>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</si>
  <si>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</si>
  <si>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</si>
  <si>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</si>
  <si>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</si>
  <si>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</si>
  <si>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</si>
  <si>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</si>
  <si>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</si>
  <si>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</si>
  <si>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</si>
  <si>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</si>
  <si>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</si>
  <si>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</si>
  <si>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</si>
  <si>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</si>
  <si>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</si>
  <si>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</si>
  <si>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</si>
  <si>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</si>
  <si>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</si>
  <si>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</si>
  <si>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</si>
  <si>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</si>
  <si>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</si>
  <si>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</si>
  <si>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</si>
  <si>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</si>
  <si>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</si>
  <si>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</si>
  <si>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</si>
  <si>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</si>
  <si>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</si>
  <si>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</si>
  <si>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</si>
  <si>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</si>
  <si>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</si>
  <si>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</si>
  <si>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</si>
  <si>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</si>
  <si>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</si>
  <si>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</si>
  <si>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</si>
  <si>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</si>
  <si>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</si>
  <si>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</si>
  <si>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</si>
  <si>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</si>
  <si>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</si>
  <si>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</si>
  <si>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</si>
  <si>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</si>
  <si>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</si>
  <si>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</si>
  <si>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</si>
  <si>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</si>
  <si>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</si>
  <si>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</si>
  <si>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</si>
  <si>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</si>
  <si>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</si>
  <si>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</si>
  <si>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</si>
  <si>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</si>
  <si>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</si>
  <si>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</si>
  <si>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</si>
  <si>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</si>
  <si>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</si>
  <si>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</si>
  <si>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</si>
  <si>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</si>
  <si>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</si>
  <si>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</si>
  <si>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</si>
  <si>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</si>
  <si>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</si>
  <si>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</si>
  <si>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</si>
  <si>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</si>
  <si>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</si>
  <si>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</si>
  <si>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</si>
  <si>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</si>
  <si>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</si>
  <si>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</si>
  <si>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</si>
  <si>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</si>
  <si>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</si>
  <si>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</si>
  <si>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</si>
  <si>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</si>
  <si>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</si>
  <si>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</si>
  <si>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</si>
  <si>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</si>
  <si>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</si>
  <si>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</si>
  <si>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</si>
  <si>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</si>
  <si>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</si>
  <si>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</si>
  <si>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</si>
  <si>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</si>
  <si>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</si>
  <si>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</si>
  <si>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</si>
  <si>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</si>
  <si>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</si>
  <si>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</si>
  <si>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</si>
  <si>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</si>
  <si>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</si>
  <si>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</si>
  <si>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</si>
  <si>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</si>
  <si>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</si>
  <si>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</si>
  <si>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</si>
  <si>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</si>
  <si>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</si>
  <si>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</si>
  <si>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</si>
  <si>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</si>
  <si>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</si>
  <si>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</si>
  <si>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</si>
  <si>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</si>
  <si>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</si>
  <si>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</si>
  <si>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</si>
  <si>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</si>
  <si>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</si>
  <si>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</si>
  <si>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</si>
  <si>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</si>
  <si>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</si>
  <si>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</si>
  <si>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</si>
  <si>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</si>
  <si>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</si>
  <si>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</si>
  <si>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</si>
  <si>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</si>
  <si>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</si>
  <si>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</si>
  <si>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</si>
  <si>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</si>
  <si>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</si>
  <si>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</si>
  <si>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</si>
  <si>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</si>
  <si>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</si>
  <si>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</si>
  <si>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</si>
  <si>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</si>
  <si>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</si>
  <si>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</si>
  <si>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</si>
  <si>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</si>
  <si>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</si>
  <si>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</si>
  <si>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</si>
  <si>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</si>
  <si>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</si>
  <si>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</si>
  <si>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</si>
  <si>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</si>
  <si>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</si>
  <si>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</si>
  <si>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</si>
  <si>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</si>
  <si>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</si>
  <si>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</si>
  <si>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</si>
  <si>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</si>
  <si>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</si>
  <si>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</si>
  <si>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</si>
  <si>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</si>
  <si>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</si>
  <si>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</si>
  <si>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</si>
  <si>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</si>
  <si>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</si>
  <si>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</si>
  <si>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</si>
  <si>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</si>
  <si>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</si>
  <si>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</si>
  <si>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</si>
  <si>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</si>
  <si>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</si>
  <si>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</si>
  <si>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</si>
  <si>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</si>
  <si>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</si>
  <si>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</si>
  <si>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</si>
  <si>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</si>
  <si>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</si>
  <si>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</si>
  <si>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</si>
  <si>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</si>
  <si>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</si>
  <si>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</si>
  <si>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</si>
  <si>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</si>
  <si>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</si>
  <si>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</si>
  <si>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</si>
  <si>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</si>
  <si>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</si>
  <si>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</si>
  <si>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</si>
  <si>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</si>
  <si>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</si>
  <si>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</si>
  <si>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</si>
  <si>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</si>
  <si>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</si>
  <si>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</si>
  <si>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</si>
  <si>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</si>
  <si>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</si>
  <si>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</si>
  <si>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</si>
  <si>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</si>
  <si>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</si>
  <si>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</si>
  <si>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</si>
  <si>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</si>
  <si>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</si>
  <si>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</si>
  <si>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</si>
  <si>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</si>
  <si>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</si>
  <si>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</si>
  <si>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</si>
  <si>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</si>
  <si>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</si>
  <si>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</si>
  <si>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</si>
  <si>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</si>
  <si>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</si>
  <si>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</si>
  <si>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</si>
  <si>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</si>
  <si>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</si>
  <si>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</si>
  <si>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</si>
  <si>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</si>
  <si>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</si>
  <si>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</si>
  <si>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</si>
  <si>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</si>
  <si>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</si>
  <si>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</si>
  <si>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</si>
  <si>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</si>
  <si>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</si>
  <si>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</si>
  <si>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</si>
  <si>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</si>
  <si>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</si>
  <si>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</si>
  <si>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</si>
  <si>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</si>
  <si>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</si>
  <si>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</si>
  <si>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</si>
  <si>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</si>
  <si>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</si>
  <si>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</si>
  <si>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</si>
  <si>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</si>
  <si>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</si>
  <si>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</si>
  <si>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</si>
  <si>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</si>
  <si>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</si>
  <si>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</si>
  <si>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</si>
  <si>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</si>
  <si>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</si>
  <si>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</si>
  <si>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</si>
  <si>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</si>
  <si>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</si>
  <si>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</si>
  <si>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</si>
  <si>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</si>
  <si>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</si>
  <si>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</si>
  <si>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</si>
  <si>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</si>
  <si>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</si>
  <si>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</si>
  <si>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</si>
  <si>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</si>
  <si>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</si>
  <si>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</si>
  <si>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</si>
  <si>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</si>
  <si>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</si>
  <si>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</si>
  <si>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</si>
  <si>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</si>
  <si>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</si>
  <si>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</si>
  <si>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</si>
  <si>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</si>
  <si>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</si>
  <si>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</si>
  <si>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</si>
  <si>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</si>
  <si>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</si>
  <si>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</si>
  <si>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</si>
  <si>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</si>
  <si>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</si>
  <si>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</si>
  <si>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</si>
  <si>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</si>
  <si>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</si>
  <si>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</si>
  <si>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</si>
  <si>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</si>
  <si>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</si>
  <si>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</si>
  <si>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</si>
  <si>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</si>
  <si>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</si>
  <si>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</si>
  <si>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</si>
  <si>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</si>
  <si>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</si>
  <si>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</si>
  <si>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</si>
  <si>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</si>
  <si>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</si>
  <si>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</si>
  <si>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</si>
  <si>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</si>
  <si>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</si>
  <si>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</si>
  <si>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</si>
  <si>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</si>
  <si>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</si>
  <si>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</si>
  <si>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</si>
  <si>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</si>
  <si>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</si>
  <si>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</si>
  <si>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</si>
  <si>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</si>
  <si>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</si>
  <si>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</si>
  <si>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</si>
  <si>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</si>
  <si>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</si>
  <si>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</si>
  <si>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</si>
  <si>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</si>
  <si>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</si>
  <si>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</si>
  <si>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</si>
  <si>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</si>
  <si>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</si>
  <si>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</si>
  <si>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</si>
  <si>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</si>
  <si>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</si>
  <si>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</si>
  <si>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</si>
  <si>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</si>
  <si>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</si>
  <si>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</si>
  <si>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</si>
  <si>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</si>
  <si>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</si>
  <si>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</si>
  <si>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</si>
  <si>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</si>
  <si>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</si>
  <si>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</si>
  <si>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</si>
  <si>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</si>
  <si>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</si>
  <si>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</si>
  <si>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</si>
  <si>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</si>
  <si>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</si>
  <si>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</si>
  <si>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</si>
  <si>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</si>
  <si>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</si>
  <si>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</si>
  <si>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</si>
  <si>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</si>
  <si>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</si>
  <si>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</si>
  <si>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</si>
  <si>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</si>
  <si>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</si>
  <si>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</si>
  <si>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</si>
  <si>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</si>
  <si>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</si>
  <si>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</si>
  <si>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</si>
  <si>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</si>
  <si>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</si>
  <si>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</si>
  <si>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</si>
  <si>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</si>
  <si>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</si>
  <si>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</si>
  <si>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</si>
  <si>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</si>
  <si>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</si>
  <si>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</si>
  <si>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</si>
  <si>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</si>
  <si>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</si>
  <si>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</si>
  <si>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</si>
  <si>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</si>
  <si>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</si>
  <si>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</si>
  <si>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</si>
  <si>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</si>
  <si>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</si>
  <si>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</si>
  <si>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</si>
  <si>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</si>
  <si>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</si>
  <si>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</si>
  <si>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</si>
  <si>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</si>
  <si>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</si>
  <si>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</si>
  <si>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</si>
  <si>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</si>
  <si>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</si>
  <si>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</si>
  <si>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</si>
  <si>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</si>
  <si>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</si>
  <si>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</si>
  <si>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</si>
  <si>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</si>
  <si>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</si>
  <si>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</si>
  <si>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</si>
  <si>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</si>
  <si>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</si>
  <si>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</si>
  <si>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</si>
  <si>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</si>
  <si>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</si>
  <si>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</si>
  <si>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</si>
  <si>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</si>
  <si>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</si>
  <si>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</si>
  <si>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</si>
  <si>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</si>
  <si>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</si>
  <si>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</si>
  <si>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</si>
  <si>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</si>
  <si>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</si>
  <si>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</si>
  <si>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</si>
  <si>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</si>
  <si>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</si>
  <si>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</si>
  <si>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</si>
  <si>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</si>
  <si>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</si>
  <si>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</si>
  <si>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</si>
  <si>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</si>
  <si>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</si>
  <si>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</si>
  <si>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</si>
  <si>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</si>
  <si>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</si>
  <si>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</si>
  <si>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</si>
  <si>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</si>
  <si>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</si>
  <si>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</si>
  <si>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</si>
  <si>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</si>
  <si>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</si>
  <si>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</si>
  <si>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</si>
  <si>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</si>
  <si>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</si>
  <si>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</si>
  <si>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</si>
  <si>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</si>
  <si>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</si>
  <si>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</si>
  <si>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</si>
  <si>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</si>
  <si>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</si>
  <si>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</si>
  <si>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</si>
  <si>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</si>
  <si>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</si>
  <si>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</si>
  <si>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</si>
  <si>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</si>
  <si>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</si>
  <si>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</si>
  <si>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</si>
  <si>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</si>
  <si>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</si>
  <si>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</si>
  <si>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</si>
  <si>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</si>
  <si>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</si>
  <si>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</si>
  <si>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</si>
  <si>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</si>
  <si>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</si>
  <si>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</si>
  <si>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</si>
  <si>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</si>
  <si>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</si>
  <si>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</si>
  <si>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</si>
  <si>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</si>
  <si>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</si>
  <si>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</si>
  <si>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</si>
  <si>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</si>
  <si>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</si>
  <si>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</si>
  <si>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</si>
  <si>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</si>
  <si>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</si>
  <si>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</si>
  <si>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</si>
  <si>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</si>
  <si>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</si>
  <si>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</si>
  <si>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</si>
  <si>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</si>
  <si>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</si>
  <si>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</si>
  <si>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</si>
  <si>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</si>
  <si>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</si>
  <si>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</si>
  <si>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</si>
  <si>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</si>
  <si>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</si>
  <si>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</si>
  <si>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</si>
  <si>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</si>
  <si>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</si>
  <si>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</si>
  <si>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</si>
  <si>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</si>
  <si>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</si>
  <si>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</si>
  <si>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</si>
  <si>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</si>
  <si>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</si>
  <si>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</si>
  <si>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</si>
  <si>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</si>
  <si>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</si>
  <si>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</si>
  <si>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</si>
  <si>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</si>
  <si>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</si>
  <si>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</si>
  <si>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</si>
  <si>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</si>
  <si>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</si>
  <si>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</si>
  <si>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</si>
  <si>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</si>
  <si>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</si>
  <si>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</si>
  <si>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</si>
  <si>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</si>
  <si>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</si>
  <si>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</si>
  <si>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</si>
  <si>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</si>
  <si>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</si>
  <si>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</si>
  <si>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</si>
  <si>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</si>
  <si>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</si>
  <si>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</si>
  <si>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</si>
  <si>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</si>
  <si>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</si>
  <si>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</si>
  <si>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</si>
  <si>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</si>
  <si>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</si>
  <si>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</si>
  <si>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</si>
  <si>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</si>
  <si>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</si>
  <si>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</si>
  <si>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</si>
  <si>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</si>
  <si>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</si>
  <si>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</si>
  <si>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</si>
  <si>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</si>
  <si>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</si>
  <si>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</si>
  <si>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</si>
  <si>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</si>
  <si>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</si>
  <si>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</si>
  <si>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</si>
  <si>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</si>
  <si>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</si>
  <si>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</si>
  <si>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</si>
  <si>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</si>
  <si>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</si>
  <si>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</si>
  <si>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</si>
  <si>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</si>
  <si>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</si>
  <si>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</si>
  <si>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</si>
  <si>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</si>
  <si>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</si>
  <si>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</si>
  <si>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</si>
  <si>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</si>
  <si>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</si>
  <si>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</si>
  <si>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</si>
  <si>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</si>
  <si>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</si>
  <si>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</si>
  <si>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</si>
  <si>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</si>
  <si>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</si>
  <si>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</si>
  <si>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</si>
  <si>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</si>
  <si>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</si>
  <si>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</si>
  <si>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</si>
  <si>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</si>
  <si>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</si>
  <si>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</si>
  <si>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</si>
  <si>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</si>
  <si>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</si>
  <si>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</si>
  <si>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</si>
  <si>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</si>
  <si>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</si>
  <si>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</si>
  <si>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</si>
  <si>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</si>
  <si>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</si>
  <si>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</si>
  <si>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</si>
  <si>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</si>
  <si>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</si>
  <si>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</si>
  <si>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</si>
  <si>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</si>
  <si>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</si>
  <si>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</si>
  <si>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</si>
  <si>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</si>
  <si>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</si>
  <si>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</si>
  <si>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</si>
  <si>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</si>
  <si>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</si>
  <si>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</si>
  <si>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</si>
  <si>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</si>
  <si>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</si>
  <si>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</si>
  <si>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</si>
  <si>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</si>
  <si>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</si>
  <si>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</si>
  <si>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</si>
  <si>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</si>
  <si>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</si>
  <si>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</si>
  <si>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</si>
  <si>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</si>
  <si>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</si>
  <si>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</si>
  <si>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</si>
  <si>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</si>
  <si>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</si>
  <si>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</si>
  <si>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</si>
  <si>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</si>
  <si>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</si>
  <si>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</si>
  <si>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</si>
  <si>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</si>
  <si>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</si>
  <si>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</si>
  <si>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</si>
  <si>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</si>
  <si>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</si>
  <si>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</si>
  <si>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</si>
  <si>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</si>
  <si>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</si>
  <si>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</si>
  <si>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</si>
  <si>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</si>
  <si>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</si>
  <si>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</si>
  <si>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</si>
  <si>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</si>
  <si>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</si>
  <si>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</si>
  <si>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</si>
  <si>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</si>
  <si>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</si>
  <si>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</si>
  <si>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</si>
  <si>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</si>
  <si>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</si>
  <si>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</si>
  <si>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</si>
  <si>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</si>
  <si>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</si>
  <si>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</si>
  <si>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</si>
  <si>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</si>
  <si>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</si>
  <si>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</si>
  <si>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</si>
  <si>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</si>
  <si>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</si>
  <si>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</si>
  <si>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</si>
  <si>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</si>
  <si>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</si>
  <si>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</si>
  <si>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</si>
  <si>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</si>
  <si>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</si>
  <si>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</si>
  <si>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</si>
  <si>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</si>
  <si>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</si>
  <si>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</si>
  <si>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</si>
  <si>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</si>
  <si>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</si>
  <si>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</si>
  <si>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</si>
  <si>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</si>
  <si>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</si>
  <si>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</si>
  <si>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</si>
  <si>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</si>
  <si>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</si>
  <si>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</si>
  <si>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</si>
  <si>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</si>
  <si>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</si>
  <si>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</si>
  <si>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</si>
  <si>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</si>
  <si>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</si>
  <si>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</si>
  <si>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</si>
  <si>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</si>
  <si>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</si>
  <si>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</si>
  <si>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</si>
  <si>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</si>
  <si>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</si>
  <si>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</si>
  <si>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</si>
  <si>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</si>
  <si>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</si>
  <si>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</si>
  <si>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</si>
  <si>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</si>
  <si>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</si>
  <si>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</si>
  <si>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</si>
  <si>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</si>
  <si>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</si>
  <si>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</si>
  <si>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</si>
  <si>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</si>
  <si>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</si>
  <si>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</si>
  <si>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</si>
  <si>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</si>
  <si>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</si>
  <si>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</si>
  <si>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</si>
  <si>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</si>
  <si>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</si>
  <si>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</si>
  <si>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</si>
  <si>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</si>
  <si>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</si>
  <si>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</si>
  <si>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</si>
  <si>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</si>
  <si>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</si>
  <si>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</si>
  <si>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</si>
  <si>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</si>
  <si>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</si>
  <si>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</si>
  <si>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</si>
  <si>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</si>
  <si>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</si>
  <si>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</si>
  <si>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</si>
  <si>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</si>
  <si>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</si>
  <si>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</si>
  <si>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</si>
  <si>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</si>
  <si>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</si>
  <si>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</si>
  <si>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</si>
  <si>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</si>
  <si>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</si>
  <si>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</si>
  <si>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</si>
  <si>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</si>
  <si>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</si>
  <si>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</si>
  <si>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</si>
  <si>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</si>
  <si>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</si>
  <si>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</si>
  <si>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</si>
  <si>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</si>
  <si>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</si>
  <si>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</si>
  <si>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</si>
  <si>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</si>
  <si>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</si>
  <si>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</si>
  <si>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</si>
  <si>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</si>
  <si>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</si>
  <si>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</si>
  <si>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</si>
  <si>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</si>
  <si>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</si>
  <si>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</si>
  <si>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</si>
  <si>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</si>
  <si>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</si>
  <si>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</si>
  <si>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</si>
  <si>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</si>
  <si>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</si>
  <si>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</si>
  <si>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</si>
  <si>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</si>
  <si>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</si>
  <si>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</si>
  <si>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</si>
  <si>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</si>
  <si>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</si>
  <si>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</si>
  <si>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</si>
  <si>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</si>
  <si>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</si>
  <si>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</si>
  <si>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</si>
  <si>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</si>
  <si>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</si>
  <si>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</si>
  <si>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</si>
  <si>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</si>
  <si>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</si>
  <si>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</si>
  <si>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</si>
  <si>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</si>
  <si>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</si>
  <si>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</si>
  <si>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</si>
  <si>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</si>
  <si>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</si>
  <si>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</si>
  <si>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</si>
  <si>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</si>
  <si>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</si>
  <si>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</si>
  <si>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</si>
  <si>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</si>
  <si>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</si>
  <si>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</si>
  <si>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</si>
  <si>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</si>
  <si>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</si>
  <si>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</si>
  <si>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</si>
  <si>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</si>
  <si>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</si>
  <si>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</si>
  <si>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</si>
  <si>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</si>
  <si>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</si>
  <si>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</si>
  <si>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</si>
  <si>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</si>
  <si>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</si>
  <si>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</si>
  <si>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</si>
  <si>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</si>
  <si>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</si>
  <si>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</si>
  <si>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</si>
  <si>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</si>
  <si>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</si>
  <si>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</si>
  <si>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</si>
  <si>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</si>
  <si>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</si>
  <si>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</si>
  <si>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</si>
  <si>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</si>
  <si>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</si>
  <si>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</si>
  <si>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</si>
  <si>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</si>
  <si>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</si>
  <si>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</si>
  <si>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</si>
  <si>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</si>
  <si>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</si>
  <si>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</si>
  <si>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</si>
  <si>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</si>
  <si>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</si>
  <si>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</si>
  <si>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</si>
  <si>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</si>
  <si>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</si>
  <si>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</si>
  <si>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</si>
  <si>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</si>
  <si>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</si>
  <si>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</si>
  <si>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</si>
  <si>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</si>
  <si>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</si>
  <si>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</si>
  <si>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</si>
  <si>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</si>
  <si>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</si>
  <si>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</si>
  <si>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</si>
  <si>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</si>
  <si>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</si>
  <si>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</si>
  <si>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</si>
  <si>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</si>
  <si>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</si>
  <si>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</si>
  <si>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</si>
  <si>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</si>
  <si>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</si>
  <si>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</si>
  <si>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</si>
  <si>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</si>
  <si>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</si>
  <si>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</si>
  <si>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</si>
  <si>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</si>
  <si>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</si>
  <si>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</si>
  <si>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</si>
  <si>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</si>
  <si>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</si>
  <si>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</si>
  <si>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</si>
  <si>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</si>
  <si>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</si>
  <si>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</si>
  <si>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</si>
  <si>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</si>
  <si>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</si>
  <si>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</si>
  <si>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</si>
  <si>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</si>
  <si>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</si>
  <si>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</si>
  <si>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</si>
  <si>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</si>
  <si>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</si>
  <si>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</si>
  <si>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</si>
  <si>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</si>
  <si>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</si>
  <si>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</si>
  <si>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</si>
  <si>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</si>
  <si>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</si>
  <si>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</si>
  <si>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</si>
  <si>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</si>
  <si>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</si>
  <si>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</si>
  <si>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</si>
  <si>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</si>
  <si>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</si>
  <si>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</si>
  <si>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</si>
  <si>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</si>
  <si>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</si>
  <si>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</si>
  <si>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</si>
  <si>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</si>
  <si>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</si>
  <si>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</si>
  <si>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</si>
  <si>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</si>
  <si>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</si>
  <si>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</si>
  <si>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</si>
  <si>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</si>
  <si>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</si>
  <si>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</si>
  <si>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</si>
  <si>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</si>
  <si>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</si>
  <si>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</si>
  <si>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</si>
  <si>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</si>
  <si>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</si>
  <si>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</si>
  <si>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</si>
  <si>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</si>
  <si>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</si>
  <si>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</si>
  <si>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</si>
  <si>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</si>
  <si>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</si>
  <si>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</si>
  <si>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</si>
  <si>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</si>
  <si>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</si>
  <si>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</si>
  <si>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</si>
  <si>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</si>
  <si>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</si>
  <si>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</si>
  <si>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</si>
  <si>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</si>
  <si>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</si>
  <si>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</si>
  <si>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</si>
  <si>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</si>
  <si>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</si>
  <si>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</si>
  <si>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</si>
  <si>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</si>
  <si>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</si>
  <si>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</si>
  <si>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</si>
  <si>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</si>
  <si>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</si>
  <si>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</si>
  <si>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</si>
  <si>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</si>
  <si>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</si>
  <si>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</si>
  <si>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</si>
  <si>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</si>
  <si>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</si>
  <si>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</si>
  <si>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</si>
  <si>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</si>
  <si>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</si>
  <si>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</si>
  <si>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</si>
  <si>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</si>
  <si>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</si>
  <si>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</si>
  <si>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</si>
  <si>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</si>
  <si>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</si>
  <si>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</si>
  <si>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</si>
  <si>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</si>
  <si>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</si>
  <si>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</si>
  <si>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</si>
  <si>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</si>
  <si>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</si>
  <si>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</si>
  <si>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</si>
  <si>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</si>
  <si>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</si>
  <si>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</si>
  <si>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</si>
  <si>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</si>
  <si>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</si>
  <si>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</si>
  <si>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</si>
  <si>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</si>
  <si>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</si>
  <si>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</si>
  <si>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</si>
  <si>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</si>
  <si>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</si>
  <si>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</si>
  <si>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</si>
  <si>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</si>
  <si>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</si>
  <si>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</si>
  <si>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</si>
  <si>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</si>
  <si>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</si>
  <si>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</si>
  <si>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</si>
  <si>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</si>
  <si>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</si>
  <si>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</si>
  <si>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</si>
  <si>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</si>
  <si>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</si>
  <si>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</si>
  <si>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</si>
  <si>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</si>
  <si>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</si>
  <si>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</si>
  <si>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</si>
  <si>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</si>
  <si>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</si>
  <si>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</si>
  <si>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</si>
  <si>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</si>
  <si>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</si>
  <si>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</si>
  <si>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</si>
  <si>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</si>
  <si>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</si>
  <si>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</si>
  <si>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</si>
  <si>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</si>
  <si>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</si>
  <si>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</si>
  <si>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</si>
  <si>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</si>
  <si>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</si>
  <si>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</si>
  <si>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</si>
  <si>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</si>
  <si>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</si>
  <si>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</si>
  <si>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</si>
  <si>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</si>
  <si>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</si>
  <si>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</si>
  <si>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</si>
  <si>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</si>
  <si>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</si>
  <si>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</si>
  <si>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</si>
  <si>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</si>
  <si>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</si>
  <si>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</si>
  <si>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</si>
  <si>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</si>
  <si>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</si>
  <si>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</si>
  <si>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</si>
  <si>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</si>
  <si>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</si>
  <si>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</si>
  <si>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</si>
  <si>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</si>
  <si>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</si>
  <si>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</si>
  <si>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</si>
  <si>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</si>
  <si>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</si>
  <si>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</si>
  <si>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</si>
  <si>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</si>
  <si>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</si>
  <si>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</si>
  <si>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</si>
  <si>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</si>
  <si>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</si>
  <si>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</si>
  <si>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</si>
  <si>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</si>
  <si>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</si>
  <si>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</si>
  <si>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</si>
  <si>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</si>
  <si>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</si>
  <si>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</si>
  <si>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</si>
  <si>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</si>
  <si>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</si>
  <si>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</si>
  <si>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</si>
  <si>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</si>
  <si>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</si>
  <si>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</si>
  <si>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</si>
  <si>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</si>
  <si>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</si>
  <si>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</si>
  <si>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</si>
  <si>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</si>
  <si>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</si>
  <si>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</si>
  <si>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</si>
  <si>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</si>
  <si>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</si>
  <si>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</si>
  <si>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</si>
  <si>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</si>
  <si>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</si>
  <si>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</si>
  <si>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</si>
  <si>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</si>
  <si>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</si>
  <si>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</si>
  <si>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</si>
  <si>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</si>
  <si>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</si>
  <si>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</si>
  <si>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</si>
  <si>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</si>
  <si>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</si>
  <si>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</si>
  <si>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</si>
  <si>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</si>
  <si>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</si>
  <si>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</si>
  <si>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</si>
  <si>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</si>
  <si>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</si>
  <si>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</si>
  <si>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</si>
  <si>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</si>
  <si>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</si>
  <si>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</si>
  <si>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</si>
  <si>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</si>
  <si>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</si>
  <si>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</si>
  <si>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</si>
  <si>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</si>
  <si>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</si>
  <si>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</si>
  <si>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</si>
  <si>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</si>
  <si>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</si>
  <si>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</si>
  <si>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</si>
  <si>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</si>
  <si>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</si>
  <si>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</si>
  <si>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</si>
  <si>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</si>
  <si>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</si>
  <si>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</si>
  <si>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</si>
  <si>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</si>
  <si>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</si>
  <si>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</si>
  <si>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</si>
  <si>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</si>
  <si>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</si>
  <si>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</si>
  <si>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</si>
  <si>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</si>
  <si>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</si>
  <si>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</si>
  <si>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</si>
  <si>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</si>
  <si>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</si>
  <si>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</si>
  <si>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</si>
  <si>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</si>
  <si>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</si>
  <si>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</si>
  <si>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</si>
  <si>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</si>
  <si>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</si>
  <si>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</si>
  <si>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</si>
  <si>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</si>
  <si>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</si>
  <si>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</si>
  <si>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</si>
  <si>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</si>
  <si>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</si>
  <si>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</si>
  <si>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</si>
  <si>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</si>
  <si>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</si>
  <si>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</si>
  <si>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</si>
  <si>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</si>
  <si>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</si>
  <si>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</si>
  <si>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</si>
  <si>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</si>
  <si>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</si>
  <si>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</si>
  <si>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</si>
  <si>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</si>
  <si>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</si>
  <si>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</si>
  <si>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</si>
  <si>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</si>
  <si>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</si>
  <si>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</si>
  <si>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</si>
  <si>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</si>
  <si>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</si>
  <si>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</si>
  <si>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</si>
  <si>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</si>
  <si>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</si>
  <si>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</si>
  <si>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</si>
  <si>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</si>
  <si>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</si>
  <si>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</si>
  <si>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</si>
  <si>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</si>
  <si>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</si>
  <si>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</si>
  <si>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</si>
  <si>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</si>
  <si>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</si>
  <si>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</si>
  <si>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</si>
  <si>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</si>
  <si>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</si>
  <si>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</si>
  <si>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</si>
  <si>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</si>
  <si>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</si>
  <si>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</si>
  <si>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</si>
  <si>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</si>
  <si>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</si>
  <si>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</si>
  <si>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</si>
  <si>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</si>
  <si>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</si>
  <si>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</si>
  <si>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</si>
  <si>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</si>
  <si>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</si>
  <si>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</si>
  <si>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</si>
  <si>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</si>
  <si>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</si>
  <si>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</si>
  <si>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</si>
  <si>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</si>
  <si>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</si>
  <si>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</si>
  <si>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</si>
  <si>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</si>
  <si>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</si>
  <si>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</si>
  <si>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</si>
  <si>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</si>
  <si>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</si>
  <si>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</si>
  <si>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</si>
  <si>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</si>
  <si>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</si>
  <si>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</si>
  <si>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</si>
  <si>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</si>
  <si>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</si>
  <si>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</si>
  <si>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</si>
  <si>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</si>
  <si>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</si>
  <si>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</si>
  <si>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</si>
  <si>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</si>
  <si>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</si>
  <si>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</si>
  <si>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</si>
  <si>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</si>
  <si>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</si>
  <si>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</si>
  <si>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</si>
  <si>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</si>
  <si>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</si>
  <si>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</si>
  <si>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</si>
  <si>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</si>
  <si>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</si>
  <si>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</si>
  <si>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</si>
  <si>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</si>
  <si>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</si>
  <si>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</si>
  <si>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</si>
  <si>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</si>
  <si>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</si>
  <si>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</si>
  <si>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</si>
  <si>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</si>
  <si>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</si>
  <si>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</si>
  <si>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</si>
  <si>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</si>
  <si>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</si>
  <si>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</si>
  <si>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</si>
  <si>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</si>
  <si>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</si>
  <si>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</si>
  <si>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</si>
  <si>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</si>
  <si>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</si>
  <si>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</si>
  <si>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</si>
  <si>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</si>
  <si>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</si>
  <si>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</si>
  <si>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</si>
  <si>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</si>
  <si>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</si>
  <si>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</si>
  <si>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</si>
  <si>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</si>
  <si>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</si>
  <si>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</si>
  <si>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</si>
  <si>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</si>
  <si>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</si>
  <si>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</si>
  <si>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</si>
  <si>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</si>
  <si>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</si>
  <si>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</si>
  <si>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</si>
  <si>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</si>
  <si>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</si>
  <si>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</si>
  <si>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</si>
  <si>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</si>
  <si>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</si>
  <si>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</si>
  <si>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</si>
  <si>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</si>
  <si>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</si>
  <si>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</si>
  <si>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</si>
  <si>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</si>
  <si>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</si>
  <si>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</si>
  <si>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</si>
  <si>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</si>
  <si>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</si>
  <si>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</si>
  <si>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</si>
  <si>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</si>
  <si>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</si>
  <si>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</si>
  <si>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</si>
  <si>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</si>
  <si>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</si>
  <si>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</si>
  <si>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</si>
  <si>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</si>
  <si>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</si>
  <si>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</si>
  <si>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</si>
  <si>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</si>
  <si>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</si>
  <si>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</si>
  <si>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</si>
  <si>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</si>
  <si>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</si>
  <si>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</si>
  <si>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</si>
  <si>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</si>
  <si>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</si>
  <si>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</si>
  <si>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</si>
  <si>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</si>
  <si>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</si>
  <si>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</si>
  <si>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</si>
  <si>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</si>
  <si>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</si>
  <si>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</si>
  <si>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</si>
  <si>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</si>
  <si>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</si>
  <si>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</si>
  <si>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</si>
  <si>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</si>
  <si>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</si>
  <si>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</si>
  <si>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</si>
  <si>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</si>
  <si>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</si>
  <si>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</si>
  <si>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</si>
  <si>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</si>
  <si>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</si>
  <si>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</si>
  <si>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</si>
  <si>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</si>
  <si>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</si>
  <si>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</si>
  <si>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</si>
  <si>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</si>
  <si>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</si>
  <si>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</si>
  <si>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</si>
  <si>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</si>
  <si>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</si>
  <si>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</si>
  <si>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</si>
  <si>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</si>
  <si>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</si>
  <si>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</si>
  <si>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</si>
  <si>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</si>
  <si>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</si>
  <si>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</si>
  <si>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</si>
  <si>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</si>
  <si>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</si>
  <si>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</si>
  <si>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</si>
  <si>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</si>
  <si>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</si>
  <si>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</si>
  <si>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</si>
  <si>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</si>
  <si>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</si>
  <si>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</si>
  <si>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</si>
  <si>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</si>
  <si>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</si>
  <si>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</si>
  <si>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</si>
  <si>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</si>
  <si>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</si>
  <si>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</si>
  <si>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</si>
  <si>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</si>
  <si>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</si>
  <si>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</si>
  <si>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</si>
  <si>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</si>
  <si>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</si>
  <si>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</si>
  <si>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</si>
  <si>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</si>
  <si>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</si>
  <si>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</si>
  <si>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</si>
  <si>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</si>
  <si>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</si>
  <si>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</si>
  <si>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</si>
  <si>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</si>
  <si>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</si>
  <si>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</si>
  <si>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</si>
  <si>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</si>
  <si>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</si>
  <si>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</si>
  <si>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</si>
  <si>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</si>
  <si>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</si>
  <si>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</si>
  <si>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</si>
  <si>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</si>
  <si>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</si>
  <si>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</si>
  <si>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</si>
  <si>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</si>
  <si>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</si>
  <si>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</si>
  <si>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</si>
  <si>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</si>
  <si>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</si>
  <si>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</si>
  <si>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</si>
  <si>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</si>
  <si>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</si>
  <si>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</si>
  <si>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</si>
  <si>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</si>
  <si>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</si>
  <si>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</si>
  <si>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</si>
  <si>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</si>
  <si>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</si>
  <si>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</si>
  <si>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</si>
  <si>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</si>
  <si>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</si>
  <si>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</si>
  <si>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</si>
  <si>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</si>
  <si>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</si>
  <si>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</si>
  <si>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</si>
  <si>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</si>
  <si>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</si>
  <si>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</si>
  <si>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</si>
  <si>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</si>
  <si>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</si>
  <si>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</si>
  <si>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</si>
  <si>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</si>
  <si>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</si>
  <si>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</si>
  <si>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</si>
  <si>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</si>
  <si>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</si>
  <si>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</si>
  <si>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</si>
  <si>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</si>
  <si>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</si>
  <si>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</si>
  <si>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</si>
  <si>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</si>
  <si>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</si>
  <si>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</si>
  <si>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</si>
  <si>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</si>
  <si>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</si>
  <si>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</si>
  <si>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</si>
  <si>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</si>
  <si>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</si>
  <si>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</si>
  <si>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</si>
  <si>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</si>
  <si>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</si>
  <si>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</si>
  <si>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</si>
  <si>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</si>
  <si>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</si>
  <si>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</si>
  <si>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</si>
  <si>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</si>
  <si>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</si>
  <si>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</si>
  <si>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</si>
  <si>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</si>
  <si>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</si>
  <si>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</si>
  <si>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</si>
  <si>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</si>
  <si>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</si>
  <si>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</si>
  <si>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</si>
  <si>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</si>
  <si>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</si>
  <si>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</si>
  <si>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</si>
  <si>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</si>
  <si>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</si>
  <si>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</si>
  <si>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</si>
  <si>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</si>
  <si>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</si>
  <si>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</si>
  <si>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</si>
  <si>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</si>
  <si>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</si>
  <si>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</si>
  <si>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</si>
  <si>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</si>
  <si>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</si>
  <si>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</si>
  <si>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</si>
  <si>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</si>
  <si>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</si>
  <si>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</si>
  <si>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</si>
  <si>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</si>
  <si>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</si>
  <si>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</si>
  <si>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</si>
  <si>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</si>
  <si>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</si>
  <si>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</si>
  <si>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</si>
  <si>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</si>
  <si>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</si>
  <si>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</si>
  <si>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</si>
  <si>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</si>
  <si>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</si>
  <si>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</si>
  <si>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</si>
  <si>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</si>
  <si>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</si>
  <si>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</si>
  <si>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</si>
  <si>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</si>
  <si>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</si>
  <si>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</si>
  <si>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</si>
  <si>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</si>
  <si>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</si>
  <si>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</si>
  <si>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</si>
  <si>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</si>
  <si>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</si>
  <si>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</si>
  <si>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</si>
  <si>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</si>
  <si>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</si>
  <si>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</si>
  <si>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</si>
  <si>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</si>
  <si>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</si>
  <si>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</si>
  <si>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</si>
  <si>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</si>
  <si>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</si>
  <si>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</si>
  <si>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</si>
  <si>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</si>
  <si>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</si>
  <si>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</si>
  <si>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</si>
  <si>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</si>
  <si>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</si>
  <si>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</si>
  <si>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</si>
  <si>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</si>
  <si>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</si>
  <si>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</si>
  <si>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</si>
  <si>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</si>
  <si>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</si>
  <si>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</si>
  <si>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</si>
  <si>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</si>
  <si>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</si>
  <si>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</si>
  <si>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</si>
  <si>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</si>
  <si>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</si>
  <si>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</si>
  <si>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</si>
  <si>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</si>
  <si>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</si>
  <si>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</si>
  <si>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</si>
  <si>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</si>
  <si>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</si>
  <si>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</si>
  <si>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</si>
  <si>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</si>
  <si>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</si>
  <si>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</si>
  <si>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</si>
  <si>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</si>
  <si>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</si>
  <si>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</si>
  <si>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</si>
  <si>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</si>
  <si>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</si>
  <si>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</si>
  <si>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</si>
  <si>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</si>
  <si>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</si>
  <si>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</si>
  <si>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</si>
  <si>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</si>
  <si>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</si>
  <si>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</si>
  <si>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</si>
  <si>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</si>
  <si>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</si>
  <si>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</si>
  <si>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</si>
  <si>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</si>
  <si>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</si>
  <si>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</si>
  <si>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</si>
  <si>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</si>
  <si>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</si>
  <si>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</si>
  <si>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</si>
  <si>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</si>
  <si>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</si>
  <si>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</si>
  <si>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</si>
  <si>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</si>
  <si>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</si>
  <si>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</si>
  <si>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</si>
  <si>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</si>
  <si>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</si>
  <si>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</si>
  <si>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</si>
  <si>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</si>
  <si>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</si>
  <si>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</si>
  <si>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</si>
  <si>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</si>
  <si>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</si>
  <si>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</si>
  <si>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</si>
  <si>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</si>
  <si>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</si>
  <si>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</si>
  <si>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</si>
  <si>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</si>
  <si>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</si>
  <si>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</si>
  <si>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</si>
  <si>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</si>
  <si>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</si>
  <si>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</si>
  <si>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</si>
  <si>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</si>
  <si>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</si>
  <si>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</si>
  <si>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</si>
  <si>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</si>
  <si>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</si>
  <si>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</si>
  <si>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</si>
  <si>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</si>
  <si>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</si>
  <si>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</si>
  <si>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</si>
  <si>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</si>
  <si>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</si>
  <si>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</si>
  <si>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</si>
  <si>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</si>
  <si>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</si>
  <si>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</si>
  <si>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</si>
  <si>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</si>
  <si>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</si>
  <si>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</si>
  <si>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</si>
  <si>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</si>
  <si>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</si>
  <si>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</si>
  <si>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</si>
  <si>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</si>
  <si>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</si>
  <si>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</si>
  <si>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</si>
  <si>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</si>
  <si>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</si>
  <si>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</si>
  <si>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</si>
  <si>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</si>
  <si>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</si>
  <si>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</si>
  <si>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</si>
  <si>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</si>
  <si>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</si>
  <si>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</si>
  <si>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</si>
  <si>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</si>
  <si>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</si>
  <si>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</si>
  <si>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</si>
  <si>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</si>
  <si>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</si>
  <si>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</si>
  <si>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</si>
  <si>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</si>
  <si>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</si>
  <si>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</si>
  <si>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</si>
  <si>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</si>
  <si>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</si>
  <si>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</si>
  <si>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</si>
  <si>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</si>
  <si>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</si>
  <si>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</si>
  <si>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</si>
  <si>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</si>
  <si>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</si>
  <si>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</si>
  <si>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</si>
  <si>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</si>
  <si>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</si>
  <si>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</si>
  <si>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</si>
  <si>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</si>
  <si>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</si>
  <si>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</si>
  <si>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</si>
  <si>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</si>
  <si>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</si>
  <si>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</si>
  <si>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</si>
  <si>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</si>
  <si>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</si>
  <si>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</si>
  <si>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</si>
  <si>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</si>
  <si>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</si>
  <si>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</si>
  <si>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</si>
  <si>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</si>
  <si>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</si>
  <si>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</si>
  <si>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</si>
  <si>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</si>
  <si>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</si>
  <si>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</si>
  <si>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</si>
  <si>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</si>
  <si>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</si>
  <si>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</si>
  <si>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</si>
  <si>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</si>
  <si>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</si>
  <si>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</si>
  <si>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</si>
  <si>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</si>
  <si>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</si>
  <si>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</si>
  <si>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</si>
  <si>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</si>
  <si>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</si>
  <si>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</si>
  <si>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</si>
  <si>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</si>
  <si>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</si>
  <si>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</si>
  <si>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</si>
  <si>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</si>
  <si>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</si>
  <si>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</si>
  <si>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</si>
  <si>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</si>
  <si>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</si>
  <si>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</si>
  <si>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</si>
  <si>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</si>
  <si>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</si>
  <si>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</si>
  <si>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</si>
  <si>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</si>
  <si>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</si>
  <si>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</si>
  <si>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</si>
  <si>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</si>
  <si>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</si>
  <si>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</si>
  <si>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</si>
  <si>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</si>
  <si>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</si>
  <si>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</si>
  <si>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</si>
  <si>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</si>
  <si>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</si>
  <si>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</si>
  <si>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</si>
  <si>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</si>
  <si>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</si>
  <si>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</si>
  <si>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</si>
  <si>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</si>
  <si>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</si>
  <si>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</si>
  <si>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</si>
  <si>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</si>
  <si>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</si>
  <si>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</si>
  <si>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</si>
  <si>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</si>
  <si>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</si>
  <si>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</si>
  <si>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</si>
  <si>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</si>
  <si>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</si>
  <si>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</si>
  <si>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</si>
  <si>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</si>
  <si>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</si>
  <si>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</si>
  <si>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</si>
  <si>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</si>
  <si>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</si>
  <si>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</si>
  <si>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</si>
  <si>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</si>
  <si>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</si>
  <si>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</si>
  <si>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</si>
  <si>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</si>
  <si>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</si>
  <si>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</si>
  <si>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</si>
  <si>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</si>
  <si>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</si>
  <si>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</si>
  <si>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</si>
  <si>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</si>
  <si>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</si>
  <si>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</si>
  <si>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</si>
  <si>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</si>
  <si>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</si>
  <si>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</si>
  <si>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</si>
  <si>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</si>
  <si>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</si>
  <si>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</si>
  <si>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</si>
  <si>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</si>
  <si>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</si>
  <si>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</si>
  <si>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</si>
  <si>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</si>
  <si>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</si>
  <si>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</si>
  <si>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</si>
  <si>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</si>
  <si>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</si>
  <si>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</si>
  <si>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</si>
  <si>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</si>
  <si>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</si>
  <si>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</si>
  <si>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</si>
  <si>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</si>
  <si>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</si>
  <si>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</si>
  <si>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</si>
  <si>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</si>
  <si>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</si>
  <si>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</si>
  <si>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</si>
  <si>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</si>
  <si>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</si>
  <si>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</si>
  <si>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</si>
  <si>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</si>
  <si>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</si>
  <si>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</si>
  <si>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</si>
  <si>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</si>
  <si>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</si>
  <si>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</si>
  <si>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</si>
  <si>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</si>
  <si>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</si>
  <si>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</si>
  <si>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</si>
  <si>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</si>
  <si>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</si>
  <si>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</si>
  <si>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</si>
  <si>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</si>
  <si>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</si>
  <si>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</si>
  <si>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</si>
  <si>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</si>
  <si>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</si>
  <si>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</si>
  <si>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</si>
  <si>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</si>
  <si>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</si>
  <si>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</si>
  <si>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</si>
  <si>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</si>
  <si>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</si>
  <si>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</si>
  <si>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</si>
  <si>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</si>
  <si>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</si>
  <si>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</si>
  <si>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</si>
  <si>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</si>
  <si>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</si>
  <si>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</si>
  <si>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</si>
  <si>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</si>
  <si>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</si>
  <si>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</si>
  <si>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</si>
  <si>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</si>
  <si>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</si>
  <si>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</si>
  <si>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</si>
  <si>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</si>
  <si>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</si>
  <si>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</si>
  <si>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</si>
  <si>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</si>
  <si>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</si>
  <si>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</si>
  <si>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</si>
  <si>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</si>
  <si>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</si>
  <si>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</si>
  <si>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</si>
  <si>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</si>
  <si>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</si>
  <si>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</si>
  <si>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</si>
  <si>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</si>
  <si>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</si>
  <si>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</si>
  <si>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</si>
  <si>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</si>
  <si>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</si>
  <si>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</si>
  <si>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</si>
  <si>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</si>
  <si>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</si>
  <si>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</si>
  <si>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</si>
  <si>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</si>
  <si>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</si>
  <si>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</si>
  <si>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</si>
  <si>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</si>
  <si>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</si>
  <si>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</si>
  <si>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</si>
  <si>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</si>
  <si>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</si>
  <si>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</si>
  <si>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</si>
  <si>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</si>
  <si>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</si>
  <si>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</si>
  <si>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</si>
  <si>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</si>
  <si>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</si>
  <si>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</si>
  <si>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</si>
  <si>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</si>
  <si>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</si>
  <si>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</si>
  <si>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</si>
  <si>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</si>
  <si>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</si>
  <si>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</si>
  <si>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</si>
  <si>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</si>
  <si>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</si>
  <si>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</si>
  <si>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</si>
  <si>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</si>
  <si>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</si>
  <si>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</si>
  <si>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</si>
  <si>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</si>
  <si>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</si>
  <si>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</si>
  <si>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</si>
  <si>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</si>
  <si>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</si>
  <si>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</si>
  <si>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</si>
  <si>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</si>
  <si>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</si>
  <si>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</si>
  <si>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</si>
  <si>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</si>
  <si>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</si>
  <si>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</si>
  <si>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t>&lt; Select &gt;</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</si>
  <si>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</si>
  <si>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</si>
  <si>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</si>
  <si>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</si>
  <si>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</si>
  <si>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</si>
  <si>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</si>
  <si>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</si>
  <si>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</si>
  <si>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</si>
  <si>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</si>
  <si>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</si>
  <si>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</si>
  <si>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</si>
  <si>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</si>
  <si>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</si>
  <si>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</si>
  <si>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</si>
  <si>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</si>
  <si>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</si>
  <si>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</si>
  <si>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</si>
  <si>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</si>
  <si>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</si>
  <si>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</si>
  <si>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</si>
  <si>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</si>
  <si>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</si>
  <si>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</si>
  <si>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</si>
  <si>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</si>
  <si>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</si>
  <si>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</si>
  <si>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</si>
  <si>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</si>
  <si>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</si>
  <si>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</si>
  <si>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</si>
  <si>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</si>
  <si>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</si>
  <si>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</si>
  <si>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</si>
  <si>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</si>
  <si>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</si>
  <si>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</si>
  <si>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</si>
  <si>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</si>
  <si>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</si>
  <si>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</si>
  <si>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</si>
  <si>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</si>
  <si>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</si>
  <si>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</si>
  <si>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</si>
  <si>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</si>
  <si>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</si>
  <si>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</si>
  <si>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</si>
  <si>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</si>
  <si>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</si>
  <si>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</si>
  <si>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</si>
  <si>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</si>
  <si>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</si>
  <si>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</si>
  <si>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</si>
  <si>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</si>
  <si>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</si>
  <si>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</si>
  <si>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</si>
  <si>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</si>
  <si>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</si>
  <si>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</si>
  <si>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</si>
  <si>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</si>
  <si>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</si>
  <si>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</si>
  <si>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</si>
  <si>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</si>
  <si>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</si>
  <si>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</si>
  <si>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</si>
  <si>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</si>
  <si>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</si>
  <si>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</si>
  <si>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</si>
  <si>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</si>
  <si>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</si>
  <si>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</si>
  <si>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</si>
  <si>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</si>
  <si>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</si>
  <si>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</si>
  <si>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</si>
  <si>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</si>
  <si>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</si>
  <si>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</si>
  <si>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</si>
  <si>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</si>
  <si>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</si>
  <si>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</si>
  <si>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</si>
  <si>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</si>
  <si>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</si>
  <si>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</si>
  <si>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</si>
  <si>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</si>
  <si>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</si>
  <si>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</si>
  <si>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</si>
  <si>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</si>
  <si>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</si>
  <si>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</si>
  <si>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</si>
  <si>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</si>
  <si>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</si>
  <si>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</si>
  <si>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</si>
  <si>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</si>
  <si>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</si>
  <si>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</si>
  <si>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</si>
  <si>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</si>
  <si>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</si>
  <si>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</si>
  <si>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</si>
  <si>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</si>
  <si>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</si>
  <si>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</si>
  <si>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</si>
  <si>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</si>
  <si>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</si>
  <si>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</si>
  <si>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</si>
  <si>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</si>
  <si>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</si>
  <si>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</si>
  <si>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</si>
  <si>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</si>
  <si>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</si>
  <si>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</si>
  <si>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</si>
  <si>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</si>
  <si>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</si>
  <si>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</si>
  <si>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</si>
  <si>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</si>
  <si>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</si>
  <si>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</si>
  <si>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</si>
  <si>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</si>
  <si>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</si>
  <si>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</si>
  <si>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</si>
  <si>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</si>
  <si>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</si>
  <si>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</si>
  <si>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</si>
  <si>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</si>
  <si>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</si>
  <si>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</si>
  <si>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</si>
  <si>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</si>
  <si>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</si>
  <si>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</si>
  <si>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</si>
  <si>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</si>
  <si>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</si>
  <si>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</si>
  <si>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</si>
  <si>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</si>
  <si>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</si>
  <si>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</si>
  <si>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</si>
  <si>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</si>
  <si>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</si>
  <si>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</si>
  <si>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</si>
  <si>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</si>
  <si>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</si>
  <si>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</si>
  <si>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</si>
  <si>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</si>
  <si>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</si>
  <si>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</si>
  <si>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</si>
  <si>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</si>
  <si>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</si>
  <si>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</si>
  <si>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</si>
  <si>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</si>
  <si>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</si>
  <si>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</si>
  <si>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</si>
  <si>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</si>
  <si>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</si>
  <si>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</si>
  <si>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</si>
  <si>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</si>
  <si>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</si>
  <si>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</si>
  <si>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</si>
  <si>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</si>
  <si>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</si>
  <si>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</si>
  <si>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</si>
  <si>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</si>
  <si>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</si>
  <si>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</si>
  <si>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</si>
  <si>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</si>
  <si>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</si>
  <si>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</si>
  <si>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</si>
  <si>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</si>
  <si>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</si>
  <si>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</si>
  <si>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</si>
  <si>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</si>
  <si>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</si>
  <si>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</si>
  <si>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</si>
  <si>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</si>
  <si>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</si>
  <si>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</si>
  <si>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</si>
  <si>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</si>
  <si>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</si>
  <si>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</si>
  <si>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</si>
  <si>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</si>
  <si>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</si>
  <si>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</si>
  <si>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</si>
  <si>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</si>
  <si>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</si>
  <si>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</si>
  <si>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</si>
  <si>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</si>
  <si>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</si>
  <si>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</si>
  <si>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</si>
  <si>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</si>
  <si>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</si>
  <si>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</si>
  <si>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</si>
  <si>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</si>
  <si>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</si>
  <si>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</si>
  <si>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</si>
  <si>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</si>
  <si>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</si>
  <si>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</si>
  <si>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</si>
  <si>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</si>
  <si>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</si>
  <si>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</si>
  <si>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</si>
  <si>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</si>
  <si>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</si>
  <si>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</si>
  <si>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</si>
  <si>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</si>
  <si>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</si>
  <si>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</si>
  <si>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</si>
  <si>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</si>
  <si>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</si>
  <si>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</si>
  <si>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</si>
  <si>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</si>
  <si>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</si>
  <si>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</si>
  <si>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</si>
  <si>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</si>
  <si>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</si>
  <si>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</si>
  <si>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</si>
  <si>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</si>
  <si>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</si>
  <si>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</si>
  <si>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</si>
  <si>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</si>
  <si>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</si>
  <si>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</si>
  <si>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</si>
  <si>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</si>
  <si>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</si>
  <si>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</si>
  <si>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</si>
  <si>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</si>
  <si>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</si>
  <si>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</si>
  <si>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</si>
  <si>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</si>
  <si>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</si>
  <si>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</si>
  <si>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</si>
  <si>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</si>
  <si>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</si>
  <si>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</si>
  <si>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</si>
  <si>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</si>
  <si>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</si>
  <si>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</si>
  <si>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</si>
  <si>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</si>
  <si>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State Boost</t>
  </si>
  <si>
    <t>No</t>
  </si>
  <si>
    <t>Competitive Round</t>
  </si>
  <si>
    <t>Acquisition/Rehab</t>
  </si>
  <si>
    <t>USDA 515 Loan</t>
  </si>
  <si>
    <t>Amortizing</t>
  </si>
  <si>
    <t>Yes</t>
  </si>
  <si>
    <t>N/A-CS</t>
  </si>
  <si>
    <t>Common</t>
  </si>
  <si>
    <t>USDA</t>
  </si>
  <si>
    <t>Mary T. Johnson</t>
  </si>
  <si>
    <t>2409 Bemiss Road</t>
  </si>
  <si>
    <t>Managing Member</t>
  </si>
  <si>
    <t>tish.johnson@dewarproperties.com</t>
  </si>
  <si>
    <t>Country Grove Apartments</t>
  </si>
  <si>
    <t>City of Monroe</t>
  </si>
  <si>
    <t>Greg Thompson</t>
  </si>
  <si>
    <t>215 North Broad Street</t>
  </si>
  <si>
    <t>www.monroega.us</t>
  </si>
  <si>
    <t>gthompson@monroega.gov</t>
  </si>
  <si>
    <t>Family</t>
  </si>
  <si>
    <t>JT Country Grove, LP</t>
  </si>
  <si>
    <t>JT Ball Ground, LP</t>
  </si>
  <si>
    <t>Stone Valley Apartments</t>
  </si>
  <si>
    <t>1989-002</t>
  </si>
  <si>
    <t>GA-89-00201</t>
  </si>
  <si>
    <t>GA-89-00208</t>
  </si>
  <si>
    <t>JT Walton, LLC</t>
  </si>
  <si>
    <t>Raymond James Tax Credit Funds, Inc.</t>
  </si>
  <si>
    <t>St. Petersburg</t>
  </si>
  <si>
    <t>John Colvin</t>
  </si>
  <si>
    <t>Director of Acquisitions</t>
  </si>
  <si>
    <t>john.colvin@raymondjames.com</t>
  </si>
  <si>
    <t>JT Development, Inc.</t>
  </si>
  <si>
    <t>President</t>
  </si>
  <si>
    <t>JT Builders, Inc.</t>
  </si>
  <si>
    <t>Dewar Properties, Inc.</t>
  </si>
  <si>
    <t>Arnall Golden Gregory</t>
  </si>
  <si>
    <t>171 17th Street, Suite 2100</t>
  </si>
  <si>
    <t>James Rauschenberger</t>
  </si>
  <si>
    <t>Partner</t>
  </si>
  <si>
    <t>james.rauschenberger@agg.com</t>
  </si>
  <si>
    <t>IPG Incorporated</t>
  </si>
  <si>
    <t>807 Northwood Park Drive</t>
  </si>
  <si>
    <t>For Profit</t>
  </si>
  <si>
    <t>MF</t>
  </si>
  <si>
    <t>These utility allowances are based on approved rates by USDA RD in our most recent budget.</t>
  </si>
  <si>
    <t>Agree</t>
  </si>
  <si>
    <t>Woods Research, Inc.</t>
  </si>
  <si>
    <t>Geotechnical &amp; Environmental Consultants Inc</t>
  </si>
  <si>
    <t>Earth Craft House Multifamily</t>
  </si>
  <si>
    <t>Physical Needs Assessment</t>
  </si>
  <si>
    <t>Syndicator Asset Management Fees</t>
  </si>
  <si>
    <t>Services</t>
  </si>
  <si>
    <t>Training</t>
  </si>
  <si>
    <t>Payroll Taxes, Workers Comp &amp; Other Admin</t>
  </si>
  <si>
    <t>This project is an existing USDA 515 Interest Credit/Tax Credit property that was originally developed in 1989 and is in need of rehabilitation. We certify that the federal subsidies on this property are a USDA 515 Interest Credit loan and 100% USDA project-based rental assistance.  The project is financially feasible, and the rents shown here match the current Rural Development-approved rents. The rental assistance agreement has been provided for review under Tab #1. Permanent financing will be provided by assumption of the current USDA 515 loan. Construction financing and tax credit equity are being provided by Raymond James. Please find a commitment letter for both included in Tab #1. In addition, a portion of the developer fee will be deferred as an additional source of funds. Please refer to a separate narrative on this topic, which is also provided in Tab #1, Section #8.</t>
  </si>
  <si>
    <t>The property will host semi-monthly recreational programs, including but 
not limited to birthday club celebrations and movie nights. Please refer to the agreement provided under Tab #4.</t>
  </si>
  <si>
    <t>Pritchett, Ball and Wise/Andy Sheppard</t>
  </si>
  <si>
    <t>Geotechnical &amp; Environmental Consultants Inc.</t>
  </si>
  <si>
    <t>&lt;65 dB</t>
  </si>
  <si>
    <t>Roadway, Railway, Airport</t>
  </si>
  <si>
    <t>None</t>
  </si>
  <si>
    <t>An appraisal of this property has been completed and is included in Tab #6.  Regarding question B-1, and per Threshold section VI, paragraph B-1, only valuations for the land and existing buildings are required for applicant-commissioned appraisals. Question B-3 was intentionally left blank because this project does not include any DCA HOME funds.</t>
  </si>
  <si>
    <t>Contract/Option</t>
  </si>
  <si>
    <t>Please refer to the Option Agreement provided under Tab #8.</t>
  </si>
  <si>
    <t>Questions 9-B and 9-C were intentionally left blank because the project site is currently served by public roads, and no future paved or private roads will be required. Please refer to the location and vicinity map included under Tab #9.</t>
  </si>
  <si>
    <t>Question C-5 was intentionally left blank because this project does not include any DCA HOME funds.</t>
  </si>
  <si>
    <t>City of Monroe Utilities</t>
  </si>
  <si>
    <t>Question A-1 was intentionally left blank because there is no current or projected gas use at the project site, and therefore no need for a gas service provider. Please refer to the utility letters provided under Tab #11.</t>
  </si>
  <si>
    <t>Gazebo</t>
  </si>
  <si>
    <t>On-site laundry</t>
  </si>
  <si>
    <t>Tot Lot</t>
  </si>
  <si>
    <t>Computer Room</t>
  </si>
  <si>
    <t>Questions D-1 through D-3-b were intentionally left blank because this is a family project.</t>
  </si>
  <si>
    <t>Wholesale</t>
  </si>
  <si>
    <t>Newbanks, Inc.</t>
  </si>
  <si>
    <t>Please refer to the PNA included under Tab #15.</t>
  </si>
  <si>
    <t>Arts &amp; Crafts Room</t>
  </si>
  <si>
    <t>Freestanding bus stop shelter</t>
  </si>
  <si>
    <t>Please refer to the conceptual site development plan provided under Tab #16.</t>
  </si>
  <si>
    <t>Please refer to the draft EarthCraft checklist provided under Tab #28.</t>
  </si>
  <si>
    <t>Qualified with Conditions</t>
  </si>
  <si>
    <t>The DCA Performance Workbook, including Compliance History Summary Form and compliance questionnaire, was submitted at pre-application. Per DCA's General Questions &amp; Answers
Posting #7 on May 22, 2013, the Performance Workbook, Compliance Questionnaire, Organizational Chart, Compliance History and background check are not being resubmitted with this application. A copy of the qualification determination from DCA is included in Tab #18.</t>
  </si>
  <si>
    <t>Please refer to the evidence of public meetings and public presentations, as well as a resolution of support and letters of support from the local government included under Tab #13. Per DCA's General Questions &amp; Answers Posting #6 on May 16, 2013, we have included the city council meeting minutes from the two meetings at which our project was presented and our Resolution of Support was publicly discussed to satisfy the requirement for evidence of public meetings.</t>
  </si>
  <si>
    <t>Section 22 was intentionally left blank because this project is not eligible for the non-profit set-aside.</t>
  </si>
  <si>
    <t>The original tax credit compliance period of 1989-2004 has been met. This property is an existing USDA Rural Development project with Section 515/Interest Credit financing and 100% USDA rental assistance. Please refer to evidence of all of the above under Tab #1.</t>
  </si>
  <si>
    <t>Section 24 was intentionally left blank because this project is not eligible for the non-profit set-aside.</t>
  </si>
  <si>
    <t>Section 25 was intentionally left blank because this project does not include any HUD funding sources.</t>
  </si>
  <si>
    <t>Legal opinions that project will meet 15-year compliance period requirements and verifying the date the Compliance Period began.</t>
  </si>
  <si>
    <t>Legal opinions for Credit Eligibility for Assisted Living, Non-profit Federal Tax Exempt Status and Scattered Site Developments are not included with this application because none of these are included in this project. Please refer to the legal opinions for Acquisition and Compliance Period which are included under Tabs #23 and 38.</t>
  </si>
  <si>
    <t>TBD as needed</t>
  </si>
  <si>
    <t>Please refer to the relocation plan included under Tab #24.</t>
  </si>
  <si>
    <t>Please refer to the proposed Affirmative Fair Housing Marketing Plan which is included under Tab #22.</t>
  </si>
  <si>
    <t xml:space="preserve">We believe that the age of this project and the preservation of both affordable housing and rental assistance make this an excellent candidate for receipt of tax credits. </t>
  </si>
  <si>
    <t>This site does not qualify for points under the Brownfield criteria.</t>
  </si>
  <si>
    <t>This site does not qualify for points under the Community Transportation criteria.</t>
  </si>
  <si>
    <t>Please refer to the draft EarthCraft Communities scoring checklist provided under Tab #28.</t>
  </si>
  <si>
    <t>http://www.monroega.us/attachments/article/56/Monroe_Redevelopment_Final%20.pdf</t>
  </si>
  <si>
    <t>36-61 et seq</t>
  </si>
  <si>
    <t>Pass</t>
  </si>
  <si>
    <t>Please refer to the construction cost estimate narrative included with the hard cost schedule of values in Tab #15.</t>
  </si>
  <si>
    <t>Raymond James</t>
  </si>
  <si>
    <t>JT Country Grove SI, LLC</t>
  </si>
  <si>
    <t>Raymond James Tax Credit Funds</t>
  </si>
  <si>
    <t>This is a family project. We have set aside a portion of the units for persons with disabilities. We have also agreed to accept project-based rental assistance for up to 15% of the units for the purpose of providing integrated housing opportunities to individuals with mental illness, as defined in the Settlement Agreement between the State of Georgia and the Department of Justice.</t>
  </si>
  <si>
    <t>Please refer to the project scope of work included under Tab #15 for additional architectural details of this project.</t>
  </si>
  <si>
    <t>686 Plaza Trace</t>
  </si>
  <si>
    <t>2013-02</t>
  </si>
  <si>
    <t>Mayor</t>
  </si>
  <si>
    <t>Completed 2004</t>
  </si>
  <si>
    <t>VI - Tenancy Characteristics: This is a family project. We have set aside a portion of the units for persons with disabilities. We have also agreed to accept project-based rental assistance for up to 15% of the units for the purpose of providing integrated housing opportunities to individuals with mental illness, as defined in the Settlement Agreement between the State of Georgia and the Department of Justice. However, we have not designated any units for this purpose in this section because these are floating units, and no specific units have been designated for this purpose.
This is an existing property originally constructed in 1989.
We are requesting a 30% state designated basis boost on this property due to the financial needs to keep this property feasible. Please refer to a separate narrative on this topic included under Tab #1 and Tab #39.</t>
  </si>
  <si>
    <t>Robert E. Byington, Jr.</t>
  </si>
  <si>
    <t>Project Manager</t>
  </si>
  <si>
    <t>rbyington@ipgarchitects.com</t>
  </si>
  <si>
    <t>880 Carillon Parkway</t>
  </si>
  <si>
    <t>Cohn Reznick</t>
  </si>
  <si>
    <t>3560 Lenox Road, NE</t>
  </si>
  <si>
    <t>Julie McNulty</t>
  </si>
  <si>
    <t>julie.mcnulty@cohnreznick.com</t>
  </si>
  <si>
    <t>Identify of Interest exists through common ownership of the GP, the State LP, the Developer, the Contractor and Management Company.  All entities have common ownership through various percentages with Mary T. Johnson and James L. Dewar, Jr.</t>
  </si>
  <si>
    <t>Assumed loan</t>
  </si>
  <si>
    <t>USDA Rural Development-Approved Allowances</t>
  </si>
  <si>
    <t>In above</t>
  </si>
  <si>
    <t>This section was intentionally left blank, as we are not claiming points for the Innovative Project Concept criteria.</t>
  </si>
  <si>
    <t>As noted in Section I above, these units do receive 100% PBRA. However, this PBRA is from USDA Rural Development, and not HUD.
For further explanation of our methodology for estimating real estate taxes and insurance, please refer to the narratives for each item which are included under Tab #1.</t>
  </si>
  <si>
    <t>We have ensured that this project meets the minimum required debt service coverage ratio of 1.25 throughout the 15-year compliance period. The currently-approved rents and projected expenses result in a debt service coverage higher than 1.5 in year one. USDA limits the amount that can be returned to the owner on this project to $3,664 in any given year.</t>
  </si>
  <si>
    <t xml:space="preserve">The original USDA 515 loan that will be assumed as a source of funds for this project had an original term and amortization of 50 years, ending in 2039. </t>
  </si>
  <si>
    <t>&lt; 1 month</t>
  </si>
  <si>
    <t>This submission is an existing multi-family housing property, which is fully-subsidized and 100% occupied as of the time of application.  The rehabilitation plan would have a positive impact on the existing market and continue to serve this community. There are no current tenants who are rent-burdened or over income, as is evidenced by the rent roll included in Tab #24. The absorption and stabilization period for the project as proposed (with only one net new unit) will be less than one month. However, the market study notes that if the entire property were completely vacated, the absorption and stabilizations periods would be 4 - 5 months.</t>
  </si>
  <si>
    <t>Questions D-2-b, D-2-c, D-3-b and D-3-c were intentionally left blank because the project is not located within the 100- or 500-year floodplains and there are no wetlands on the project site. Questions F-1 through F-3 were intentionally left blank because the project does not include HOME funds. Please refer to the Phase I Environmental Site Assesment, including DCA's required additional scope items, which is included in Tab #7.</t>
  </si>
  <si>
    <t>Question A-2 was intentionally left blank because this is not a single-family detached Rural project. Please refer to the utility letters provided under Tab #12.</t>
  </si>
  <si>
    <t>This project was initially built in 1989, before the passage of Fair Housing standards requiring that all first-floor units be visitable by wheelchair-bound individuals. A full accessibility review of both the construction documents and construction progress will be conducted by a third-party.</t>
  </si>
  <si>
    <t>Please refer to the Desirable/Undesirable certification provided under Tab #25.</t>
  </si>
  <si>
    <t>Please refer to the City of Monroe's adopted Urban Redevelopment Plan, city council meeting minutes and adoption ordinance included under Tab #29.</t>
  </si>
  <si>
    <t>This property currently has an occupancy rate of 100%, and has averaged occupancy of over 90% since December 2012.</t>
  </si>
  <si>
    <t xml:space="preserve">The last project in this area that was awarded tax credit or HOME funds from DCA was Skyline Trace in the 2008 funding cycle. </t>
  </si>
  <si>
    <t xml:space="preserve">
OVERVIEW AND CURRENT CONDITIONS
JT Development, Inc. proposes to rehabilitate Country Grove Apartments, located at 686 Plaza Trace, Monroe, Georgia 30655.  The apartments are currently operated as an RD 515 Interest Credit project, and the existing loan will be assumed as an additional source of funds for this project. There are currently 48 apartment units, all of which have USDA rental assistance.  Sixteen one-bedroom apartments and thirty-two two-bedroom apartments are currently meeting the needs to low to moderate income residents in the Walton county community, as evidenced by the 90% average recent occupancy and 100% current occupancy.  This project was constructed and placed in service in 1989.  The units are currently in disrepair.  The air conditioning, mechanical, electrical and plumbing systems are reaching the end of their effective lives and exterior and interior finishes need to be upgraded.  There is no on-site housing for on-site staff and the clubhouse does not currently serve the needs of the property.
Monroe, located in the Atlanta MSA, is a thriving Rural Area that has taken the initiative to focus on improving a deteriorated area of their community through the use of an Urban Redevelopment Plan. This project, located well within the boundaries of the area identified in the plan, will help further the goals of the local government and the plan. We have secured the support of the local government, as evidenced by the city council’s resolution of support. The Market Study clearly supports the need for housing for tax credit eligible individuals in this area.  We believe Country Grove Apartments will be an integral part of the Monroe community for many years to come.
The current owner has agreed to transfer the project to a new partnership, JT Country Grove, LP.  The physical assets, reserve account balances and existing RA contracts and current 515 loan held by the current partnership will be included in this transaction and transferred to the new partnership.  The existing RD loan and equity contributed from the sale of the 9% and 4% tax credits are the sources that will fund this project.
REHABILITATION OVERVIEW
Plans for this rehabilitation include providing air conditioning/heat units for all apartments, upgrades to meet current ADA requirements, curing all safety concerns and allowing for appropriate parking and play areas.  An updated community center and housing for on-site staff, and other amenities to enhance the quality of life for working families will be constructed. The addition of one additional unit for the on-site staff will free up one existing unit to serve as a revenue-producing rental unit.
Sustainability will also play a major role in the rehabilitation of the property. The development team proposes to achieve EarthCraft certification for this project. We believe that including measures to reduce energy and water usage, improve indoor air quality and preserve the longevity of the buildings, we can produce a product with is not only of higher quality, but improves the operations of the property and the quality of life for the residents.
DUE DILIGENCE
As required by the QAP, we have conducted a wide array of third-party due diligence, including a Phase I environmental site assessment (including DCA’s additional scope items), Physical Needs Assessment, Market Study and appraisal. These reports confirm that this is a clean site with no recognized environmental concerns, that the buildings are in need of immediate rehabilitation, that the purchase price is fair and in fact below the market value and that the market can support this project. 
DEVELOPMENT TEAM
Since JT Development and our affiliates have worked almost exclusively with DCA for over ten years using tax credits to rehab existing properties with government subsidies, we want to mention our experience in market rate development, construction and management. JT Development and its affiliates Dewar Properties and JT Builders form a full service real estate development, construction and management provider for the multifamily housing industry. Dewar Properties Inc. was incorporated in 1973 and has maintained a successful management program for approximately 40 years.  JT Development and JT Builders were formed in 2001 and have continually developed and constructed quality real estate assets since.
Ninety five percent of the projects that we have partnered with DCA to bring back to viability were originally developed, constructed and managed by us and our affiliates over the last forty years.  We have completed in excess of fifty new construction projects, and we currently manage nine conventionally financed projects.  We still own and manage ninety-eight percent of everything that we’ve developed, and each project is developed with a long term view.  
</t>
  </si>
  <si>
    <t>For additional information on how construction hard costs were determined, please refer to the construction cost estimate narrative included with the hard cost schedule of values in Tab #15.
We understand that Interior Design Consultant costs must be included in the Developer Fee. Therefore, the costs included in the FF&amp;E line item above will be used exclusively for tangible goods and materials, and all Interior Design Consultant fees will be paid from the Developer Fee.
We have requested a 30% state-designated basis boost for this project. Please refer to the narrative included in Tab #39 for additional information on this request.</t>
  </si>
  <si>
    <t>Sec. 8 (p.11 of 36)</t>
  </si>
  <si>
    <t>Request for Basis Boost Narrative</t>
  </si>
  <si>
    <t>The participants for this project have met all of the qualification conditions set forth by DCA. 1) The Deerfield Project (#2011-011) has closed and 2) begun construction, and 3) all required outstanding property taxes have been paid. Please refer to the property tax paid receipts and evidence of Deerfield closing and commencing construction included under Tab #18.</t>
  </si>
  <si>
    <t>2013-007</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</si>
</sst>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4">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9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1794">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5" xfId="0" applyFont="1" applyFill="1" applyBorder="1" applyProtection="1"/>
    <xf numFmtId="164" fontId="11" fillId="0" borderId="6" xfId="1" applyNumberFormat="1" applyFont="1" applyFill="1" applyBorder="1" applyProtection="1"/>
    <xf numFmtId="164" fontId="11" fillId="0" borderId="7" xfId="1" applyNumberFormat="1" applyFont="1" applyFill="1" applyBorder="1" applyProtection="1"/>
    <xf numFmtId="0" fontId="11" fillId="0" borderId="8" xfId="0" applyFont="1" applyFill="1" applyBorder="1" applyProtection="1"/>
    <xf numFmtId="164" fontId="11" fillId="0" borderId="0" xfId="1" applyNumberFormat="1" applyFont="1" applyFill="1" applyBorder="1" applyProtection="1"/>
    <xf numFmtId="164" fontId="11" fillId="0" borderId="9" xfId="1" applyNumberFormat="1" applyFont="1" applyFill="1" applyBorder="1" applyProtection="1"/>
    <xf numFmtId="43" fontId="11" fillId="0" borderId="0" xfId="1" applyNumberFormat="1" applyFont="1" applyFill="1" applyBorder="1" applyProtection="1"/>
    <xf numFmtId="43" fontId="11" fillId="0" borderId="9" xfId="1" applyNumberFormat="1" applyFont="1" applyFill="1" applyBorder="1" applyProtection="1"/>
    <xf numFmtId="0" fontId="11"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38" fontId="7"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12" fillId="0" borderId="0" xfId="0" applyFont="1" applyFill="1" applyAlignment="1" applyProtection="1"/>
    <xf numFmtId="0" fontId="7" fillId="4" borderId="3" xfId="0" applyFont="1" applyFill="1" applyBorder="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38" fontId="7" fillId="0" borderId="0" xfId="0" applyNumberFormat="1" applyFont="1" applyFill="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6"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5" xfId="0" applyFont="1" applyFill="1" applyBorder="1" applyAlignment="1" applyProtection="1">
      <alignment horizontal="center" vertical="center"/>
    </xf>
    <xf numFmtId="0" fontId="7" fillId="0" borderId="13" xfId="0" applyFont="1" applyFill="1" applyBorder="1" applyAlignment="1" applyProtection="1">
      <alignment horizontal="center"/>
    </xf>
    <xf numFmtId="0" fontId="7"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3" fillId="0" borderId="14"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6"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3" xfId="1" applyNumberFormat="1" applyFont="1" applyFill="1" applyBorder="1" applyAlignment="1" applyProtection="1">
      <alignment horizontal="center" vertical="center"/>
    </xf>
    <xf numFmtId="164" fontId="12" fillId="0" borderId="15"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3" fillId="0" borderId="0" xfId="0" applyFont="1" applyFill="1" applyAlignment="1" applyProtection="1">
      <alignment horizontal="center" vertical="center"/>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7"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164" fontId="12" fillId="0" borderId="19"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13" fillId="4" borderId="3" xfId="0" applyFont="1" applyFill="1" applyBorder="1" applyAlignment="1" applyProtection="1">
      <alignment horizontal="center"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1" xfId="0" applyFont="1" applyFill="1" applyBorder="1" applyAlignment="1" applyProtection="1">
      <alignment horizontal="center"/>
    </xf>
    <xf numFmtId="0" fontId="7" fillId="0" borderId="13" xfId="0" applyFont="1" applyFill="1" applyBorder="1" applyAlignment="1" applyProtection="1">
      <alignment horizontal="center" vertical="center"/>
    </xf>
    <xf numFmtId="0" fontId="7" fillId="0" borderId="14"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4"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20" xfId="0"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1"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4" xfId="0" applyNumberFormat="1" applyFont="1" applyBorder="1" applyAlignment="1" applyProtection="1">
      <alignment horizontal="center" vertical="center"/>
    </xf>
    <xf numFmtId="0" fontId="7" fillId="0" borderId="14" xfId="0" applyFont="1" applyBorder="1" applyAlignment="1" applyProtection="1">
      <alignment horizontal="center" vertical="center" wrapText="1"/>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13" fillId="4" borderId="24" xfId="0" applyFont="1" applyFill="1" applyBorder="1" applyAlignment="1" applyProtection="1">
      <alignment horizontal="center" vertical="center"/>
    </xf>
    <xf numFmtId="0" fontId="13" fillId="4" borderId="25" xfId="0" applyFont="1" applyFill="1" applyBorder="1" applyAlignment="1" applyProtection="1">
      <alignment horizontal="center" vertic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4" borderId="3" xfId="0" applyFont="1" applyFill="1" applyBorder="1" applyAlignment="1" applyProtection="1">
      <alignment horizontal="center" vertical="center" wrapText="1"/>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7" fillId="4" borderId="24" xfId="0" applyFont="1" applyFill="1" applyBorder="1" applyAlignment="1" applyProtection="1">
      <alignment horizontal="center" vertical="center" wrapText="1"/>
    </xf>
    <xf numFmtId="0" fontId="7" fillId="4" borderId="26" xfId="0" applyFont="1" applyFill="1" applyBorder="1" applyAlignment="1" applyProtection="1">
      <alignment horizontal="center" vertical="center" wrapText="1"/>
    </xf>
    <xf numFmtId="0" fontId="7" fillId="4" borderId="25" xfId="0" applyFont="1" applyFill="1" applyBorder="1" applyAlignment="1" applyProtection="1">
      <alignment horizontal="center" vertical="center" wrapText="1"/>
    </xf>
    <xf numFmtId="0" fontId="11"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7" fillId="0" borderId="0" xfId="0" applyFont="1" applyProtection="1"/>
    <xf numFmtId="0" fontId="7" fillId="0" borderId="14" xfId="0" applyFont="1" applyFill="1" applyBorder="1" applyAlignment="1" applyProtection="1">
      <alignment horizontal="center"/>
    </xf>
    <xf numFmtId="0" fontId="7" fillId="0" borderId="14" xfId="0" applyFont="1" applyBorder="1" applyAlignment="1" applyProtection="1">
      <alignment horizontal="center"/>
    </xf>
    <xf numFmtId="0" fontId="0" fillId="0" borderId="29" xfId="0" applyBorder="1" applyProtection="1"/>
    <xf numFmtId="0" fontId="11" fillId="0" borderId="30" xfId="0" applyFont="1" applyFill="1" applyBorder="1" applyProtection="1"/>
    <xf numFmtId="0" fontId="11" fillId="0" borderId="23" xfId="0" applyFont="1" applyFill="1" applyBorder="1" applyProtection="1"/>
    <xf numFmtId="0" fontId="0" fillId="0" borderId="31" xfId="0" applyBorder="1" applyProtection="1"/>
    <xf numFmtId="0" fontId="11" fillId="0" borderId="32" xfId="0" applyFont="1" applyFill="1" applyBorder="1" applyProtection="1"/>
    <xf numFmtId="0" fontId="11" fillId="0" borderId="18" xfId="0" applyFont="1" applyFill="1" applyBorder="1" applyProtection="1"/>
    <xf numFmtId="0" fontId="11" fillId="0" borderId="33" xfId="0" applyFont="1" applyFill="1" applyBorder="1" applyProtection="1"/>
    <xf numFmtId="0" fontId="0" fillId="0" borderId="34" xfId="0" applyBorder="1" applyProtection="1"/>
    <xf numFmtId="0" fontId="11" fillId="0" borderId="35" xfId="0" applyFont="1" applyFill="1" applyBorder="1" applyProtection="1"/>
    <xf numFmtId="0" fontId="11" fillId="0" borderId="19" xfId="0" applyFont="1" applyFill="1" applyBorder="1" applyProtection="1"/>
    <xf numFmtId="0" fontId="28" fillId="0" borderId="0" xfId="0" applyFont="1" applyProtection="1"/>
    <xf numFmtId="0" fontId="13" fillId="4" borderId="13" xfId="0" applyFont="1" applyFill="1" applyBorder="1" applyAlignment="1" applyProtection="1">
      <alignment horizontal="center" vertical="center"/>
    </xf>
    <xf numFmtId="9" fontId="13" fillId="4" borderId="13" xfId="0" applyNumberFormat="1" applyFont="1" applyFill="1" applyBorder="1" applyAlignment="1" applyProtection="1">
      <alignment horizontal="center" vertical="center"/>
    </xf>
    <xf numFmtId="0" fontId="13" fillId="4" borderId="3" xfId="0" applyFont="1" applyFill="1" applyBorder="1" applyAlignment="1" applyProtection="1">
      <alignment horizontal="center" vertical="top"/>
    </xf>
    <xf numFmtId="0" fontId="13" fillId="4" borderId="17"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13" fillId="4" borderId="17" xfId="0" applyFont="1" applyFill="1" applyBorder="1" applyAlignment="1" applyProtection="1">
      <alignment horizontal="center" vertical="top"/>
    </xf>
    <xf numFmtId="0" fontId="13" fillId="4" borderId="19" xfId="0" applyFont="1" applyFill="1" applyBorder="1" applyAlignment="1" applyProtection="1">
      <alignment horizontal="center" vertical="top"/>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5" xfId="1" applyNumberFormat="1" applyFont="1" applyFill="1" applyBorder="1" applyAlignment="1" applyProtection="1">
      <alignment horizontal="right"/>
    </xf>
    <xf numFmtId="164" fontId="11" fillId="0" borderId="17"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3" xfId="1" applyNumberFormat="1" applyFont="1" applyFill="1" applyBorder="1" applyAlignment="1" applyProtection="1">
      <alignment horizontal="right" vertical="center"/>
    </xf>
    <xf numFmtId="164" fontId="11" fillId="0" borderId="19" xfId="1" applyNumberFormat="1" applyFont="1" applyFill="1" applyBorder="1" applyAlignment="1" applyProtection="1">
      <alignment horizontal="right" vertical="center"/>
    </xf>
    <xf numFmtId="0" fontId="3" fillId="0" borderId="8"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4"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13" fillId="4" borderId="30" xfId="0" applyFont="1" applyFill="1" applyBorder="1" applyAlignment="1" applyProtection="1">
      <alignment horizontal="center" vertical="center"/>
    </xf>
    <xf numFmtId="165" fontId="13" fillId="4" borderId="13" xfId="0" applyNumberFormat="1" applyFont="1" applyFill="1" applyBorder="1" applyAlignment="1" applyProtection="1">
      <alignment horizontal="center"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6"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2" xfId="0" applyFont="1" applyFill="1" applyBorder="1" applyAlignment="1" applyProtection="1">
      <alignment horizontal="left" vertical="center"/>
    </xf>
    <xf numFmtId="0" fontId="53" fillId="0" borderId="11" xfId="0" applyFont="1" applyFill="1" applyBorder="1" applyAlignment="1" applyProtection="1">
      <alignment horizontal="center" vertical="center"/>
    </xf>
    <xf numFmtId="0" fontId="53" fillId="0" borderId="9" xfId="0" applyFont="1" applyFill="1" applyBorder="1" applyAlignment="1" applyProtection="1">
      <alignment horizontal="left"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5"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0" fontId="70" fillId="0" borderId="5" xfId="0" applyFont="1" applyFill="1" applyBorder="1" applyAlignment="1" applyProtection="1">
      <alignment vertical="top"/>
    </xf>
    <xf numFmtId="0" fontId="70" fillId="0" borderId="6" xfId="0" applyFont="1" applyFill="1" applyBorder="1" applyAlignment="1" applyProtection="1">
      <alignment vertical="center"/>
    </xf>
    <xf numFmtId="4" fontId="70" fillId="0" borderId="6" xfId="1" applyNumberFormat="1" applyFont="1" applyFill="1" applyBorder="1" applyAlignment="1" applyProtection="1">
      <alignment horizontal="right" vertical="center"/>
    </xf>
    <xf numFmtId="171" fontId="70" fillId="0" borderId="7" xfId="0" applyNumberFormat="1" applyFont="1" applyFill="1" applyBorder="1" applyAlignment="1" applyProtection="1">
      <alignment horizontal="left" vertical="center"/>
    </xf>
    <xf numFmtId="0" fontId="70" fillId="0" borderId="15" xfId="0" applyFont="1" applyFill="1" applyBorder="1" applyAlignment="1" applyProtection="1">
      <alignment vertical="center"/>
    </xf>
    <xf numFmtId="164" fontId="69" fillId="0" borderId="0" xfId="1" applyNumberFormat="1" applyFont="1" applyFill="1" applyAlignment="1" applyProtection="1">
      <alignment horizontal="right" vertical="center"/>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8" xfId="0" applyFont="1" applyFill="1" applyBorder="1" applyAlignment="1" applyProtection="1">
      <alignment horizontal="left" vertical="center"/>
    </xf>
    <xf numFmtId="0" fontId="63" fillId="0" borderId="0" xfId="0" applyFont="1" applyFill="1" applyAlignment="1" applyProtection="1">
      <alignment vertical="center"/>
    </xf>
    <xf numFmtId="0" fontId="13" fillId="4" borderId="18" xfId="0" applyFont="1" applyFill="1" applyBorder="1" applyAlignment="1" applyProtection="1">
      <alignment horizontal="center"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6" fillId="0" borderId="0" xfId="0" applyFont="1" applyBorder="1" applyAlignment="1" applyProtection="1">
      <alignmen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3" fontId="7" fillId="4" borderId="3" xfId="0" applyNumberFormat="1" applyFont="1" applyFill="1" applyBorder="1" applyAlignment="1" applyProtection="1">
      <alignment horizontal="center" vertical="center"/>
    </xf>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0" fontId="53" fillId="0" borderId="41" xfId="0" applyFont="1" applyFill="1" applyBorder="1" applyAlignment="1" applyProtection="1">
      <alignment vertical="center"/>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9" xfId="1" applyNumberFormat="1" applyFont="1" applyFill="1" applyBorder="1" applyAlignment="1" applyProtection="1">
      <alignment horizontal="center"/>
    </xf>
    <xf numFmtId="0" fontId="69" fillId="0" borderId="9" xfId="0" applyFont="1" applyFill="1" applyBorder="1" applyAlignment="1" applyProtection="1">
      <alignment horizontal="right" vertical="center"/>
    </xf>
    <xf numFmtId="0" fontId="61" fillId="0" borderId="14" xfId="0" applyFont="1" applyFill="1" applyBorder="1" applyAlignment="1" applyProtection="1">
      <alignment horizontal="center"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6" xfId="0" applyNumberFormat="1" applyFont="1" applyFill="1" applyBorder="1" applyAlignment="1" applyProtection="1">
      <alignment vertical="center"/>
    </xf>
    <xf numFmtId="3" fontId="11" fillId="0" borderId="16" xfId="1" applyNumberFormat="1" applyFont="1" applyFill="1" applyBorder="1" applyAlignment="1" applyProtection="1">
      <alignment vertical="center"/>
    </xf>
    <xf numFmtId="3" fontId="11" fillId="0" borderId="13" xfId="0" applyNumberFormat="1" applyFont="1" applyFill="1" applyBorder="1" applyAlignment="1" applyProtection="1">
      <alignment vertical="center"/>
    </xf>
    <xf numFmtId="0" fontId="6" fillId="0" borderId="0" xfId="0" applyFont="1" applyFill="1" applyAlignment="1" applyProtection="1"/>
    <xf numFmtId="0" fontId="3" fillId="0" borderId="0" xfId="0" applyFont="1" applyFill="1" applyAlignment="1" applyProtection="1">
      <alignment horizontal="center"/>
    </xf>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7" xfId="0" applyFont="1" applyFill="1" applyBorder="1" applyAlignment="1" applyProtection="1">
      <alignment vertical="top"/>
    </xf>
    <xf numFmtId="0" fontId="13" fillId="4" borderId="35" xfId="0" applyFont="1" applyFill="1" applyBorder="1" applyAlignment="1" applyProtection="1">
      <alignment horizontal="center" vertical="center"/>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7" fillId="4" borderId="11"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8"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8"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10" fontId="13" fillId="0" borderId="3" xfId="0" applyNumberFormat="1" applyFont="1" applyFill="1" applyBorder="1" applyAlignment="1" applyProtection="1">
      <alignment horizontal="center"/>
    </xf>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4" xfId="0" applyFont="1" applyFill="1" applyBorder="1" applyAlignment="1" applyProtection="1">
      <alignment vertical="center"/>
    </xf>
    <xf numFmtId="0" fontId="0" fillId="0" borderId="14" xfId="0" applyBorder="1" applyProtection="1"/>
    <xf numFmtId="0" fontId="3" fillId="0" borderId="15" xfId="0" applyFont="1" applyFill="1" applyBorder="1" applyProtection="1"/>
    <xf numFmtId="0" fontId="3" fillId="0" borderId="0" xfId="0" applyFont="1" applyAlignment="1" applyProtection="1">
      <alignment horizontal="center"/>
    </xf>
    <xf numFmtId="3" fontId="3" fillId="16" borderId="3" xfId="0" applyNumberFormat="1" applyFont="1" applyFill="1" applyBorder="1" applyAlignment="1" applyProtection="1">
      <alignment horizontal="center" vertical="center"/>
    </xf>
    <xf numFmtId="3" fontId="3" fillId="16" borderId="16" xfId="0" applyNumberFormat="1" applyFont="1" applyFill="1" applyBorder="1" applyAlignment="1" applyProtection="1">
      <alignment horizontal="center" vertic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3" fontId="3" fillId="16" borderId="11"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7" fillId="4" borderId="3" xfId="0" applyFont="1" applyFill="1" applyBorder="1" applyAlignment="1" applyProtection="1">
      <alignment horizontal="center" vertical="top"/>
    </xf>
    <xf numFmtId="0" fontId="3" fillId="0" borderId="0" xfId="0" applyFont="1" applyAlignment="1" applyProtection="1">
      <alignment horizontal="center" vertical="top"/>
    </xf>
    <xf numFmtId="0" fontId="12"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3" fillId="4" borderId="18" xfId="0" applyFont="1" applyFill="1" applyBorder="1" applyAlignment="1" applyProtection="1">
      <alignment horizontal="center"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3"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3" fillId="0" borderId="0" xfId="0" applyFont="1" applyFill="1" applyAlignment="1" applyProtection="1"/>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8"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7" fillId="4" borderId="17" xfId="0" applyFont="1" applyFill="1" applyBorder="1" applyAlignment="1" applyProtection="1">
      <alignment horizontal="center" vertical="top"/>
    </xf>
    <xf numFmtId="0" fontId="7" fillId="4" borderId="18" xfId="0" applyFont="1" applyFill="1" applyBorder="1" applyAlignment="1" applyProtection="1">
      <alignment horizontal="center" vertical="top"/>
    </xf>
    <xf numFmtId="0" fontId="7" fillId="4" borderId="19" xfId="0" applyFont="1" applyFill="1" applyBorder="1" applyAlignment="1" applyProtection="1">
      <alignment horizontal="center" vertical="top"/>
    </xf>
    <xf numFmtId="0" fontId="7" fillId="4" borderId="17" xfId="0" applyFont="1" applyFill="1" applyBorder="1" applyAlignment="1" applyProtection="1">
      <alignment horizontal="center" vertical="center"/>
    </xf>
    <xf numFmtId="0" fontId="7" fillId="4" borderId="19" xfId="0" applyFont="1" applyFill="1" applyBorder="1" applyAlignment="1" applyProtection="1">
      <alignment horizontal="center" vertical="center"/>
    </xf>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9" fillId="0" borderId="0" xfId="0" applyFont="1" applyProtection="1"/>
    <xf numFmtId="0" fontId="109" fillId="0" borderId="0" xfId="0" applyFont="1" applyAlignment="1" applyProtection="1">
      <alignment horizontal="left"/>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2" xfId="0" applyNumberFormat="1" applyFont="1" applyFill="1" applyBorder="1" applyAlignment="1" applyProtection="1">
      <alignment horizontal="center" vertical="center"/>
    </xf>
    <xf numFmtId="2" fontId="53" fillId="0" borderId="86"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3" fillId="0" borderId="0" xfId="0" applyFont="1" applyFill="1" applyAlignment="1" applyProtection="1">
      <alignment horizontal="right" vertical="center"/>
    </xf>
    <xf numFmtId="0" fontId="112"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Fill="1" applyBorder="1" applyAlignment="1" applyProtection="1">
      <alignment horizontal="center" vertical="center"/>
    </xf>
    <xf numFmtId="0" fontId="3" fillId="0" borderId="0" xfId="0" applyFont="1" applyAlignment="1" applyProtection="1">
      <alignment horizontal="left"/>
    </xf>
    <xf numFmtId="0" fontId="7" fillId="4" borderId="90" xfId="0" applyFont="1" applyFill="1" applyBorder="1" applyAlignment="1" applyProtection="1">
      <alignment horizontal="center" vertical="center"/>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9"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9"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13" fillId="4" borderId="90" xfId="0" applyFont="1" applyFill="1" applyBorder="1" applyAlignment="1" applyProtection="1">
      <alignment horizontal="center" vertic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3" fillId="0" borderId="0" xfId="0" quotePrefix="1" applyFont="1" applyAlignment="1" applyProtection="1">
      <alignment horizontal="right"/>
    </xf>
    <xf numFmtId="0" fontId="3" fillId="0" borderId="0" xfId="0" applyFont="1" applyBorder="1" applyAlignment="1" applyProtection="1">
      <alignment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3" fillId="0" borderId="0" xfId="0" applyFont="1" applyFill="1" applyAlignment="1" applyProtection="1">
      <alignment vertical="top" wrapText="1"/>
    </xf>
    <xf numFmtId="0" fontId="61" fillId="0" borderId="0" xfId="0" applyFont="1" applyFill="1" applyAlignment="1" applyProtection="1">
      <alignment horizontal="center" vertical="center"/>
    </xf>
    <xf numFmtId="171" fontId="70" fillId="0" borderId="89" xfId="0" applyNumberFormat="1" applyFont="1" applyFill="1" applyBorder="1" applyAlignment="1" applyProtection="1">
      <alignment horizontal="left" vertical="center"/>
    </xf>
    <xf numFmtId="0" fontId="70" fillId="0" borderId="14" xfId="0" applyFont="1" applyFill="1" applyBorder="1" applyAlignment="1" applyProtection="1">
      <alignment vertical="center"/>
    </xf>
    <xf numFmtId="0" fontId="53" fillId="0" borderId="89" xfId="0" applyFont="1" applyFill="1" applyBorder="1" applyAlignment="1" applyProtection="1">
      <alignment vertical="center"/>
    </xf>
    <xf numFmtId="0" fontId="2" fillId="0" borderId="0" xfId="0" applyFont="1" applyFill="1" applyAlignment="1" applyProtection="1">
      <alignment horizontal="center"/>
    </xf>
    <xf numFmtId="0" fontId="104" fillId="0" borderId="0" xfId="0" applyFont="1" applyFill="1" applyAlignment="1" applyProtection="1">
      <alignment horizontal="left" vertical="center"/>
    </xf>
    <xf numFmtId="0" fontId="2" fillId="0" borderId="90" xfId="0" applyFont="1" applyFill="1" applyBorder="1" applyProtection="1"/>
    <xf numFmtId="0" fontId="53" fillId="0" borderId="0" xfId="0" quotePrefix="1" applyFont="1" applyFill="1" applyAlignment="1" applyProtection="1">
      <alignment vertical="center"/>
    </xf>
    <xf numFmtId="0" fontId="106" fillId="0" borderId="0" xfId="0" applyFont="1" applyProtection="1"/>
    <xf numFmtId="0" fontId="12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22" fillId="0" borderId="0" xfId="0" applyFont="1" applyProtection="1"/>
    <xf numFmtId="0" fontId="123" fillId="0" borderId="0" xfId="0" applyFont="1" applyProtection="1"/>
    <xf numFmtId="0" fontId="109" fillId="0" borderId="0" xfId="0" applyFont="1" applyBorder="1" applyAlignment="1" applyProtection="1">
      <alignment horizontal="center" vertical="top" wrapText="1"/>
    </xf>
    <xf numFmtId="0" fontId="123"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6" fillId="0" borderId="0" xfId="0" applyFont="1" applyBorder="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4" fillId="0" borderId="0" xfId="0" applyFont="1" applyFill="1" applyProtection="1"/>
    <xf numFmtId="0" fontId="124" fillId="0" borderId="0" xfId="0" applyFont="1" applyProtection="1"/>
    <xf numFmtId="0" fontId="125" fillId="0" borderId="0" xfId="0" applyFont="1" applyFill="1" applyProtection="1"/>
    <xf numFmtId="0" fontId="50" fillId="0" borderId="0" xfId="0" applyFont="1" applyFill="1" applyAlignment="1" applyProtection="1">
      <alignment horizontal="center"/>
    </xf>
    <xf numFmtId="0" fontId="121" fillId="0" borderId="0" xfId="0" applyFont="1" applyFill="1" applyBorder="1" applyAlignment="1" applyProtection="1">
      <alignment vertical="top"/>
    </xf>
    <xf numFmtId="10" fontId="61" fillId="0" borderId="14" xfId="0" applyNumberFormat="1" applyFont="1" applyFill="1" applyBorder="1" applyAlignment="1" applyProtection="1">
      <alignment horizontal="center" vertical="center"/>
    </xf>
    <xf numFmtId="0" fontId="99" fillId="0" borderId="0" xfId="0" applyFont="1" applyFill="1" applyAlignment="1" applyProtection="1"/>
    <xf numFmtId="0" fontId="126" fillId="0" borderId="0" xfId="0" applyFont="1" applyFill="1" applyProtection="1"/>
    <xf numFmtId="0" fontId="127" fillId="0" borderId="0" xfId="0" applyFont="1" applyAlignment="1" applyProtection="1">
      <alignment horizontal="left" wrapText="1"/>
    </xf>
    <xf numFmtId="0" fontId="127" fillId="0" borderId="0" xfId="0" applyFont="1" applyAlignment="1" applyProtection="1">
      <alignment horizontal="center" wrapText="1"/>
    </xf>
    <xf numFmtId="0" fontId="128" fillId="0" borderId="0" xfId="0" applyFont="1" applyAlignment="1" applyProtection="1">
      <alignment horizontal="left" wrapText="1"/>
    </xf>
    <xf numFmtId="0" fontId="109" fillId="0" borderId="0" xfId="0" applyFont="1" applyAlignment="1" applyProtection="1">
      <alignment vertical="center"/>
    </xf>
    <xf numFmtId="0" fontId="109" fillId="0" borderId="0" xfId="0" applyFont="1" applyFill="1" applyProtection="1"/>
    <xf numFmtId="0" fontId="127" fillId="0" borderId="0" xfId="0" applyFont="1" applyFill="1" applyBorder="1" applyAlignment="1" applyProtection="1">
      <alignment horizontal="left"/>
    </xf>
    <xf numFmtId="0" fontId="127" fillId="0" borderId="0" xfId="0" applyFont="1" applyFill="1" applyBorder="1" applyAlignment="1" applyProtection="1">
      <alignment horizontal="left" wrapText="1"/>
    </xf>
    <xf numFmtId="0" fontId="109" fillId="0" borderId="0" xfId="9" applyFont="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26" fillId="0" borderId="0" xfId="9" applyFont="1" applyAlignment="1" applyProtection="1">
      <alignment horizontal="left"/>
    </xf>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09" fillId="0" borderId="0" xfId="0" applyFont="1" applyFill="1" applyBorder="1" applyAlignment="1" applyProtection="1">
      <alignment horizontal="left"/>
    </xf>
    <xf numFmtId="0" fontId="109" fillId="0" borderId="0" xfId="9" applyFont="1" applyProtection="1"/>
    <xf numFmtId="0" fontId="126" fillId="0" borderId="0" xfId="9" applyFont="1" applyProtection="1"/>
    <xf numFmtId="0" fontId="129" fillId="0" borderId="0" xfId="0" applyFont="1" applyFill="1" applyAlignment="1" applyProtection="1"/>
    <xf numFmtId="0" fontId="109" fillId="0" borderId="4" xfId="0" applyFont="1" applyFill="1" applyBorder="1" applyAlignment="1" applyProtection="1">
      <alignment wrapText="1"/>
    </xf>
    <xf numFmtId="0" fontId="109" fillId="0" borderId="0" xfId="0" applyFont="1" applyFill="1" applyBorder="1" applyAlignment="1" applyProtection="1">
      <alignment wrapText="1"/>
    </xf>
    <xf numFmtId="0" fontId="123" fillId="0" borderId="0" xfId="0" applyFont="1" applyFill="1" applyBorder="1" applyAlignment="1" applyProtection="1">
      <alignment horizontal="left"/>
    </xf>
    <xf numFmtId="0" fontId="123" fillId="0" borderId="0" xfId="0" applyFont="1" applyAlignment="1" applyProtection="1">
      <alignment horizontal="left" vertical="center"/>
    </xf>
    <xf numFmtId="0" fontId="126" fillId="0" borderId="0" xfId="0" applyFont="1" applyAlignment="1" applyProtection="1">
      <alignment vertical="center"/>
    </xf>
    <xf numFmtId="0" fontId="109" fillId="5" borderId="3" xfId="0" applyFont="1" applyFill="1" applyBorder="1" applyAlignment="1" applyProtection="1">
      <alignment horizontal="center"/>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4" xfId="0" applyFont="1" applyFill="1" applyBorder="1" applyAlignment="1" applyProtection="1">
      <alignment vertical="top" wrapText="1"/>
    </xf>
    <xf numFmtId="0" fontId="7" fillId="0" borderId="89" xfId="0" applyFont="1" applyFill="1" applyBorder="1" applyAlignment="1" applyProtection="1"/>
    <xf numFmtId="0" fontId="39" fillId="0" borderId="0" xfId="13" applyFont="1"/>
    <xf numFmtId="0" fontId="38" fillId="0" borderId="0" xfId="13" applyFont="1" applyAlignment="1"/>
    <xf numFmtId="0" fontId="40" fillId="0" borderId="0" xfId="13" applyFont="1" applyAlignment="1"/>
    <xf numFmtId="0" fontId="41" fillId="0" borderId="0" xfId="13" applyFont="1" applyAlignment="1"/>
    <xf numFmtId="0" fontId="43" fillId="0" borderId="0" xfId="13" applyFont="1"/>
    <xf numFmtId="0" fontId="42" fillId="0" borderId="0" xfId="13" applyFont="1"/>
    <xf numFmtId="0" fontId="43" fillId="0" borderId="0" xfId="13" applyFont="1" applyAlignment="1">
      <alignment vertical="top"/>
    </xf>
    <xf numFmtId="0" fontId="8" fillId="0" borderId="0" xfId="13" applyFont="1" applyAlignment="1">
      <alignment vertical="top"/>
    </xf>
    <xf numFmtId="0" fontId="43" fillId="0" borderId="0" xfId="13" applyFont="1" applyAlignment="1">
      <alignment horizontal="left"/>
    </xf>
    <xf numFmtId="0" fontId="43" fillId="0" borderId="0" xfId="13" applyFont="1" applyAlignment="1"/>
    <xf numFmtId="0" fontId="138" fillId="0" borderId="0" xfId="0" applyFont="1" applyFill="1" applyAlignment="1" applyProtection="1">
      <alignment vertical="center"/>
    </xf>
    <xf numFmtId="0" fontId="120" fillId="0" borderId="0" xfId="0" applyFont="1" applyFill="1" applyBorder="1" applyAlignment="1" applyProtection="1">
      <alignment horizontal="lef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12" fillId="4" borderId="17"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50" fillId="0" borderId="41"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40"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53" fillId="0" borderId="14" xfId="0" applyFont="1" applyFill="1" applyBorder="1" applyAlignment="1" applyProtection="1">
      <alignment vertical="top"/>
    </xf>
    <xf numFmtId="0" fontId="70" fillId="0" borderId="86" xfId="0" applyFont="1" applyFill="1" applyBorder="1" applyAlignment="1" applyProtection="1">
      <alignment vertical="center"/>
    </xf>
    <xf numFmtId="0" fontId="70" fillId="0" borderId="86" xfId="0" applyFont="1" applyFill="1" applyBorder="1" applyAlignment="1" applyProtection="1">
      <alignment horizontal="center" vertical="center"/>
    </xf>
    <xf numFmtId="0" fontId="69" fillId="0" borderId="82"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12" fillId="0" borderId="0" xfId="1"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42" fillId="0" borderId="0" xfId="0" applyFont="1" applyFill="1" applyBorder="1" applyAlignment="1" applyProtection="1">
      <alignment horizontal="left" vertical="center"/>
    </xf>
    <xf numFmtId="10" fontId="23" fillId="0" borderId="3" xfId="0" applyNumberFormat="1" applyFont="1" applyFill="1" applyBorder="1" applyAlignment="1" applyProtection="1">
      <alignment horizontal="center"/>
    </xf>
    <xf numFmtId="0" fontId="49" fillId="0" borderId="0" xfId="0" applyFont="1" applyFill="1" applyBorder="1" applyAlignment="1" applyProtection="1">
      <alignment vertical="center"/>
    </xf>
    <xf numFmtId="0" fontId="48" fillId="0" borderId="0" xfId="0" applyFont="1" applyFill="1" applyAlignment="1" applyProtection="1">
      <alignment horizontal="center" vertical="center" wrapText="1"/>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0" borderId="14" xfId="0" applyFont="1" applyFill="1" applyBorder="1" applyAlignment="1" applyProtection="1">
      <alignment horizontal="center" vertical="center"/>
    </xf>
    <xf numFmtId="0" fontId="61" fillId="0" borderId="0" xfId="0" applyFont="1" applyFill="1" applyBorder="1" applyAlignment="1" applyProtection="1">
      <alignment horizontal="left"/>
    </xf>
    <xf numFmtId="0" fontId="7" fillId="0" borderId="0" xfId="0" applyFont="1" applyFill="1" applyAlignment="1" applyProtection="1">
      <alignment horizontal="left"/>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0" xfId="0" applyFont="1" applyFill="1" applyBorder="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0" fontId="53" fillId="0" borderId="7" xfId="0" applyFont="1" applyFill="1" applyBorder="1" applyAlignment="1" applyProtection="1">
      <alignment vertical="center"/>
    </xf>
    <xf numFmtId="0" fontId="53" fillId="0" borderId="86" xfId="0" applyFont="1" applyFill="1" applyBorder="1" applyAlignment="1" applyProtection="1">
      <alignment horizontal="center" vertical="center"/>
    </xf>
    <xf numFmtId="164" fontId="53" fillId="0" borderId="0" xfId="1"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7" fillId="0" borderId="0" xfId="0" applyFont="1" applyAlignment="1" applyProtection="1">
      <alignment horizontal="center"/>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13" fillId="0" borderId="0" xfId="0" applyFont="1" applyFill="1" applyBorder="1" applyAlignment="1" applyProtection="1">
      <alignment horizontal="left" vertical="top" wrapText="1"/>
    </xf>
    <xf numFmtId="0" fontId="3" fillId="0" borderId="0" xfId="0" applyFont="1" applyFill="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0" fontId="13" fillId="0" borderId="14" xfId="0" applyFont="1" applyFill="1" applyBorder="1" applyAlignment="1" applyProtection="1">
      <alignment horizontal="left" vertical="center"/>
    </xf>
    <xf numFmtId="0" fontId="48" fillId="0" borderId="0" xfId="0" applyFont="1" applyFill="1" applyAlignment="1" applyProtection="1">
      <alignment horizontal="center" vertical="center" wrapText="1"/>
    </xf>
    <xf numFmtId="0" fontId="140" fillId="0" borderId="0" xfId="6" applyFont="1" applyFill="1" applyBorder="1" applyAlignment="1" applyProtection="1">
      <alignment horizontal="left" vertical="center"/>
    </xf>
    <xf numFmtId="0" fontId="141" fillId="0" borderId="0" xfId="6" applyFont="1" applyFill="1" applyBorder="1" applyAlignment="1" applyProtection="1">
      <alignment horizontal="left" vertical="center"/>
    </xf>
    <xf numFmtId="0" fontId="53" fillId="0" borderId="0" xfId="0" applyFont="1" applyFill="1" applyBorder="1" applyAlignment="1" applyProtection="1">
      <alignment horizontal="left" vertical="center"/>
    </xf>
    <xf numFmtId="0" fontId="109" fillId="5" borderId="37"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8"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62" fillId="8" borderId="57"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14" xfId="0" applyFont="1" applyFill="1" applyBorder="1" applyAlignment="1" applyProtection="1">
      <alignment horizontal="center"/>
    </xf>
    <xf numFmtId="42" fontId="53" fillId="0" borderId="37" xfId="2" applyNumberFormat="1" applyFont="1" applyFill="1" applyBorder="1" applyAlignment="1" applyProtection="1">
      <alignment horizontal="center" vertical="center"/>
    </xf>
    <xf numFmtId="42" fontId="53" fillId="0" borderId="38"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42" fontId="11" fillId="0" borderId="38" xfId="2" applyNumberFormat="1" applyFont="1" applyFill="1" applyBorder="1" applyAlignment="1" applyProtection="1">
      <alignment horizontal="center" vertical="center"/>
    </xf>
    <xf numFmtId="0" fontId="61" fillId="0" borderId="87" xfId="0" applyFont="1" applyFill="1" applyBorder="1" applyAlignment="1" applyProtection="1">
      <alignment horizontal="center" vertical="center"/>
    </xf>
    <xf numFmtId="0" fontId="53" fillId="0" borderId="8"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8" xfId="0" applyFont="1" applyBorder="1" applyAlignment="1" applyProtection="1">
      <alignment horizontal="center"/>
    </xf>
    <xf numFmtId="0" fontId="53" fillId="0" borderId="9"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4" xfId="0" applyFont="1" applyBorder="1" applyAlignment="1" applyProtection="1">
      <alignment wrapText="1"/>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62" fillId="8" borderId="37"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8" xfId="0" applyFont="1" applyFill="1" applyBorder="1" applyAlignment="1" applyProtection="1">
      <alignment horizontal="center" vertical="center"/>
    </xf>
    <xf numFmtId="0" fontId="53" fillId="0" borderId="5" xfId="0" applyFont="1" applyFill="1" applyBorder="1" applyAlignment="1" applyProtection="1">
      <alignment horizontal="center" vertical="center" wrapText="1"/>
    </xf>
    <xf numFmtId="0" fontId="52" fillId="0" borderId="11" xfId="0" applyFont="1" applyFill="1" applyBorder="1" applyAlignment="1" applyProtection="1">
      <alignment horizontal="center" vertical="top" wrapText="1"/>
    </xf>
    <xf numFmtId="0" fontId="49" fillId="0" borderId="12" xfId="0" applyFont="1" applyFill="1" applyBorder="1" applyAlignment="1" applyProtection="1">
      <alignment horizontal="center" vertical="top" wrapText="1"/>
    </xf>
    <xf numFmtId="0" fontId="49" fillId="0" borderId="13" xfId="0" applyFont="1" applyFill="1" applyBorder="1" applyAlignment="1" applyProtection="1">
      <alignment horizontal="center" vertical="top" wrapText="1"/>
    </xf>
    <xf numFmtId="0" fontId="61" fillId="0" borderId="11" xfId="0" applyFont="1" applyFill="1" applyBorder="1" applyAlignment="1" applyProtection="1">
      <alignment horizontal="center" vertical="top" wrapText="1"/>
    </xf>
    <xf numFmtId="0" fontId="61" fillId="0" borderId="12"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1" fillId="0" borderId="5" xfId="0" applyFont="1" applyFill="1" applyBorder="1" applyAlignment="1" applyProtection="1">
      <alignment horizontal="center" vertical="top" wrapText="1"/>
    </xf>
    <xf numFmtId="0" fontId="61" fillId="0" borderId="6"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0"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15"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53" fillId="0" borderId="9" xfId="0" applyFont="1" applyFill="1" applyBorder="1" applyAlignment="1" applyProtection="1">
      <alignment horizontal="center" vertical="top" wrapText="1"/>
    </xf>
    <xf numFmtId="0" fontId="53" fillId="0" borderId="10" xfId="0" applyFont="1" applyFill="1" applyBorder="1" applyAlignment="1" applyProtection="1">
      <alignment horizontal="center" vertical="top" wrapText="1"/>
    </xf>
    <xf numFmtId="0" fontId="53" fillId="0" borderId="15" xfId="0" applyFont="1" applyFill="1" applyBorder="1" applyAlignment="1" applyProtection="1">
      <alignment horizontal="center" vertical="top" wrapText="1"/>
    </xf>
    <xf numFmtId="0" fontId="53" fillId="0" borderId="7" xfId="0" applyFont="1" applyFill="1" applyBorder="1" applyAlignment="1" applyProtection="1">
      <alignment vertical="top"/>
    </xf>
    <xf numFmtId="0" fontId="53" fillId="0" borderId="9" xfId="0" applyFont="1" applyFill="1" applyBorder="1" applyAlignment="1" applyProtection="1">
      <alignment vertical="top"/>
    </xf>
    <xf numFmtId="0" fontId="53" fillId="0" borderId="8" xfId="0" applyFont="1" applyFill="1" applyBorder="1" applyAlignment="1" applyProtection="1">
      <alignment vertical="top"/>
    </xf>
    <xf numFmtId="0" fontId="53" fillId="0" borderId="10" xfId="0" applyFont="1" applyFill="1" applyBorder="1" applyAlignment="1" applyProtection="1">
      <alignment vertical="top"/>
    </xf>
    <xf numFmtId="0" fontId="53" fillId="0" borderId="15" xfId="0" applyFont="1" applyFill="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8" xfId="0" applyFont="1" applyBorder="1" applyAlignment="1" applyProtection="1">
      <alignment vertical="top"/>
    </xf>
    <xf numFmtId="0" fontId="53" fillId="0" borderId="10" xfId="0" applyFont="1" applyBorder="1" applyAlignment="1" applyProtection="1">
      <alignment vertical="top"/>
    </xf>
    <xf numFmtId="0" fontId="53" fillId="0" borderId="15" xfId="0" applyFont="1" applyBorder="1" applyAlignment="1" applyProtection="1">
      <alignment vertical="top"/>
    </xf>
    <xf numFmtId="174" fontId="61" fillId="0" borderId="34" xfId="10" applyNumberFormat="1" applyFont="1" applyFill="1" applyBorder="1" applyAlignment="1" applyProtection="1">
      <alignment horizontal="right" vertical="center"/>
    </xf>
    <xf numFmtId="174" fontId="61" fillId="0" borderId="35" xfId="0" applyNumberFormat="1" applyFont="1" applyFill="1" applyBorder="1" applyAlignment="1" applyProtection="1">
      <alignment horizontal="right"/>
    </xf>
    <xf numFmtId="38" fontId="61" fillId="0" borderId="37" xfId="2" applyNumberFormat="1" applyFont="1" applyFill="1" applyBorder="1" applyAlignment="1" applyProtection="1">
      <alignment horizontal="center" vertical="center"/>
    </xf>
    <xf numFmtId="38" fontId="61" fillId="0" borderId="38" xfId="2" applyNumberFormat="1" applyFont="1" applyFill="1" applyBorder="1" applyAlignment="1" applyProtection="1">
      <alignment horizontal="center" vertical="center"/>
    </xf>
    <xf numFmtId="38" fontId="61" fillId="0" borderId="10" xfId="2" applyNumberFormat="1" applyFont="1" applyFill="1" applyBorder="1" applyAlignment="1" applyProtection="1">
      <alignment horizontal="center" vertical="center"/>
    </xf>
    <xf numFmtId="38" fontId="61" fillId="0" borderId="15" xfId="2" applyNumberFormat="1" applyFont="1" applyFill="1" applyBorder="1" applyAlignment="1" applyProtection="1">
      <alignment horizontal="center" vertical="center"/>
    </xf>
    <xf numFmtId="0" fontId="53" fillId="0" borderId="86" xfId="0" applyFont="1" applyFill="1" applyBorder="1" applyAlignment="1" applyProtection="1">
      <alignment horizontal="center" vertical="center"/>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38" fontId="53" fillId="0" borderId="86" xfId="2" applyNumberFormat="1"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38" fontId="61" fillId="0" borderId="58"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0" fontId="53" fillId="0" borderId="8" xfId="0" applyFont="1" applyFill="1" applyBorder="1" applyAlignment="1" applyProtection="1">
      <alignment horizontal="left" wrapText="1"/>
    </xf>
    <xf numFmtId="0" fontId="53" fillId="0" borderId="0" xfId="0" applyFont="1" applyFill="1" applyAlignment="1" applyProtection="1">
      <alignment horizontal="left" wrapText="1"/>
    </xf>
    <xf numFmtId="0" fontId="53" fillId="0" borderId="0" xfId="0" applyFont="1" applyFill="1" applyBorder="1" applyAlignment="1" applyProtection="1">
      <alignment horizontal="center" vertical="center"/>
    </xf>
    <xf numFmtId="166" fontId="53" fillId="0" borderId="8"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0" borderId="37" xfId="2" applyNumberFormat="1" applyFont="1" applyFill="1" applyBorder="1" applyAlignment="1" applyProtection="1">
      <alignment horizontal="right" vertical="center"/>
    </xf>
    <xf numFmtId="38" fontId="61" fillId="0" borderId="38" xfId="2"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38" fontId="61" fillId="0" borderId="38" xfId="0" applyNumberFormat="1" applyFont="1" applyFill="1" applyBorder="1" applyAlignment="1" applyProtection="1">
      <alignment horizontal="right" vertical="center"/>
    </xf>
    <xf numFmtId="0" fontId="7" fillId="0" borderId="0" xfId="0" applyFont="1" applyFill="1" applyAlignment="1" applyProtection="1">
      <alignment horizontal="left"/>
    </xf>
    <xf numFmtId="0" fontId="53" fillId="0" borderId="0" xfId="0" applyFont="1" applyFill="1" applyAlignment="1" applyProtection="1">
      <alignment horizontal="center" vertical="center" wrapText="1"/>
    </xf>
    <xf numFmtId="0" fontId="53" fillId="0" borderId="14"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8"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0" fontId="7"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62" xfId="1" applyNumberFormat="1" applyFont="1" applyFill="1" applyBorder="1" applyAlignment="1" applyProtection="1">
      <alignment horizontal="right" vertical="center"/>
    </xf>
    <xf numFmtId="0" fontId="53" fillId="0" borderId="63" xfId="0" applyFont="1" applyBorder="1" applyProtection="1"/>
    <xf numFmtId="164" fontId="53" fillId="0" borderId="69" xfId="1" applyNumberFormat="1" applyFont="1" applyFill="1" applyBorder="1" applyAlignment="1" applyProtection="1">
      <alignment horizontal="right" vertical="center"/>
    </xf>
    <xf numFmtId="0" fontId="61" fillId="0" borderId="0" xfId="0" applyFont="1" applyFill="1" applyAlignment="1" applyProtection="1">
      <alignment horizontal="left"/>
    </xf>
    <xf numFmtId="164" fontId="53" fillId="0" borderId="63" xfId="1"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center" vertical="center"/>
    </xf>
    <xf numFmtId="0" fontId="61" fillId="0" borderId="64"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61" fillId="0" borderId="47" xfId="0" applyFont="1" applyFill="1" applyBorder="1" applyAlignment="1" applyProtection="1">
      <alignment horizontal="center" vertical="center" wrapText="1"/>
    </xf>
    <xf numFmtId="0" fontId="61" fillId="0" borderId="66" xfId="0" applyFont="1" applyFill="1" applyBorder="1" applyAlignment="1" applyProtection="1">
      <alignment horizontal="center" vertical="center" wrapText="1"/>
    </xf>
    <xf numFmtId="164" fontId="61" fillId="0" borderId="58" xfId="1" applyNumberFormat="1" applyFont="1" applyFill="1" applyBorder="1" applyAlignment="1" applyProtection="1">
      <alignment horizontal="center" vertical="center"/>
    </xf>
    <xf numFmtId="164" fontId="61" fillId="0" borderId="36" xfId="1"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38" fontId="53" fillId="0" borderId="38"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61" fillId="0" borderId="38"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4" fontId="53" fillId="0" borderId="86" xfId="1" applyNumberFormat="1" applyFont="1" applyFill="1" applyBorder="1" applyAlignment="1" applyProtection="1">
      <alignment vertical="center"/>
    </xf>
    <xf numFmtId="4" fontId="53" fillId="0" borderId="83" xfId="1" applyNumberFormat="1" applyFont="1" applyFill="1" applyBorder="1" applyAlignment="1" applyProtection="1">
      <alignment vertical="center"/>
    </xf>
    <xf numFmtId="0" fontId="61" fillId="0" borderId="58" xfId="0" applyFont="1" applyFill="1" applyBorder="1" applyAlignment="1" applyProtection="1">
      <alignment horizontal="center" vertical="center"/>
    </xf>
    <xf numFmtId="0" fontId="61" fillId="0" borderId="36" xfId="0" applyFont="1" applyFill="1" applyBorder="1" applyAlignment="1" applyProtection="1">
      <alignment horizontal="center" vertical="center"/>
    </xf>
    <xf numFmtId="4" fontId="70" fillId="0" borderId="10"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9" xfId="1" applyNumberFormat="1" applyFont="1" applyFill="1" applyBorder="1" applyAlignment="1" applyProtection="1">
      <alignment horizontal="center" vertical="center"/>
    </xf>
    <xf numFmtId="164" fontId="61" fillId="0" borderId="64"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61" fillId="0" borderId="47" xfId="1" applyNumberFormat="1" applyFont="1" applyFill="1" applyBorder="1" applyAlignment="1" applyProtection="1">
      <alignment horizontal="center" vertical="center" wrapText="1"/>
    </xf>
    <xf numFmtId="164" fontId="61" fillId="0" borderId="66" xfId="1" applyNumberFormat="1" applyFont="1" applyFill="1" applyBorder="1" applyAlignment="1" applyProtection="1">
      <alignment horizontal="center" vertical="center" wrapText="1"/>
    </xf>
    <xf numFmtId="4" fontId="70" fillId="0" borderId="89"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8"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53" fillId="0" borderId="84" xfId="0" applyFont="1" applyFill="1" applyBorder="1" applyAlignment="1" applyProtection="1">
      <alignment horizontal="center" vertical="center" wrapText="1"/>
    </xf>
    <xf numFmtId="0" fontId="53" fillId="0" borderId="10" xfId="0" applyFont="1" applyFill="1" applyBorder="1" applyAlignment="1" applyProtection="1">
      <alignment horizontal="center" vertical="center" wrapText="1"/>
    </xf>
    <xf numFmtId="38" fontId="61" fillId="0" borderId="37"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8" xfId="0" applyNumberFormat="1" applyFont="1" applyFill="1" applyBorder="1" applyAlignment="1" applyProtection="1">
      <alignment horizontal="center" vertical="center"/>
    </xf>
    <xf numFmtId="0" fontId="73" fillId="0" borderId="64" xfId="0" applyFont="1" applyFill="1" applyBorder="1" applyAlignment="1" applyProtection="1">
      <alignment horizontal="justify" vertical="top" wrapText="1"/>
    </xf>
    <xf numFmtId="0" fontId="73" fillId="0" borderId="74" xfId="0" applyFont="1" applyFill="1" applyBorder="1" applyAlignment="1" applyProtection="1">
      <alignment horizontal="justify" vertical="top" wrapText="1"/>
    </xf>
    <xf numFmtId="0" fontId="73" fillId="0" borderId="65" xfId="0" applyFont="1" applyFill="1" applyBorder="1" applyAlignment="1" applyProtection="1">
      <alignment horizontal="justify" vertical="top" wrapText="1"/>
    </xf>
    <xf numFmtId="0" fontId="73" fillId="0" borderId="46"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9" xfId="0" applyFont="1" applyFill="1" applyBorder="1" applyAlignment="1" applyProtection="1">
      <alignment horizontal="justify" vertical="top" wrapText="1"/>
    </xf>
    <xf numFmtId="0" fontId="73" fillId="0" borderId="64" xfId="0" applyFont="1" applyFill="1" applyBorder="1" applyAlignment="1" applyProtection="1">
      <alignment horizontal="center" vertical="center" wrapText="1"/>
    </xf>
    <xf numFmtId="0" fontId="73" fillId="0" borderId="65" xfId="0" applyFont="1" applyFill="1" applyBorder="1" applyAlignment="1" applyProtection="1">
      <alignment horizontal="center" vertical="center" wrapText="1"/>
    </xf>
    <xf numFmtId="0" fontId="73" fillId="0" borderId="46" xfId="0" applyFont="1" applyFill="1" applyBorder="1" applyAlignment="1" applyProtection="1">
      <alignment horizontal="center" vertical="center" wrapText="1"/>
    </xf>
    <xf numFmtId="0" fontId="73" fillId="0" borderId="49"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9" xfId="0"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 fontId="53" fillId="0" borderId="86" xfId="1" applyNumberFormat="1" applyFont="1" applyFill="1" applyBorder="1" applyAlignment="1" applyProtection="1">
      <alignment horizontal="center" vertical="center"/>
    </xf>
    <xf numFmtId="3" fontId="53" fillId="0" borderId="83"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6" xfId="0" applyNumberFormat="1" applyFont="1" applyFill="1" applyBorder="1" applyAlignment="1" applyProtection="1">
      <alignment horizontal="center" vertical="center"/>
    </xf>
    <xf numFmtId="38" fontId="49" fillId="0" borderId="91" xfId="0" applyNumberFormat="1" applyFont="1" applyFill="1" applyBorder="1" applyAlignment="1" applyProtection="1">
      <alignment horizontal="center" vertical="center"/>
    </xf>
    <xf numFmtId="38" fontId="49" fillId="0" borderId="48"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8" fontId="53" fillId="0" borderId="77"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5" xfId="0" applyNumberFormat="1" applyFont="1" applyFill="1" applyBorder="1" applyAlignment="1" applyProtection="1">
      <alignment horizontal="center" vertical="center"/>
    </xf>
    <xf numFmtId="38" fontId="53" fillId="0" borderId="7"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73"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0" borderId="93" xfId="0" applyFont="1" applyFill="1" applyBorder="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7" fillId="0" borderId="0" xfId="0" applyFont="1" applyBorder="1" applyAlignment="1" applyProtection="1">
      <alignment horizontal="center"/>
    </xf>
    <xf numFmtId="0" fontId="7" fillId="0" borderId="0" xfId="0" applyFont="1" applyAlignment="1" applyProtection="1">
      <alignment horizontal="center"/>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38" fontId="11" fillId="0" borderId="10" xfId="1" applyNumberFormat="1" applyFont="1" applyFill="1" applyBorder="1" applyAlignment="1" applyProtection="1">
      <alignment horizontal="right" vertical="center"/>
    </xf>
    <xf numFmtId="38" fontId="11" fillId="0" borderId="15" xfId="1"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 fontId="11" fillId="0" borderId="63" xfId="0"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38" fontId="11" fillId="0" borderId="63" xfId="1"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26" fillId="0" borderId="0" xfId="0" applyFont="1" applyFill="1" applyAlignment="1" applyProtection="1">
      <alignment horizontal="left" vertical="center" wrapText="1"/>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8"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7" fillId="0" borderId="0" xfId="0" applyFont="1" applyFill="1" applyAlignment="1" applyProtection="1">
      <alignment horizontal="left"/>
    </xf>
    <xf numFmtId="164" fontId="11" fillId="0" borderId="82" xfId="0" applyNumberFormat="1" applyFont="1" applyFill="1" applyBorder="1" applyAlignment="1" applyProtection="1">
      <alignment horizontal="center"/>
    </xf>
    <xf numFmtId="164" fontId="11" fillId="0" borderId="83"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2" xfId="0" applyFont="1" applyFill="1" applyBorder="1" applyAlignment="1" applyProtection="1">
      <alignment horizontal="center" vertical="center"/>
    </xf>
    <xf numFmtId="0" fontId="116" fillId="0" borderId="0" xfId="0" applyFont="1" applyFill="1" applyAlignment="1" applyProtection="1">
      <alignment horizontal="center" vertical="center" wrapText="1"/>
    </xf>
    <xf numFmtId="0" fontId="3" fillId="0" borderId="0" xfId="0" applyFont="1" applyFill="1" applyAlignment="1" applyProtection="1">
      <alignment horizontal="justify" vertical="top" wrapText="1"/>
    </xf>
    <xf numFmtId="0" fontId="13" fillId="4" borderId="37" xfId="0" applyFont="1" applyFill="1" applyBorder="1" applyAlignment="1" applyProtection="1">
      <alignment horizontal="center" vertical="top"/>
    </xf>
    <xf numFmtId="0" fontId="13" fillId="4" borderId="38" xfId="0" applyFont="1" applyFill="1" applyBorder="1" applyAlignment="1" applyProtection="1">
      <alignment horizontal="center" vertical="top"/>
    </xf>
    <xf numFmtId="0" fontId="3" fillId="0" borderId="0" xfId="0" applyFont="1" applyFill="1" applyBorder="1" applyAlignment="1" applyProtection="1">
      <alignment horizontal="left" vertical="top" wrapText="1"/>
    </xf>
    <xf numFmtId="0" fontId="50" fillId="0" borderId="89" xfId="0" applyFont="1" applyFill="1" applyBorder="1" applyAlignment="1" applyProtection="1">
      <alignment horizontal="center" wrapText="1"/>
    </xf>
    <xf numFmtId="0" fontId="50" fillId="0" borderId="0" xfId="0" applyFont="1" applyFill="1" applyAlignment="1" applyProtection="1">
      <alignment horizontal="center" wrapText="1"/>
    </xf>
    <xf numFmtId="0" fontId="3" fillId="4" borderId="37" xfId="0" applyFont="1" applyFill="1" applyBorder="1" applyAlignment="1" applyProtection="1">
      <alignment horizontal="left" vertical="top" wrapText="1"/>
    </xf>
    <xf numFmtId="0" fontId="3" fillId="4" borderId="2" xfId="0" applyFont="1" applyFill="1" applyBorder="1" applyAlignment="1" applyProtection="1">
      <alignment horizontal="left" vertical="top" wrapText="1"/>
    </xf>
    <xf numFmtId="0" fontId="3" fillId="4" borderId="38" xfId="0" applyFont="1" applyFill="1" applyBorder="1" applyAlignment="1" applyProtection="1">
      <alignment horizontal="left" vertical="top" wrapText="1"/>
    </xf>
    <xf numFmtId="0" fontId="9" fillId="4" borderId="37" xfId="0" applyFont="1" applyFill="1" applyBorder="1" applyAlignment="1" applyProtection="1">
      <alignment horizontal="center" vertical="center"/>
    </xf>
    <xf numFmtId="0" fontId="9" fillId="4" borderId="7" xfId="0" applyFont="1" applyFill="1" applyBorder="1" applyAlignment="1" applyProtection="1">
      <alignment horizontal="center" vertical="center"/>
    </xf>
    <xf numFmtId="0" fontId="3" fillId="0" borderId="0" xfId="0" applyFont="1" applyFill="1" applyBorder="1" applyAlignment="1" applyProtection="1">
      <alignment horizontal="justify" vertical="top" wrapText="1"/>
    </xf>
    <xf numFmtId="0" fontId="9" fillId="4" borderId="38" xfId="0" applyFont="1" applyFill="1" applyBorder="1" applyAlignment="1" applyProtection="1">
      <alignment horizontal="center" vertical="center"/>
    </xf>
    <xf numFmtId="0" fontId="13" fillId="0" borderId="0" xfId="0" applyFont="1" applyFill="1" applyBorder="1" applyAlignment="1" applyProtection="1">
      <alignment horizontal="left" vertical="top" wrapText="1"/>
    </xf>
    <xf numFmtId="0" fontId="3" fillId="0" borderId="0" xfId="0" applyFont="1" applyAlignment="1" applyProtection="1">
      <alignment horizontal="justify" vertical="top" wrapText="1"/>
    </xf>
    <xf numFmtId="0" fontId="3" fillId="0" borderId="8"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9"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175" fontId="13" fillId="4" borderId="37" xfId="0" applyNumberFormat="1" applyFont="1" applyFill="1" applyBorder="1" applyAlignment="1" applyProtection="1">
      <alignment horizontal="left" vertical="center"/>
    </xf>
    <xf numFmtId="175" fontId="13" fillId="4" borderId="38" xfId="0" applyNumberFormat="1" applyFont="1" applyFill="1" applyBorder="1" applyAlignment="1" applyProtection="1">
      <alignment horizontal="left" vertical="center"/>
    </xf>
    <xf numFmtId="0" fontId="9" fillId="4" borderId="10" xfId="0"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3" fillId="4" borderId="82" xfId="0" applyFont="1" applyFill="1" applyBorder="1" applyAlignment="1" applyProtection="1">
      <alignment horizontal="left" vertical="top" wrapText="1"/>
    </xf>
    <xf numFmtId="0" fontId="3" fillId="4" borderId="86" xfId="0" applyFont="1" applyFill="1" applyBorder="1" applyAlignment="1" applyProtection="1">
      <alignment horizontal="left" vertical="top" wrapText="1"/>
    </xf>
    <xf numFmtId="0" fontId="3" fillId="4" borderId="83"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48" fillId="0" borderId="8" xfId="0" applyFont="1" applyFill="1" applyBorder="1" applyAlignment="1" applyProtection="1">
      <alignment horizontal="center" vertical="center" wrapText="1"/>
    </xf>
    <xf numFmtId="0" fontId="13" fillId="4" borderId="37" xfId="0" applyFont="1" applyFill="1" applyBorder="1" applyAlignment="1" applyProtection="1">
      <alignment horizontal="left"/>
    </xf>
    <xf numFmtId="0" fontId="13" fillId="4" borderId="38" xfId="0" applyFont="1" applyFill="1" applyBorder="1" applyAlignment="1" applyProtection="1">
      <alignment horizontal="left"/>
    </xf>
    <xf numFmtId="0" fontId="13" fillId="4" borderId="37" xfId="0" applyFont="1" applyFill="1" applyBorder="1" applyAlignment="1" applyProtection="1">
      <alignment horizontal="left" vertical="center"/>
    </xf>
    <xf numFmtId="0" fontId="13" fillId="4" borderId="38" xfId="0" applyFont="1" applyFill="1" applyBorder="1" applyAlignment="1" applyProtection="1">
      <alignment horizontal="left" vertical="center"/>
    </xf>
    <xf numFmtId="0" fontId="3" fillId="4" borderId="34" xfId="0" applyFont="1" applyFill="1" applyBorder="1" applyAlignment="1" applyProtection="1">
      <alignment horizontal="left" vertical="top" wrapText="1"/>
    </xf>
    <xf numFmtId="0" fontId="3" fillId="4" borderId="60" xfId="0" applyFont="1" applyFill="1" applyBorder="1" applyAlignment="1" applyProtection="1">
      <alignment horizontal="left" vertical="top" wrapText="1"/>
    </xf>
    <xf numFmtId="0" fontId="3" fillId="4" borderId="35" xfId="0" applyFont="1" applyFill="1" applyBorder="1" applyAlignment="1" applyProtection="1">
      <alignment horizontal="left" vertical="top" wrapText="1"/>
    </xf>
    <xf numFmtId="0" fontId="3" fillId="4" borderId="29" xfId="0" applyFont="1" applyFill="1" applyBorder="1" applyAlignment="1" applyProtection="1">
      <alignment horizontal="left" vertical="top" wrapText="1"/>
    </xf>
    <xf numFmtId="0" fontId="3" fillId="4" borderId="59" xfId="0" applyFont="1" applyFill="1" applyBorder="1" applyAlignment="1" applyProtection="1">
      <alignment horizontal="left" vertical="top" wrapText="1"/>
    </xf>
    <xf numFmtId="0" fontId="3" fillId="4" borderId="30" xfId="0" applyFont="1" applyFill="1" applyBorder="1" applyAlignment="1" applyProtection="1">
      <alignment horizontal="left" vertical="top" wrapText="1"/>
    </xf>
    <xf numFmtId="0" fontId="50" fillId="4" borderId="31" xfId="0" applyFont="1" applyFill="1" applyBorder="1" applyAlignment="1" applyProtection="1">
      <alignment horizontal="justify" vertical="top" wrapText="1"/>
    </xf>
    <xf numFmtId="0" fontId="50" fillId="4" borderId="22" xfId="0" applyFont="1" applyFill="1" applyBorder="1" applyAlignment="1" applyProtection="1">
      <alignment horizontal="justify" vertical="top" wrapText="1"/>
    </xf>
    <xf numFmtId="0" fontId="50" fillId="4" borderId="32" xfId="0" applyFont="1" applyFill="1" applyBorder="1" applyAlignment="1" applyProtection="1">
      <alignment horizontal="justify" vertical="top" wrapText="1"/>
    </xf>
    <xf numFmtId="0" fontId="50" fillId="4" borderId="34" xfId="0" applyFont="1" applyFill="1" applyBorder="1" applyAlignment="1" applyProtection="1">
      <alignment horizontal="justify" vertical="top" wrapText="1"/>
    </xf>
    <xf numFmtId="0" fontId="50" fillId="4" borderId="60" xfId="0" applyFont="1" applyFill="1" applyBorder="1" applyAlignment="1" applyProtection="1">
      <alignment horizontal="justify" vertical="top" wrapText="1"/>
    </xf>
    <xf numFmtId="0" fontId="50" fillId="4" borderId="35"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3" fillId="0" borderId="20" xfId="0" applyFont="1" applyFill="1" applyBorder="1" applyAlignment="1" applyProtection="1">
      <alignment horizontal="center" wrapText="1"/>
    </xf>
    <xf numFmtId="0" fontId="3" fillId="0" borderId="14" xfId="0" applyFont="1" applyFill="1" applyBorder="1" applyAlignment="1" applyProtection="1">
      <alignment horizontal="center" wrapText="1"/>
    </xf>
    <xf numFmtId="0" fontId="3" fillId="4" borderId="31" xfId="0" applyFont="1" applyFill="1" applyBorder="1" applyAlignment="1" applyProtection="1">
      <alignment horizontal="left" vertical="top" wrapText="1"/>
    </xf>
    <xf numFmtId="0" fontId="3" fillId="4" borderId="22" xfId="0" applyFont="1" applyFill="1" applyBorder="1" applyAlignment="1" applyProtection="1">
      <alignment horizontal="left" vertical="top" wrapText="1"/>
    </xf>
    <xf numFmtId="0" fontId="3" fillId="4" borderId="32" xfId="0" applyFont="1" applyFill="1" applyBorder="1" applyAlignment="1" applyProtection="1">
      <alignment horizontal="left" vertical="top" wrapText="1"/>
    </xf>
    <xf numFmtId="3" fontId="9" fillId="0" borderId="82" xfId="0" applyNumberFormat="1" applyFont="1" applyFill="1" applyBorder="1" applyAlignment="1" applyProtection="1">
      <alignment horizontal="center" vertical="top" wrapText="1"/>
    </xf>
    <xf numFmtId="3" fontId="9" fillId="0" borderId="83" xfId="0" applyNumberFormat="1" applyFont="1" applyFill="1" applyBorder="1" applyAlignment="1" applyProtection="1">
      <alignment horizontal="center" vertical="top" wrapText="1"/>
    </xf>
    <xf numFmtId="0" fontId="105" fillId="0" borderId="0" xfId="0" applyFont="1" applyFill="1" applyBorder="1" applyAlignment="1" applyProtection="1">
      <alignment horizontal="center" vertical="center" wrapText="1"/>
    </xf>
    <xf numFmtId="0" fontId="105" fillId="0" borderId="14" xfId="0" applyFont="1" applyFill="1" applyBorder="1" applyAlignment="1" applyProtection="1">
      <alignment horizontal="center" vertical="center" wrapText="1"/>
    </xf>
    <xf numFmtId="0" fontId="13" fillId="0" borderId="43" xfId="0" applyFont="1" applyFill="1" applyBorder="1" applyAlignment="1" applyProtection="1">
      <alignment horizontal="center"/>
    </xf>
    <xf numFmtId="0" fontId="13" fillId="0" borderId="21" xfId="0" applyFont="1" applyFill="1" applyBorder="1" applyAlignment="1" applyProtection="1">
      <alignment horizontal="center"/>
    </xf>
    <xf numFmtId="0" fontId="13" fillId="0" borderId="61" xfId="0" applyFont="1" applyFill="1" applyBorder="1" applyAlignment="1" applyProtection="1">
      <alignment horizontal="center"/>
    </xf>
    <xf numFmtId="0" fontId="22" fillId="0" borderId="0" xfId="0" applyFont="1" applyFill="1" applyAlignment="1" applyProtection="1">
      <alignment horizontal="left" vertical="center"/>
    </xf>
    <xf numFmtId="0" fontId="114" fillId="4" borderId="37" xfId="0" applyFont="1" applyFill="1" applyBorder="1" applyAlignment="1" applyProtection="1">
      <alignment horizontal="center" vertical="center"/>
    </xf>
    <xf numFmtId="0" fontId="114" fillId="4" borderId="38" xfId="0" applyFont="1" applyFill="1" applyBorder="1" applyAlignment="1" applyProtection="1">
      <alignment horizontal="center" vertical="center"/>
    </xf>
    <xf numFmtId="0" fontId="50" fillId="4" borderId="29" xfId="0" applyFont="1" applyFill="1" applyBorder="1" applyAlignment="1" applyProtection="1">
      <alignment horizontal="justify" vertical="top" wrapText="1"/>
    </xf>
    <xf numFmtId="0" fontId="50" fillId="4" borderId="59" xfId="0" applyFont="1" applyFill="1" applyBorder="1" applyAlignment="1" applyProtection="1">
      <alignment horizontal="justify" vertical="top" wrapText="1"/>
    </xf>
    <xf numFmtId="0" fontId="50" fillId="4" borderId="30"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9" xfId="0" applyFont="1" applyFill="1" applyBorder="1" applyAlignment="1" applyProtection="1">
      <alignment horizontal="center" vertical="center"/>
    </xf>
    <xf numFmtId="0" fontId="7" fillId="5" borderId="37" xfId="0" applyFont="1" applyFill="1" applyBorder="1" applyAlignment="1" applyProtection="1">
      <alignment horizontal="center" vertical="center" wrapText="1"/>
    </xf>
    <xf numFmtId="0" fontId="7" fillId="5" borderId="38" xfId="0" applyFont="1" applyFill="1" applyBorder="1" applyAlignment="1" applyProtection="1">
      <alignment horizontal="center" vertical="center" wrapText="1"/>
    </xf>
    <xf numFmtId="0" fontId="3" fillId="0" borderId="0" xfId="0" applyFont="1" applyFill="1" applyBorder="1" applyAlignment="1" applyProtection="1">
      <alignment horizontal="justify" vertical="center" wrapText="1"/>
    </xf>
    <xf numFmtId="0" fontId="6" fillId="0" borderId="0" xfId="0" applyFont="1" applyFill="1" applyAlignment="1" applyProtection="1">
      <alignment horizontal="center"/>
    </xf>
    <xf numFmtId="0" fontId="3" fillId="0" borderId="0" xfId="0" applyFont="1" applyBorder="1" applyAlignment="1" applyProtection="1">
      <alignment horizontal="justify" vertical="top" wrapText="1"/>
    </xf>
    <xf numFmtId="174" fontId="13" fillId="0" borderId="82" xfId="0" applyNumberFormat="1" applyFont="1" applyBorder="1" applyAlignment="1" applyProtection="1">
      <alignment horizontal="center" vertical="center"/>
    </xf>
    <xf numFmtId="174" fontId="13" fillId="0" borderId="83" xfId="0" applyNumberFormat="1" applyFont="1" applyBorder="1" applyAlignment="1" applyProtection="1">
      <alignment horizontal="center" vertical="center"/>
    </xf>
    <xf numFmtId="0" fontId="3" fillId="0" borderId="0" xfId="0" applyFont="1" applyFill="1" applyAlignment="1" applyProtection="1">
      <alignment horizontal="justify" wrapText="1"/>
    </xf>
    <xf numFmtId="0" fontId="6" fillId="0" borderId="0" xfId="0" applyFont="1" applyFill="1" applyBorder="1" applyAlignment="1" applyProtection="1">
      <alignment horizontal="left" vertical="center" wrapText="1"/>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3" fillId="0" borderId="0" xfId="0" applyFont="1" applyAlignment="1" applyProtection="1">
      <alignment horizontal="left" vertical="top" wrapText="1"/>
    </xf>
    <xf numFmtId="0" fontId="77" fillId="0" borderId="0" xfId="0" applyFont="1" applyAlignment="1" applyProtection="1">
      <alignment horizontal="center"/>
    </xf>
    <xf numFmtId="0" fontId="50" fillId="4" borderId="52" xfId="0" applyFont="1" applyFill="1" applyBorder="1" applyAlignment="1" applyProtection="1">
      <alignment horizontal="left" vertical="top" wrapText="1"/>
    </xf>
    <xf numFmtId="0" fontId="50" fillId="4" borderId="39" xfId="0" applyFont="1" applyFill="1" applyBorder="1" applyAlignment="1" applyProtection="1">
      <alignment horizontal="left" vertical="top" wrapText="1"/>
    </xf>
    <xf numFmtId="0" fontId="57" fillId="0" borderId="6"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50"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0" fillId="4" borderId="53" xfId="0" applyFont="1" applyFill="1" applyBorder="1" applyAlignment="1" applyProtection="1">
      <alignment horizontal="left" vertical="top" wrapText="1"/>
    </xf>
    <xf numFmtId="0" fontId="50" fillId="4" borderId="54" xfId="0" applyFont="1" applyFill="1" applyBorder="1" applyAlignment="1" applyProtection="1">
      <alignment horizontal="left" vertical="top" wrapText="1"/>
    </xf>
    <xf numFmtId="0" fontId="50"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3" fillId="0" borderId="14"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50" fillId="4" borderId="50" xfId="0" applyFont="1" applyFill="1" applyBorder="1" applyAlignment="1" applyProtection="1">
      <alignment horizontal="left" vertical="top" wrapText="1"/>
    </xf>
    <xf numFmtId="0" fontId="50" fillId="4" borderId="51" xfId="0" applyFont="1" applyFill="1" applyBorder="1" applyAlignment="1" applyProtection="1">
      <alignment horizontal="left" vertical="top" wrapText="1"/>
    </xf>
    <xf numFmtId="0" fontId="50"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0" fillId="0" borderId="0" xfId="0" applyFont="1" applyFill="1" applyAlignment="1" applyProtection="1">
      <alignment horizontal="center" vertical="center" wrapText="1"/>
    </xf>
    <xf numFmtId="3" fontId="3" fillId="0" borderId="82" xfId="0" applyNumberFormat="1" applyFont="1" applyFill="1" applyBorder="1" applyAlignment="1" applyProtection="1">
      <alignment horizontal="center" vertical="center"/>
    </xf>
    <xf numFmtId="3" fontId="3" fillId="0" borderId="83" xfId="0" applyNumberFormat="1" applyFont="1" applyFill="1" applyBorder="1" applyAlignment="1" applyProtection="1">
      <alignment horizontal="center" vertical="center"/>
    </xf>
    <xf numFmtId="0" fontId="3" fillId="0" borderId="0" xfId="0" applyFont="1" applyFill="1" applyAlignment="1" applyProtection="1">
      <alignment horizontal="left" vertical="center"/>
    </xf>
    <xf numFmtId="0" fontId="3" fillId="0" borderId="9" xfId="0" applyFont="1" applyFill="1" applyBorder="1" applyAlignment="1" applyProtection="1">
      <alignment horizontal="left" vertical="center"/>
    </xf>
    <xf numFmtId="0" fontId="3" fillId="0" borderId="0" xfId="0" applyFont="1" applyFill="1" applyAlignment="1" applyProtection="1">
      <alignment horizontal="left" wrapText="1"/>
    </xf>
    <xf numFmtId="174" fontId="86" fillId="0" borderId="37" xfId="0" applyNumberFormat="1" applyFont="1" applyFill="1" applyBorder="1" applyAlignment="1" applyProtection="1">
      <alignment horizontal="center" vertical="center"/>
    </xf>
    <xf numFmtId="174" fontId="86" fillId="0" borderId="38"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0" fontId="105" fillId="17" borderId="0" xfId="0" applyFont="1" applyFill="1" applyAlignment="1" applyProtection="1">
      <alignment horizontal="center" vertical="center"/>
    </xf>
    <xf numFmtId="174" fontId="86" fillId="0" borderId="82" xfId="0" applyNumberFormat="1" applyFont="1" applyFill="1" applyBorder="1" applyAlignment="1" applyProtection="1">
      <alignment horizontal="center" vertical="center"/>
    </xf>
    <xf numFmtId="174" fontId="86" fillId="0" borderId="83" xfId="0" applyNumberFormat="1" applyFont="1" applyFill="1" applyBorder="1" applyAlignment="1" applyProtection="1">
      <alignment horizontal="center" vertical="center"/>
    </xf>
    <xf numFmtId="0" fontId="15" fillId="0" borderId="0" xfId="0" applyFont="1" applyAlignment="1" applyProtection="1">
      <alignment horizontal="center"/>
    </xf>
    <xf numFmtId="0" fontId="48" fillId="0" borderId="0" xfId="0" applyFont="1" applyFill="1" applyBorder="1" applyAlignment="1" applyProtection="1">
      <alignment horizontal="center" vertical="center" wrapText="1"/>
    </xf>
    <xf numFmtId="0" fontId="43" fillId="0" borderId="0" xfId="13" applyFont="1" applyAlignment="1">
      <alignment horizontal="justify" vertical="top" wrapText="1"/>
    </xf>
    <xf numFmtId="0" fontId="43" fillId="0" borderId="0" xfId="13" applyFont="1" applyAlignment="1">
      <alignment horizontal="left" wrapText="1"/>
    </xf>
    <xf numFmtId="0" fontId="43" fillId="0" borderId="0" xfId="13" applyFont="1" applyAlignment="1">
      <alignment horizontal="left"/>
    </xf>
    <xf numFmtId="0" fontId="43" fillId="0" borderId="0" xfId="13" applyFont="1" applyAlignment="1">
      <alignment horizontal="justify" vertical="center" wrapText="1"/>
    </xf>
    <xf numFmtId="0" fontId="45" fillId="0" borderId="0" xfId="13" applyFont="1" applyAlignment="1">
      <alignment horizontal="center"/>
    </xf>
    <xf numFmtId="0" fontId="43" fillId="0" borderId="14" xfId="13" applyFont="1" applyBorder="1" applyAlignment="1" applyProtection="1">
      <alignment horizontal="left"/>
      <protection locked="0"/>
    </xf>
    <xf numFmtId="0" fontId="45" fillId="0" borderId="89" xfId="13" applyFont="1" applyBorder="1" applyAlignment="1">
      <alignment horizontal="center" vertical="top"/>
    </xf>
    <xf numFmtId="0" fontId="43" fillId="0" borderId="14" xfId="13" applyFont="1" applyBorder="1" applyAlignment="1">
      <alignment horizontal="left"/>
    </xf>
    <xf numFmtId="175" fontId="43" fillId="0" borderId="14" xfId="13" applyNumberFormat="1" applyFont="1" applyBorder="1" applyAlignment="1" applyProtection="1">
      <alignment horizontal="left"/>
      <protection locked="0"/>
    </xf>
    <xf numFmtId="9" fontId="50" fillId="0" borderId="3" xfId="10" applyFont="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3" fontId="50" fillId="0" borderId="38" xfId="1" applyNumberFormat="1"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8" xfId="0" applyFont="1" applyFill="1" applyBorder="1" applyAlignment="1" applyProtection="1">
      <alignment horizontal="center" vertical="center"/>
    </xf>
    <xf numFmtId="0" fontId="111" fillId="14" borderId="82" xfId="12" applyFont="1" applyFill="1" applyBorder="1" applyAlignment="1" applyProtection="1">
      <alignment horizontal="center"/>
    </xf>
    <xf numFmtId="0" fontId="131" fillId="14" borderId="86" xfId="12" applyFont="1" applyFill="1" applyBorder="1" applyProtection="1"/>
    <xf numFmtId="0" fontId="131" fillId="14" borderId="83" xfId="12" applyFont="1" applyFill="1" applyBorder="1" applyProtection="1"/>
    <xf numFmtId="0" fontId="132" fillId="0" borderId="0" xfId="12" applyFont="1" applyProtection="1"/>
    <xf numFmtId="0" fontId="143" fillId="0" borderId="89" xfId="12" applyFont="1" applyBorder="1" applyAlignment="1" applyProtection="1">
      <alignment horizontal="center" vertical="center" wrapText="1"/>
    </xf>
    <xf numFmtId="0" fontId="133" fillId="0" borderId="0" xfId="12" applyFont="1" applyProtection="1"/>
    <xf numFmtId="0" fontId="133" fillId="0" borderId="0" xfId="12" applyFont="1" applyBorder="1" applyAlignment="1" applyProtection="1">
      <alignment horizontal="center" wrapText="1"/>
    </xf>
    <xf numFmtId="0" fontId="135" fillId="0" borderId="0" xfId="12" applyFont="1" applyBorder="1" applyAlignment="1" applyProtection="1">
      <alignment horizontal="left"/>
    </xf>
    <xf numFmtId="0" fontId="135" fillId="0" borderId="0" xfId="12" applyFont="1" applyBorder="1" applyAlignment="1" applyProtection="1">
      <alignment horizontal="center" wrapText="1"/>
    </xf>
    <xf numFmtId="0" fontId="135" fillId="0" borderId="0" xfId="12" applyFont="1" applyBorder="1" applyProtection="1"/>
    <xf numFmtId="0" fontId="135" fillId="0" borderId="0" xfId="12" applyFont="1" applyBorder="1" applyAlignment="1" applyProtection="1">
      <alignment horizontal="right"/>
    </xf>
    <xf numFmtId="0" fontId="135" fillId="0" borderId="0" xfId="12" applyFont="1" applyProtection="1"/>
    <xf numFmtId="0" fontId="133" fillId="0" borderId="87" xfId="12" applyFont="1" applyBorder="1" applyAlignment="1" applyProtection="1">
      <alignment horizontal="center" wrapText="1"/>
    </xf>
    <xf numFmtId="0" fontId="135" fillId="0" borderId="87" xfId="12" applyFont="1" applyBorder="1" applyAlignment="1" applyProtection="1">
      <alignment horizontal="left"/>
    </xf>
    <xf numFmtId="0" fontId="135" fillId="0" borderId="87" xfId="12" applyFont="1" applyBorder="1" applyAlignment="1" applyProtection="1">
      <alignment horizontal="center" wrapText="1"/>
    </xf>
    <xf numFmtId="0" fontId="135" fillId="0" borderId="87" xfId="12" applyFont="1" applyBorder="1" applyProtection="1"/>
    <xf numFmtId="49" fontId="133" fillId="0" borderId="0" xfId="12" applyNumberFormat="1" applyFont="1" applyAlignment="1" applyProtection="1">
      <alignment vertical="top"/>
    </xf>
    <xf numFmtId="49" fontId="133" fillId="0" borderId="0" xfId="12" applyNumberFormat="1" applyFont="1" applyAlignment="1" applyProtection="1">
      <alignment horizontal="left" vertical="top"/>
    </xf>
    <xf numFmtId="49" fontId="133" fillId="0" borderId="74" xfId="12" quotePrefix="1" applyNumberFormat="1" applyFont="1" applyBorder="1" applyAlignment="1" applyProtection="1">
      <alignment horizontal="center" vertical="top"/>
    </xf>
    <xf numFmtId="0" fontId="133" fillId="0" borderId="0" xfId="12" applyFont="1" applyAlignment="1" applyProtection="1">
      <alignment vertical="top"/>
    </xf>
    <xf numFmtId="0" fontId="133" fillId="0" borderId="0" xfId="12" applyFont="1" applyAlignment="1" applyProtection="1">
      <alignment horizontal="right" vertical="top"/>
    </xf>
    <xf numFmtId="0" fontId="133" fillId="10" borderId="13" xfId="12" applyFont="1" applyFill="1" applyBorder="1" applyAlignment="1" applyProtection="1">
      <alignment vertical="top"/>
    </xf>
    <xf numFmtId="49" fontId="133" fillId="0" borderId="0" xfId="12" quotePrefix="1" applyNumberFormat="1" applyFont="1" applyAlignment="1" applyProtection="1">
      <alignment vertical="top"/>
    </xf>
    <xf numFmtId="49" fontId="133" fillId="0" borderId="96" xfId="12" quotePrefix="1" applyNumberFormat="1" applyFont="1" applyBorder="1" applyAlignment="1" applyProtection="1">
      <alignment horizontal="center" vertical="top"/>
    </xf>
    <xf numFmtId="0" fontId="133" fillId="10" borderId="90" xfId="12" applyFont="1" applyFill="1" applyBorder="1" applyAlignment="1" applyProtection="1">
      <alignment vertical="top"/>
    </xf>
    <xf numFmtId="49" fontId="133" fillId="0" borderId="94" xfId="12" quotePrefix="1" applyNumberFormat="1" applyFont="1" applyBorder="1" applyAlignment="1" applyProtection="1">
      <alignment horizontal="center" vertical="top"/>
    </xf>
    <xf numFmtId="0" fontId="133" fillId="0" borderId="0" xfId="12" applyFont="1" applyAlignment="1" applyProtection="1">
      <alignment horizontal="left" vertical="top"/>
    </xf>
    <xf numFmtId="0" fontId="133" fillId="10" borderId="88" xfId="12" applyFont="1" applyFill="1" applyBorder="1" applyAlignment="1" applyProtection="1">
      <alignment vertical="top"/>
    </xf>
    <xf numFmtId="49" fontId="133" fillId="0" borderId="95" xfId="12" quotePrefix="1" applyNumberFormat="1" applyFont="1" applyBorder="1" applyAlignment="1" applyProtection="1">
      <alignment horizontal="center" vertical="top"/>
    </xf>
    <xf numFmtId="49" fontId="134" fillId="0" borderId="89" xfId="12" applyNumberFormat="1" applyFont="1" applyBorder="1" applyAlignment="1" applyProtection="1">
      <alignment horizontal="center" vertical="top"/>
    </xf>
    <xf numFmtId="49" fontId="133" fillId="0" borderId="0" xfId="12" quotePrefix="1" applyNumberFormat="1" applyFont="1" applyBorder="1" applyAlignment="1" applyProtection="1">
      <alignment vertical="top"/>
    </xf>
    <xf numFmtId="49" fontId="133" fillId="0" borderId="0" xfId="12" applyNumberFormat="1" applyFont="1" applyBorder="1" applyAlignment="1" applyProtection="1">
      <alignment vertical="top"/>
    </xf>
    <xf numFmtId="49" fontId="133" fillId="0" borderId="0" xfId="12" applyNumberFormat="1" applyFont="1" applyBorder="1" applyAlignment="1" applyProtection="1">
      <alignment horizontal="left" vertical="top"/>
    </xf>
    <xf numFmtId="49" fontId="133" fillId="0" borderId="0" xfId="12" applyNumberFormat="1" applyFont="1" applyAlignment="1" applyProtection="1">
      <alignment horizontal="right" vertical="top"/>
    </xf>
    <xf numFmtId="0" fontId="133" fillId="0" borderId="0" xfId="12" applyFont="1" applyAlignment="1" applyProtection="1">
      <alignment horizontal="justify" vertical="top" wrapText="1"/>
    </xf>
    <xf numFmtId="0" fontId="133" fillId="0" borderId="0" xfId="12" applyFont="1" applyAlignment="1" applyProtection="1">
      <alignment horizontal="right" vertical="top" wrapText="1"/>
    </xf>
    <xf numFmtId="0" fontId="133" fillId="0" borderId="0" xfId="12" applyFont="1" applyAlignment="1" applyProtection="1">
      <alignment horizontal="left" vertical="top" wrapText="1"/>
    </xf>
    <xf numFmtId="0" fontId="133" fillId="0" borderId="0" xfId="12" applyFont="1" applyAlignment="1" applyProtection="1">
      <alignment horizontal="justify" vertical="top" wrapText="1"/>
    </xf>
    <xf numFmtId="49" fontId="133" fillId="0" borderId="94" xfId="12" applyNumberFormat="1" applyFont="1" applyBorder="1" applyAlignment="1" applyProtection="1">
      <alignment horizontal="center" vertical="top"/>
    </xf>
    <xf numFmtId="49" fontId="133" fillId="0" borderId="0" xfId="12" applyNumberFormat="1" applyFont="1" applyAlignment="1" applyProtection="1">
      <alignment horizontal="center" vertical="top"/>
    </xf>
    <xf numFmtId="49" fontId="133" fillId="0" borderId="20" xfId="12" quotePrefix="1" applyNumberFormat="1" applyFont="1" applyBorder="1" applyAlignment="1" applyProtection="1">
      <alignment vertical="top"/>
    </xf>
    <xf numFmtId="49" fontId="133" fillId="0" borderId="20" xfId="12" applyNumberFormat="1" applyFont="1" applyBorder="1" applyAlignment="1" applyProtection="1">
      <alignment horizontal="left" vertical="top"/>
    </xf>
    <xf numFmtId="0" fontId="133" fillId="0" borderId="20" xfId="12" applyFont="1" applyBorder="1" applyAlignment="1" applyProtection="1">
      <alignment horizontal="left" vertical="top" wrapText="1"/>
    </xf>
    <xf numFmtId="0" fontId="133" fillId="0" borderId="20" xfId="12" applyFont="1" applyBorder="1" applyAlignment="1" applyProtection="1">
      <alignment horizontal="right" vertical="top"/>
    </xf>
    <xf numFmtId="0" fontId="133" fillId="0" borderId="20" xfId="12" applyFont="1" applyBorder="1" applyAlignment="1" applyProtection="1">
      <alignment horizontal="left" vertical="top"/>
    </xf>
    <xf numFmtId="0" fontId="133" fillId="0" borderId="33" xfId="12" applyFont="1" applyBorder="1" applyAlignment="1" applyProtection="1">
      <alignment vertical="top"/>
    </xf>
    <xf numFmtId="0" fontId="133" fillId="0" borderId="20" xfId="12" applyFont="1" applyBorder="1" applyAlignment="1" applyProtection="1">
      <alignment vertical="top"/>
    </xf>
    <xf numFmtId="0" fontId="133" fillId="0" borderId="0" xfId="12" applyFont="1" applyFill="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33" fillId="0" borderId="97" xfId="12" quotePrefix="1" applyNumberFormat="1" applyFont="1" applyBorder="1" applyAlignment="1" applyProtection="1">
      <alignment horizontal="center" vertical="top"/>
    </xf>
    <xf numFmtId="0" fontId="133" fillId="10" borderId="22" xfId="12" applyFont="1" applyFill="1" applyBorder="1" applyAlignment="1" applyProtection="1">
      <alignment horizontal="left" vertical="top" wrapText="1"/>
    </xf>
    <xf numFmtId="0" fontId="133" fillId="10" borderId="32" xfId="12" applyFont="1" applyFill="1" applyBorder="1" applyAlignment="1" applyProtection="1">
      <alignment horizontal="left" vertical="top" wrapText="1"/>
    </xf>
    <xf numFmtId="49" fontId="3" fillId="0" borderId="20" xfId="12" applyNumberFormat="1" applyFont="1" applyBorder="1" applyAlignment="1" applyProtection="1">
      <alignment horizontal="left" vertical="top"/>
    </xf>
    <xf numFmtId="0" fontId="133" fillId="0" borderId="20" xfId="12" applyFont="1" applyBorder="1" applyAlignment="1" applyProtection="1">
      <alignment horizontal="justify" vertical="top" wrapText="1"/>
    </xf>
    <xf numFmtId="49" fontId="133" fillId="0" borderId="20" xfId="12" applyNumberFormat="1" applyFont="1" applyBorder="1" applyAlignment="1" applyProtection="1">
      <alignment vertical="top"/>
    </xf>
    <xf numFmtId="49" fontId="133" fillId="0" borderId="20" xfId="12" applyNumberFormat="1" applyFont="1" applyBorder="1" applyAlignment="1" applyProtection="1">
      <alignment horizontal="left" vertical="top" wrapText="1"/>
    </xf>
    <xf numFmtId="49" fontId="133" fillId="0" borderId="0" xfId="12" applyNumberFormat="1" applyFont="1" applyBorder="1" applyAlignment="1" applyProtection="1">
      <alignment horizontal="left" vertical="top" wrapText="1"/>
    </xf>
    <xf numFmtId="0" fontId="3" fillId="0" borderId="20" xfId="12" applyFont="1" applyBorder="1" applyAlignment="1" applyProtection="1">
      <alignment vertical="top"/>
    </xf>
    <xf numFmtId="0" fontId="104" fillId="0" borderId="20" xfId="12" applyFont="1" applyBorder="1" applyAlignment="1" applyProtection="1">
      <alignment vertical="top"/>
    </xf>
    <xf numFmtId="49" fontId="133" fillId="0" borderId="21" xfId="12" applyNumberFormat="1" applyFont="1" applyBorder="1" applyAlignment="1" applyProtection="1">
      <alignment horizontal="left" vertical="top" wrapText="1"/>
    </xf>
    <xf numFmtId="0" fontId="133" fillId="0" borderId="0" xfId="12" applyFont="1" applyBorder="1" applyAlignment="1" applyProtection="1">
      <alignment vertical="top"/>
    </xf>
    <xf numFmtId="0" fontId="133" fillId="0" borderId="0" xfId="12" applyFont="1" applyBorder="1" applyAlignment="1" applyProtection="1">
      <alignment horizontal="right" vertical="top"/>
    </xf>
    <xf numFmtId="0" fontId="133" fillId="0" borderId="9" xfId="12" applyFont="1" applyBorder="1" applyAlignment="1" applyProtection="1">
      <alignment vertical="top"/>
    </xf>
    <xf numFmtId="0" fontId="133" fillId="0" borderId="0" xfId="12" applyFont="1" applyAlignment="1" applyProtection="1">
      <alignment horizontal="left" vertical="top" wrapText="1"/>
    </xf>
    <xf numFmtId="0" fontId="133" fillId="0" borderId="0" xfId="12" applyFont="1" applyBorder="1" applyAlignment="1" applyProtection="1">
      <alignment horizontal="left" vertical="top" wrapText="1"/>
    </xf>
    <xf numFmtId="0" fontId="133" fillId="0" borderId="21" xfId="12" applyFont="1" applyBorder="1" applyAlignment="1" applyProtection="1">
      <alignment horizontal="left" vertical="top" wrapText="1"/>
    </xf>
    <xf numFmtId="0" fontId="133" fillId="18" borderId="20" xfId="12" applyFont="1" applyFill="1" applyBorder="1" applyAlignment="1" applyProtection="1">
      <alignment vertical="top"/>
    </xf>
    <xf numFmtId="49" fontId="133" fillId="0" borderId="20" xfId="12" applyNumberFormat="1" applyFont="1" applyFill="1" applyBorder="1" applyAlignment="1" applyProtection="1">
      <alignment horizontal="left" vertical="top" wrapText="1"/>
    </xf>
    <xf numFmtId="49" fontId="133" fillId="0" borderId="20" xfId="12" applyNumberFormat="1" applyFont="1" applyFill="1" applyBorder="1" applyAlignment="1" applyProtection="1">
      <alignment horizontal="left" vertical="top"/>
    </xf>
    <xf numFmtId="0" fontId="133" fillId="0" borderId="20" xfId="12" applyFont="1" applyFill="1" applyBorder="1" applyAlignment="1" applyProtection="1">
      <alignment vertical="top"/>
    </xf>
    <xf numFmtId="49" fontId="133" fillId="0" borderId="0" xfId="12" applyNumberFormat="1" applyFont="1" applyFill="1" applyAlignment="1" applyProtection="1">
      <alignment vertical="top"/>
    </xf>
    <xf numFmtId="49" fontId="133" fillId="0" borderId="0" xfId="12" applyNumberFormat="1" applyFont="1" applyFill="1" applyBorder="1" applyAlignment="1" applyProtection="1">
      <alignment horizontal="left" vertical="top" wrapText="1"/>
    </xf>
    <xf numFmtId="49" fontId="133" fillId="0" borderId="0" xfId="12" applyNumberFormat="1" applyFont="1" applyFill="1" applyAlignment="1" applyProtection="1">
      <alignment horizontal="center" vertical="top"/>
    </xf>
    <xf numFmtId="49" fontId="133" fillId="0" borderId="0" xfId="12" applyNumberFormat="1" applyFont="1" applyFill="1" applyAlignment="1" applyProtection="1">
      <alignment horizontal="left" vertical="top"/>
    </xf>
    <xf numFmtId="49" fontId="133" fillId="0" borderId="0" xfId="12" applyNumberFormat="1" applyFont="1" applyAlignment="1" applyProtection="1">
      <alignment horizontal="left" vertical="top" wrapText="1"/>
    </xf>
    <xf numFmtId="0" fontId="133" fillId="0" borderId="9" xfId="12" applyFont="1" applyBorder="1" applyAlignment="1" applyProtection="1">
      <alignment horizontal="left" vertical="top" wrapText="1"/>
    </xf>
    <xf numFmtId="49" fontId="133" fillId="0" borderId="20" xfId="12" applyNumberFormat="1" applyFont="1" applyFill="1" applyBorder="1" applyAlignment="1" applyProtection="1">
      <alignment vertical="top"/>
    </xf>
    <xf numFmtId="0" fontId="3" fillId="0" borderId="0" xfId="12" applyFont="1" applyAlignment="1" applyProtection="1">
      <alignment vertical="top"/>
    </xf>
    <xf numFmtId="0" fontId="133" fillId="10" borderId="0" xfId="12" applyFont="1" applyFill="1" applyAlignment="1" applyProtection="1">
      <alignment vertical="top"/>
    </xf>
    <xf numFmtId="49" fontId="133" fillId="0" borderId="20" xfId="12" applyNumberFormat="1" applyFont="1" applyBorder="1" applyAlignment="1" applyProtection="1">
      <alignment vertical="top" wrapText="1"/>
    </xf>
    <xf numFmtId="49" fontId="133" fillId="0" borderId="0" xfId="12" applyNumberFormat="1" applyFont="1" applyBorder="1" applyAlignment="1" applyProtection="1">
      <alignment vertical="top" wrapText="1"/>
    </xf>
    <xf numFmtId="49" fontId="133" fillId="0" borderId="39" xfId="12" quotePrefix="1" applyNumberFormat="1" applyFont="1" applyBorder="1" applyAlignment="1" applyProtection="1">
      <alignment horizontal="center" vertical="top"/>
    </xf>
    <xf numFmtId="0" fontId="133" fillId="18" borderId="0" xfId="12" applyFont="1" applyFill="1" applyAlignment="1" applyProtection="1">
      <alignment vertical="top"/>
    </xf>
    <xf numFmtId="0" fontId="133" fillId="0" borderId="94" xfId="12" applyFont="1" applyBorder="1" applyAlignment="1" applyProtection="1">
      <alignment vertical="top"/>
    </xf>
    <xf numFmtId="49" fontId="133" fillId="0" borderId="89" xfId="12" applyNumberFormat="1" applyFont="1" applyBorder="1" applyAlignment="1" applyProtection="1">
      <alignment vertical="top"/>
    </xf>
    <xf numFmtId="49" fontId="133" fillId="0" borderId="89" xfId="12" applyNumberFormat="1" applyFont="1" applyBorder="1" applyAlignment="1" applyProtection="1">
      <alignment horizontal="left" vertical="top"/>
    </xf>
    <xf numFmtId="0" fontId="133" fillId="0" borderId="89" xfId="12" applyFont="1" applyBorder="1" applyAlignment="1" applyProtection="1">
      <alignment vertical="top"/>
    </xf>
    <xf numFmtId="49" fontId="133" fillId="0" borderId="14" xfId="12" applyNumberFormat="1" applyFont="1" applyBorder="1" applyAlignment="1" applyProtection="1">
      <alignment horizontal="center"/>
    </xf>
    <xf numFmtId="49" fontId="133" fillId="0" borderId="14" xfId="12" applyNumberFormat="1" applyFont="1" applyBorder="1" applyAlignment="1" applyProtection="1">
      <alignment horizontal="left"/>
    </xf>
    <xf numFmtId="0" fontId="133" fillId="0" borderId="14" xfId="12" applyFont="1" applyBorder="1" applyAlignment="1" applyProtection="1">
      <alignment horizontal="center" wrapText="1"/>
    </xf>
    <xf numFmtId="0" fontId="133" fillId="0" borderId="14" xfId="12" applyFont="1" applyBorder="1" applyAlignment="1" applyProtection="1"/>
    <xf numFmtId="0" fontId="133" fillId="0" borderId="14" xfId="12" applyFont="1" applyBorder="1" applyAlignment="1" applyProtection="1">
      <alignment vertical="top"/>
    </xf>
    <xf numFmtId="49" fontId="133" fillId="10" borderId="53" xfId="12" applyNumberFormat="1" applyFont="1" applyFill="1" applyBorder="1" applyAlignment="1" applyProtection="1">
      <alignment horizontal="left" vertical="top" wrapText="1"/>
    </xf>
    <xf numFmtId="49" fontId="133" fillId="10" borderId="54" xfId="12" applyNumberFormat="1" applyFont="1" applyFill="1" applyBorder="1" applyAlignment="1" applyProtection="1">
      <alignment horizontal="left" vertical="top" wrapText="1"/>
    </xf>
    <xf numFmtId="49" fontId="133" fillId="10" borderId="24" xfId="12" applyNumberFormat="1" applyFont="1" applyFill="1" applyBorder="1" applyAlignment="1" applyProtection="1">
      <alignment horizontal="left" vertical="top"/>
    </xf>
    <xf numFmtId="49" fontId="133" fillId="10" borderId="17" xfId="12" quotePrefix="1" applyNumberFormat="1" applyFont="1" applyFill="1" applyBorder="1" applyAlignment="1" applyProtection="1">
      <alignment horizontal="center" vertical="top"/>
    </xf>
    <xf numFmtId="0" fontId="133" fillId="10" borderId="17" xfId="12" applyFont="1" applyFill="1" applyBorder="1" applyAlignment="1" applyProtection="1">
      <alignment horizontal="left" vertical="top"/>
    </xf>
    <xf numFmtId="49" fontId="133" fillId="10" borderId="52" xfId="12" applyNumberFormat="1" applyFont="1" applyFill="1" applyBorder="1" applyAlignment="1" applyProtection="1">
      <alignment horizontal="left" vertical="top" wrapText="1"/>
    </xf>
    <xf numFmtId="49" fontId="133" fillId="10" borderId="39" xfId="12" applyNumberFormat="1" applyFont="1" applyFill="1" applyBorder="1" applyAlignment="1" applyProtection="1">
      <alignment horizontal="left" vertical="top" wrapText="1"/>
    </xf>
    <xf numFmtId="49" fontId="133" fillId="10" borderId="26" xfId="12" applyNumberFormat="1" applyFont="1" applyFill="1" applyBorder="1" applyAlignment="1" applyProtection="1">
      <alignment horizontal="left" vertical="top"/>
    </xf>
    <xf numFmtId="49" fontId="133" fillId="10" borderId="18" xfId="12" quotePrefix="1" applyNumberFormat="1" applyFont="1" applyFill="1" applyBorder="1" applyAlignment="1" applyProtection="1">
      <alignment horizontal="center" vertical="top"/>
    </xf>
    <xf numFmtId="0" fontId="133" fillId="10" borderId="18" xfId="12" applyFont="1" applyFill="1" applyBorder="1" applyAlignment="1" applyProtection="1">
      <alignment horizontal="left" vertical="top"/>
    </xf>
    <xf numFmtId="49" fontId="133" fillId="10" borderId="50" xfId="12" applyNumberFormat="1" applyFont="1" applyFill="1" applyBorder="1" applyAlignment="1" applyProtection="1">
      <alignment horizontal="left" vertical="top" wrapText="1"/>
    </xf>
    <xf numFmtId="49" fontId="133" fillId="10" borderId="51" xfId="12" applyNumberFormat="1" applyFont="1" applyFill="1" applyBorder="1" applyAlignment="1" applyProtection="1">
      <alignment horizontal="left" vertical="top" wrapText="1"/>
    </xf>
    <xf numFmtId="49" fontId="133" fillId="10" borderId="25" xfId="12" applyNumberFormat="1" applyFont="1" applyFill="1" applyBorder="1" applyAlignment="1" applyProtection="1">
      <alignment horizontal="left" vertical="top"/>
    </xf>
    <xf numFmtId="49" fontId="133" fillId="10" borderId="19" xfId="12" quotePrefix="1" applyNumberFormat="1" applyFont="1" applyFill="1" applyBorder="1" applyAlignment="1" applyProtection="1">
      <alignment horizontal="center" vertical="top"/>
    </xf>
    <xf numFmtId="0" fontId="133" fillId="10" borderId="19" xfId="12" applyFont="1" applyFill="1" applyBorder="1" applyAlignment="1" applyProtection="1">
      <alignment horizontal="left" vertical="top"/>
    </xf>
    <xf numFmtId="49" fontId="133" fillId="0" borderId="0" xfId="12" applyNumberFormat="1" applyFont="1" applyProtection="1"/>
    <xf numFmtId="49" fontId="133" fillId="0" borderId="0" xfId="12" applyNumberFormat="1" applyFont="1" applyAlignment="1" applyProtection="1">
      <alignment horizontal="left"/>
    </xf>
    <xf numFmtId="49" fontId="133" fillId="0" borderId="0" xfId="12" applyNumberFormat="1" applyFont="1" applyAlignment="1" applyProtection="1">
      <alignment horizontal="center"/>
    </xf>
    <xf numFmtId="0" fontId="133" fillId="0" borderId="0" xfId="12" applyFont="1" applyAlignment="1" applyProtection="1">
      <alignment horizontal="right"/>
    </xf>
    <xf numFmtId="0" fontId="133" fillId="0" borderId="0" xfId="12" applyFont="1" applyAlignment="1" applyProtection="1">
      <alignment horizontal="left"/>
    </xf>
    <xf numFmtId="0" fontId="133"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4" borderId="58" xfId="0" applyFont="1" applyFill="1" applyBorder="1" applyAlignment="1" applyProtection="1">
      <alignment horizontal="center" vertical="center"/>
    </xf>
    <xf numFmtId="0" fontId="63" fillId="4" borderId="36" xfId="0" applyFont="1" applyFill="1" applyBorder="1" applyAlignment="1" applyProtection="1">
      <alignment horizontal="center" vertical="center"/>
    </xf>
    <xf numFmtId="0" fontId="49" fillId="5" borderId="37"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53" fillId="5" borderId="37" xfId="0" applyFont="1" applyFill="1" applyBorder="1" applyAlignment="1" applyProtection="1">
      <alignment horizontal="center" vertical="center"/>
    </xf>
    <xf numFmtId="0" fontId="53" fillId="5" borderId="38"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49" fillId="5" borderId="83"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167" fontId="53" fillId="5" borderId="10" xfId="0" applyNumberFormat="1" applyFont="1" applyFill="1" applyBorder="1" applyAlignment="1" applyProtection="1">
      <alignment horizontal="left" vertical="center"/>
    </xf>
    <xf numFmtId="167" fontId="53" fillId="5" borderId="15" xfId="0" applyNumberFormat="1" applyFont="1" applyFill="1" applyBorder="1" applyAlignment="1" applyProtection="1">
      <alignment horizontal="left" vertical="center"/>
    </xf>
    <xf numFmtId="0" fontId="53" fillId="5" borderId="10"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5" borderId="15" xfId="0"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7" fontId="53"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7" xfId="0" applyNumberFormat="1" applyFont="1" applyFill="1" applyBorder="1" applyAlignment="1" applyProtection="1">
      <alignment horizontal="center" vertical="center"/>
    </xf>
    <xf numFmtId="169" fontId="53" fillId="5" borderId="38"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7"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8"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3" fontId="53" fillId="5" borderId="38"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178" fontId="53" fillId="5" borderId="38" xfId="0" applyNumberFormat="1" applyFont="1" applyFill="1" applyBorder="1" applyAlignment="1" applyProtection="1">
      <alignment horizontal="left" vertical="center"/>
    </xf>
    <xf numFmtId="0" fontId="49" fillId="5" borderId="3" xfId="0"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6" borderId="38" xfId="0" applyNumberFormat="1" applyFont="1" applyFill="1" applyBorder="1" applyAlignment="1" applyProtection="1">
      <alignment horizontal="left" vertical="center"/>
    </xf>
    <xf numFmtId="0" fontId="0" fillId="0" borderId="38" xfId="0" applyBorder="1" applyProtection="1"/>
    <xf numFmtId="0" fontId="53" fillId="5" borderId="3" xfId="0" applyFont="1" applyFill="1" applyBorder="1" applyAlignment="1" applyProtection="1">
      <alignment horizontal="left" vertical="center"/>
    </xf>
    <xf numFmtId="0" fontId="53" fillId="6" borderId="37" xfId="0" applyFont="1" applyFill="1" applyBorder="1" applyAlignment="1" applyProtection="1">
      <alignment horizontal="left" vertical="center"/>
    </xf>
    <xf numFmtId="0" fontId="53" fillId="6" borderId="2" xfId="0" applyFont="1" applyFill="1" applyBorder="1" applyAlignment="1" applyProtection="1">
      <alignment horizontal="left" vertical="center"/>
    </xf>
    <xf numFmtId="0" fontId="53" fillId="6" borderId="38" xfId="0"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1" fontId="53" fillId="5" borderId="37" xfId="1" applyNumberFormat="1" applyFont="1" applyFill="1" applyBorder="1" applyAlignment="1" applyProtection="1">
      <alignment horizontal="center" vertical="center"/>
    </xf>
    <xf numFmtId="1" fontId="53" fillId="5" borderId="38" xfId="1" applyNumberFormat="1" applyFont="1" applyFill="1" applyBorder="1" applyAlignment="1" applyProtection="1">
      <alignment horizontal="center" vertical="center"/>
    </xf>
    <xf numFmtId="38" fontId="53" fillId="5" borderId="37"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9"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6" xfId="0" applyFont="1" applyFill="1" applyBorder="1" applyAlignment="1" applyProtection="1">
      <alignment horizontal="left" vertical="center"/>
    </xf>
    <xf numFmtId="0" fontId="53" fillId="5" borderId="83" xfId="0"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86" xfId="0" applyNumberFormat="1" applyFont="1" applyFill="1" applyBorder="1" applyAlignment="1" applyProtection="1">
      <alignment horizontal="left" vertical="center"/>
    </xf>
    <xf numFmtId="38" fontId="53" fillId="5" borderId="8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38" fontId="53" fillId="5" borderId="15"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9" fontId="53" fillId="5" borderId="38"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8" xfId="0" applyNumberFormat="1" applyFont="1" applyFill="1" applyBorder="1" applyAlignment="1" applyProtection="1">
      <alignment horizontal="center" vertical="center"/>
    </xf>
    <xf numFmtId="167" fontId="53" fillId="5" borderId="82" xfId="0" applyNumberFormat="1" applyFont="1" applyFill="1" applyBorder="1" applyAlignment="1" applyProtection="1">
      <alignment horizontal="left" vertical="center"/>
    </xf>
    <xf numFmtId="167" fontId="53" fillId="5" borderId="83"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7" xfId="0" applyFont="1" applyFill="1" applyBorder="1" applyAlignment="1" applyProtection="1">
      <alignment horizontal="left"/>
    </xf>
    <xf numFmtId="0" fontId="53" fillId="5" borderId="38" xfId="0" applyFont="1" applyFill="1" applyBorder="1" applyAlignment="1" applyProtection="1">
      <alignment horizontal="left"/>
    </xf>
    <xf numFmtId="0" fontId="53" fillId="5" borderId="37" xfId="0" applyFont="1" applyFill="1" applyBorder="1" applyAlignment="1" applyProtection="1">
      <alignment horizontal="center"/>
    </xf>
    <xf numFmtId="0" fontId="53" fillId="5" borderId="2" xfId="0" applyFont="1" applyFill="1" applyBorder="1" applyAlignment="1" applyProtection="1">
      <alignment horizontal="center"/>
    </xf>
    <xf numFmtId="0" fontId="53" fillId="5" borderId="38" xfId="0" applyFont="1" applyFill="1" applyBorder="1" applyAlignment="1" applyProtection="1">
      <alignment horizontal="center"/>
    </xf>
    <xf numFmtId="175" fontId="53" fillId="5" borderId="37" xfId="0" applyNumberFormat="1" applyFont="1" applyFill="1" applyBorder="1" applyAlignment="1" applyProtection="1">
      <alignment horizontal="left" vertical="center"/>
    </xf>
    <xf numFmtId="175" fontId="53" fillId="5" borderId="38" xfId="0" applyNumberFormat="1" applyFont="1" applyFill="1" applyBorder="1" applyAlignment="1" applyProtection="1">
      <alignment horizontal="left" vertical="center"/>
    </xf>
    <xf numFmtId="0" fontId="53" fillId="0" borderId="2" xfId="0" applyFont="1" applyBorder="1" applyProtection="1"/>
    <xf numFmtId="0" fontId="53" fillId="0" borderId="38"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3" xfId="0" applyFont="1" applyFill="1" applyBorder="1" applyAlignment="1" applyProtection="1">
      <alignment horizontal="left" vertical="center"/>
    </xf>
    <xf numFmtId="0" fontId="49" fillId="5" borderId="54"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2" xfId="0" applyFont="1" applyFill="1" applyBorder="1" applyAlignment="1" applyProtection="1">
      <alignment horizontal="left" vertical="center"/>
    </xf>
    <xf numFmtId="0" fontId="49" fillId="5" borderId="39" xfId="0" applyFont="1" applyFill="1" applyBorder="1" applyAlignment="1" applyProtection="1">
      <alignment horizontal="left" vertical="center"/>
    </xf>
    <xf numFmtId="0" fontId="49" fillId="5" borderId="26"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7"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2" xfId="0" applyFont="1" applyFill="1" applyBorder="1" applyAlignment="1" applyProtection="1">
      <alignment horizontal="center"/>
    </xf>
    <xf numFmtId="0" fontId="49" fillId="5" borderId="83" xfId="0" applyFont="1" applyFill="1" applyBorder="1" applyAlignment="1" applyProtection="1">
      <alignment horizontal="center"/>
    </xf>
    <xf numFmtId="8" fontId="53" fillId="5" borderId="37" xfId="0" applyNumberFormat="1" applyFont="1" applyFill="1" applyBorder="1" applyAlignment="1" applyProtection="1">
      <alignment horizontal="center" vertical="center"/>
    </xf>
    <xf numFmtId="8" fontId="53" fillId="5" borderId="38" xfId="0" applyNumberFormat="1" applyFont="1" applyFill="1" applyBorder="1" applyAlignment="1" applyProtection="1">
      <alignment horizontal="center" vertical="center"/>
    </xf>
    <xf numFmtId="0" fontId="49" fillId="5" borderId="37"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8"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8" xfId="0" applyFont="1" applyFill="1" applyBorder="1" applyAlignment="1" applyProtection="1">
      <alignment horizontal="left" vertical="top" wrapText="1"/>
    </xf>
    <xf numFmtId="0" fontId="129" fillId="0" borderId="0" xfId="0" applyNumberFormat="1" applyFont="1" applyProtection="1"/>
    <xf numFmtId="0" fontId="129" fillId="0" borderId="0" xfId="0"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2" xfId="0" applyFont="1" applyFill="1" applyBorder="1" applyAlignment="1" applyProtection="1">
      <alignment horizontal="center"/>
    </xf>
    <xf numFmtId="0" fontId="53" fillId="5" borderId="83" xfId="0" applyFont="1" applyFill="1" applyBorder="1" applyAlignment="1" applyProtection="1">
      <alignment horizontal="center"/>
    </xf>
    <xf numFmtId="0" fontId="53" fillId="5" borderId="38" xfId="0" applyFont="1" applyFill="1" applyBorder="1" applyAlignment="1" applyProtection="1">
      <alignment horizontal="center"/>
    </xf>
    <xf numFmtId="0" fontId="53" fillId="0" borderId="15" xfId="0" applyFont="1" applyBorder="1" applyProtection="1"/>
    <xf numFmtId="0" fontId="76" fillId="0" borderId="0" xfId="6" applyFont="1" applyFill="1" applyAlignment="1" applyProtection="1">
      <alignment vertical="center"/>
    </xf>
    <xf numFmtId="0" fontId="141" fillId="0" borderId="0" xfId="6" applyFont="1" applyFill="1" applyBorder="1" applyAlignment="1" applyProtection="1">
      <alignment vertical="center"/>
    </xf>
    <xf numFmtId="167" fontId="53" fillId="0" borderId="14"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3" fillId="5" borderId="17" xfId="0" applyFont="1" applyFill="1" applyBorder="1" applyAlignment="1" applyProtection="1">
      <alignment horizontal="center" vertical="center"/>
    </xf>
    <xf numFmtId="0" fontId="53" fillId="5" borderId="29" xfId="0" applyFont="1" applyFill="1" applyBorder="1" applyAlignment="1" applyProtection="1">
      <alignment horizontal="center" vertical="center"/>
    </xf>
    <xf numFmtId="0" fontId="53" fillId="5" borderId="59" xfId="0" applyFont="1" applyFill="1" applyBorder="1" applyAlignment="1" applyProtection="1">
      <alignment horizontal="center" vertical="center"/>
    </xf>
    <xf numFmtId="0" fontId="53" fillId="5" borderId="30" xfId="0"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174" fontId="53" fillId="5" borderId="29" xfId="10" applyNumberFormat="1" applyFont="1" applyFill="1" applyBorder="1" applyAlignment="1" applyProtection="1">
      <alignment horizontal="right" vertical="center"/>
    </xf>
    <xf numFmtId="174" fontId="53" fillId="5" borderId="30"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1" xfId="0" applyFont="1" applyFill="1" applyBorder="1" applyAlignment="1" applyProtection="1">
      <alignment horizontal="center" vertical="center"/>
    </xf>
    <xf numFmtId="0" fontId="53" fillId="5" borderId="22" xfId="0" applyFont="1" applyFill="1" applyBorder="1" applyAlignment="1" applyProtection="1">
      <alignment horizontal="center" vertical="center"/>
    </xf>
    <xf numFmtId="0" fontId="53" fillId="5" borderId="32" xfId="0"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0" fontId="53" fillId="5" borderId="32" xfId="0" applyNumberFormat="1" applyFont="1" applyFill="1" applyBorder="1" applyAlignment="1" applyProtection="1">
      <alignment horizontal="center" vertical="center"/>
    </xf>
    <xf numFmtId="174" fontId="53" fillId="5" borderId="31" xfId="10" applyNumberFormat="1" applyFont="1" applyFill="1" applyBorder="1" applyAlignment="1" applyProtection="1">
      <alignment horizontal="right" vertical="center"/>
    </xf>
    <xf numFmtId="174" fontId="53" fillId="5" borderId="32" xfId="0" applyNumberFormat="1" applyFont="1" applyFill="1" applyBorder="1" applyAlignment="1" applyProtection="1">
      <alignment horizontal="right"/>
    </xf>
    <xf numFmtId="0" fontId="53" fillId="5" borderId="19" xfId="0" applyFont="1" applyFill="1" applyBorder="1" applyAlignment="1" applyProtection="1">
      <alignment horizontal="center" vertical="center"/>
    </xf>
    <xf numFmtId="0" fontId="53" fillId="5" borderId="34" xfId="0" applyFont="1" applyFill="1" applyBorder="1" applyAlignment="1" applyProtection="1">
      <alignment horizontal="center" vertical="center"/>
    </xf>
    <xf numFmtId="0" fontId="53" fillId="5" borderId="60" xfId="0" applyFont="1" applyFill="1" applyBorder="1" applyAlignment="1" applyProtection="1">
      <alignment horizontal="center" vertical="center"/>
    </xf>
    <xf numFmtId="0" fontId="53" fillId="5" borderId="35" xfId="0"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0" fontId="53" fillId="5" borderId="35" xfId="0" applyNumberFormat="1" applyFont="1" applyFill="1" applyBorder="1" applyAlignment="1" applyProtection="1">
      <alignment horizontal="center" vertical="center"/>
    </xf>
    <xf numFmtId="174" fontId="53" fillId="5" borderId="34" xfId="10" applyNumberFormat="1" applyFont="1" applyFill="1" applyBorder="1" applyAlignment="1" applyProtection="1">
      <alignment horizontal="right" vertical="center"/>
    </xf>
    <xf numFmtId="174" fontId="53" fillId="5" borderId="35"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37" xfId="0" applyNumberFormat="1" applyFont="1" applyFill="1" applyBorder="1" applyAlignment="1" applyProtection="1">
      <alignment horizontal="center" vertical="center"/>
    </xf>
    <xf numFmtId="37" fontId="53" fillId="5" borderId="38" xfId="0" applyNumberFormat="1" applyFont="1" applyFill="1" applyBorder="1" applyAlignment="1" applyProtection="1">
      <alignment horizontal="center" vertical="center"/>
    </xf>
    <xf numFmtId="0" fontId="49" fillId="13" borderId="45"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43" xfId="0" applyFont="1" applyFill="1" applyBorder="1" applyAlignment="1" applyProtection="1">
      <alignment horizontal="left" vertical="top" wrapText="1"/>
    </xf>
    <xf numFmtId="0" fontId="49" fillId="13" borderId="61" xfId="0" applyFont="1" applyFill="1" applyBorder="1" applyAlignment="1" applyProtection="1">
      <alignment horizontal="left" vertical="top" wrapText="1"/>
    </xf>
    <xf numFmtId="38" fontId="53" fillId="5" borderId="82" xfId="0" applyNumberFormat="1" applyFont="1" applyFill="1" applyBorder="1" applyAlignment="1" applyProtection="1">
      <alignment horizontal="right" vertical="center"/>
    </xf>
    <xf numFmtId="0" fontId="53" fillId="5" borderId="83" xfId="0" applyFont="1" applyFill="1" applyBorder="1" applyAlignment="1" applyProtection="1">
      <alignment vertical="center"/>
    </xf>
    <xf numFmtId="166" fontId="53" fillId="5" borderId="37" xfId="10" applyNumberFormat="1" applyFont="1" applyFill="1" applyBorder="1" applyAlignment="1" applyProtection="1">
      <alignment horizontal="center" vertical="center"/>
    </xf>
    <xf numFmtId="166" fontId="53" fillId="5" borderId="38" xfId="10"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8" xfId="1"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 fontId="53" fillId="5" borderId="38" xfId="0" applyNumberFormat="1" applyFont="1" applyFill="1" applyBorder="1" applyAlignment="1" applyProtection="1">
      <alignment horizontal="center" vertical="center"/>
    </xf>
    <xf numFmtId="164" fontId="53" fillId="5" borderId="37" xfId="1" applyNumberFormat="1" applyFont="1" applyFill="1" applyBorder="1" applyAlignment="1" applyProtection="1">
      <alignment horizontal="right" vertical="center"/>
    </xf>
    <xf numFmtId="164" fontId="53" fillId="5" borderId="38" xfId="1" applyNumberFormat="1" applyFont="1" applyFill="1" applyBorder="1" applyAlignment="1" applyProtection="1">
      <alignment horizontal="right" vertical="center"/>
    </xf>
    <xf numFmtId="43" fontId="53" fillId="5" borderId="37" xfId="0" applyNumberFormat="1" applyFont="1" applyFill="1" applyBorder="1" applyAlignment="1" applyProtection="1">
      <alignment horizontal="left" vertical="center"/>
    </xf>
    <xf numFmtId="0" fontId="53" fillId="5" borderId="3" xfId="0" applyFont="1" applyFill="1" applyBorder="1" applyAlignment="1" applyProtection="1">
      <alignment horizontal="left" vertical="center"/>
    </xf>
    <xf numFmtId="38" fontId="61" fillId="11" borderId="37" xfId="2" applyNumberFormat="1" applyFont="1" applyFill="1" applyBorder="1" applyAlignment="1" applyProtection="1">
      <alignment horizontal="right" vertical="center"/>
    </xf>
    <xf numFmtId="38" fontId="61" fillId="11" borderId="38" xfId="2" applyNumberFormat="1" applyFont="1" applyFill="1" applyBorder="1" applyAlignment="1" applyProtection="1">
      <alignment horizontal="right" vertical="center"/>
    </xf>
    <xf numFmtId="0" fontId="53" fillId="0" borderId="14" xfId="0" applyFont="1" applyBorder="1" applyAlignment="1" applyProtection="1">
      <alignment horizontal="center" wrapText="1"/>
    </xf>
    <xf numFmtId="0" fontId="53" fillId="5" borderId="2" xfId="0" applyFont="1" applyFill="1" applyBorder="1" applyAlignment="1" applyProtection="1">
      <alignment vertical="center"/>
    </xf>
    <xf numFmtId="0" fontId="53" fillId="5" borderId="38" xfId="0" applyFont="1" applyFill="1" applyBorder="1" applyAlignment="1" applyProtection="1">
      <alignment vertical="center"/>
    </xf>
    <xf numFmtId="166" fontId="53" fillId="5" borderId="90" xfId="0" applyNumberFormat="1" applyFont="1" applyFill="1" applyBorder="1" applyAlignment="1" applyProtection="1">
      <alignment horizontal="center" vertical="center"/>
    </xf>
    <xf numFmtId="0" fontId="53" fillId="5" borderId="90" xfId="0" applyFont="1" applyFill="1" applyBorder="1" applyAlignment="1" applyProtection="1">
      <alignment horizontal="center" vertical="center"/>
    </xf>
    <xf numFmtId="38" fontId="53" fillId="6" borderId="82" xfId="2" applyNumberFormat="1" applyFont="1" applyFill="1" applyBorder="1" applyAlignment="1" applyProtection="1">
      <alignment vertical="center"/>
    </xf>
    <xf numFmtId="38" fontId="53" fillId="6" borderId="83" xfId="2" applyNumberFormat="1" applyFont="1" applyFill="1" applyBorder="1" applyAlignment="1" applyProtection="1">
      <alignment vertical="center"/>
    </xf>
    <xf numFmtId="0" fontId="53" fillId="5" borderId="82" xfId="0" applyFont="1" applyFill="1" applyBorder="1" applyAlignment="1" applyProtection="1">
      <alignment horizontal="center" vertical="center"/>
    </xf>
    <xf numFmtId="0" fontId="53" fillId="5" borderId="83" xfId="0"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4" xfId="0" applyFont="1" applyFill="1" applyBorder="1" applyAlignment="1" applyProtection="1">
      <alignment vertical="center"/>
    </xf>
    <xf numFmtId="0" fontId="53" fillId="5" borderId="15"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166" fontId="53" fillId="5" borderId="3" xfId="0"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6" borderId="83" xfId="2" applyNumberFormat="1" applyFont="1" applyFill="1" applyBorder="1" applyAlignment="1" applyProtection="1">
      <alignment horizontal="center"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8"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164" fontId="53" fillId="5" borderId="82" xfId="1" applyNumberFormat="1" applyFont="1" applyFill="1" applyBorder="1" applyAlignment="1" applyProtection="1">
      <alignment horizontal="right" vertical="center"/>
    </xf>
    <xf numFmtId="164" fontId="53" fillId="5" borderId="83" xfId="1" applyNumberFormat="1" applyFont="1" applyFill="1" applyBorder="1" applyAlignment="1" applyProtection="1">
      <alignment horizontal="right" vertical="center"/>
    </xf>
    <xf numFmtId="0" fontId="12" fillId="13" borderId="45"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164" fontId="53" fillId="5" borderId="67" xfId="1" applyNumberFormat="1" applyFont="1" applyFill="1" applyBorder="1" applyAlignment="1" applyProtection="1">
      <alignment horizontal="right" vertical="center"/>
    </xf>
    <xf numFmtId="164" fontId="53" fillId="5" borderId="68" xfId="1" applyNumberFormat="1" applyFont="1" applyFill="1" applyBorder="1" applyAlignment="1" applyProtection="1">
      <alignment horizontal="right" vertical="center"/>
    </xf>
    <xf numFmtId="164" fontId="53" fillId="5" borderId="5" xfId="1" applyNumberFormat="1" applyFont="1" applyFill="1" applyBorder="1" applyAlignment="1" applyProtection="1">
      <alignment horizontal="right" vertical="center"/>
    </xf>
    <xf numFmtId="164" fontId="53" fillId="5" borderId="7" xfId="1" applyNumberFormat="1" applyFont="1" applyFill="1" applyBorder="1" applyAlignment="1" applyProtection="1">
      <alignment horizontal="right" vertical="center"/>
    </xf>
    <xf numFmtId="0" fontId="12" fillId="13" borderId="43" xfId="0" applyFont="1" applyFill="1" applyBorder="1" applyAlignment="1" applyProtection="1">
      <alignment horizontal="left" vertical="top" wrapText="1"/>
    </xf>
    <xf numFmtId="0" fontId="12" fillId="13" borderId="61" xfId="0" applyFont="1" applyFill="1" applyBorder="1" applyAlignment="1" applyProtection="1">
      <alignment horizontal="left" vertical="top" wrapText="1"/>
    </xf>
    <xf numFmtId="164" fontId="53" fillId="5" borderId="84" xfId="1" applyNumberFormat="1" applyFont="1" applyFill="1" applyBorder="1" applyAlignment="1" applyProtection="1">
      <alignment horizontal="right" vertical="center"/>
    </xf>
    <xf numFmtId="164" fontId="53" fillId="5" borderId="85"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43" fontId="53" fillId="5" borderId="37" xfId="1" applyNumberFormat="1" applyFont="1" applyFill="1" applyBorder="1" applyAlignment="1" applyProtection="1">
      <alignment horizontal="right" vertical="center"/>
    </xf>
    <xf numFmtId="0" fontId="12" fillId="13" borderId="81" xfId="0" applyFont="1" applyFill="1" applyBorder="1" applyAlignment="1" applyProtection="1">
      <alignment horizontal="left" vertical="top" wrapText="1"/>
    </xf>
    <xf numFmtId="0" fontId="12" fillId="13" borderId="78" xfId="0" applyFont="1" applyFill="1" applyBorder="1" applyAlignment="1" applyProtection="1">
      <alignment horizontal="left" vertical="top" wrapText="1"/>
    </xf>
    <xf numFmtId="0" fontId="2" fillId="13" borderId="45"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0" fontId="2" fillId="13" borderId="43" xfId="0" applyFont="1" applyFill="1" applyBorder="1" applyAlignment="1" applyProtection="1">
      <alignment horizontal="left" vertical="top" wrapText="1"/>
    </xf>
    <xf numFmtId="0" fontId="2" fillId="13" borderId="61" xfId="0" applyFont="1" applyFill="1" applyBorder="1" applyAlignment="1" applyProtection="1">
      <alignment horizontal="left" vertical="top" wrapText="1"/>
    </xf>
    <xf numFmtId="38" fontId="61" fillId="5" borderId="37" xfId="0" applyNumberFormat="1" applyFont="1" applyFill="1" applyBorder="1" applyAlignment="1" applyProtection="1">
      <alignment horizontal="center" vertical="center"/>
    </xf>
    <xf numFmtId="38" fontId="61" fillId="5" borderId="38"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10" fontId="53" fillId="5" borderId="38" xfId="0" applyNumberFormat="1" applyFont="1" applyFill="1" applyBorder="1" applyAlignment="1" applyProtection="1">
      <alignment horizontal="center" vertical="center"/>
    </xf>
    <xf numFmtId="38" fontId="53" fillId="11" borderId="37"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6" xfId="0" applyNumberFormat="1" applyFont="1" applyFill="1" applyBorder="1" applyAlignment="1" applyProtection="1">
      <alignment horizontal="center" vertical="center"/>
    </xf>
    <xf numFmtId="164" fontId="49" fillId="5" borderId="48" xfId="1"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170" fontId="53" fillId="5" borderId="38"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8" xfId="0" applyNumberFormat="1" applyFont="1" applyFill="1" applyBorder="1" applyAlignment="1" applyProtection="1">
      <alignment horizontal="center" vertical="center"/>
    </xf>
    <xf numFmtId="0" fontId="53" fillId="0" borderId="0" xfId="0" applyFont="1" applyAlignment="1" applyProtection="1"/>
    <xf numFmtId="0" fontId="49" fillId="5" borderId="37"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8" xfId="0" applyFont="1" applyBorder="1" applyAlignment="1" applyProtection="1">
      <alignment vertical="top" wrapText="1"/>
    </xf>
    <xf numFmtId="0" fontId="49" fillId="4" borderId="37" xfId="0" applyFont="1" applyFill="1" applyBorder="1" applyAlignment="1" applyProtection="1">
      <alignment vertical="top" wrapText="1"/>
    </xf>
    <xf numFmtId="0" fontId="2" fillId="5" borderId="37"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8" xfId="0" applyFont="1" applyFill="1" applyBorder="1" applyAlignment="1" applyProtection="1">
      <alignment horizontal="left"/>
    </xf>
    <xf numFmtId="175" fontId="11" fillId="5" borderId="37" xfId="0" applyNumberFormat="1" applyFont="1" applyFill="1" applyBorder="1" applyAlignment="1" applyProtection="1">
      <alignment horizontal="left"/>
    </xf>
    <xf numFmtId="175" fontId="11" fillId="5" borderId="38" xfId="0" applyNumberFormat="1" applyFont="1" applyFill="1" applyBorder="1" applyAlignment="1" applyProtection="1">
      <alignment horizontal="left"/>
    </xf>
    <xf numFmtId="0" fontId="11"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2" fillId="5" borderId="18" xfId="0" applyFont="1" applyFill="1" applyBorder="1" applyAlignment="1" applyProtection="1">
      <alignment horizontal="center"/>
    </xf>
    <xf numFmtId="0" fontId="11"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3" xfId="0" applyFont="1" applyFill="1" applyBorder="1" applyAlignment="1" applyProtection="1">
      <alignment horizontal="center"/>
    </xf>
    <xf numFmtId="0" fontId="7"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1" fillId="5" borderId="19" xfId="0" applyFont="1" applyFill="1" applyBorder="1" applyAlignment="1" applyProtection="1">
      <alignment horizontal="center"/>
    </xf>
    <xf numFmtId="175" fontId="2" fillId="5" borderId="37" xfId="0" applyNumberFormat="1" applyFont="1" applyFill="1" applyBorder="1" applyAlignment="1" applyProtection="1">
      <alignment horizontal="left"/>
    </xf>
    <xf numFmtId="0" fontId="12" fillId="5" borderId="37"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8" xfId="0" applyFont="1" applyFill="1" applyBorder="1" applyAlignment="1" applyProtection="1">
      <alignment horizontal="left" vertical="top" wrapText="1"/>
    </xf>
    <xf numFmtId="0" fontId="12" fillId="4" borderId="37" xfId="0" applyFont="1" applyFill="1" applyBorder="1" applyAlignment="1" applyProtection="1">
      <alignment horizontal="left" vertical="top" wrapText="1"/>
    </xf>
    <xf numFmtId="0" fontId="12" fillId="4" borderId="2" xfId="0" applyFont="1" applyFill="1" applyBorder="1" applyAlignment="1" applyProtection="1">
      <alignment horizontal="left" vertical="top" wrapText="1"/>
    </xf>
    <xf numFmtId="0" fontId="12" fillId="4" borderId="38" xfId="0" applyFont="1" applyFill="1" applyBorder="1" applyAlignment="1" applyProtection="1">
      <alignment horizontal="left" vertical="top"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2" fillId="5" borderId="19" xfId="10" applyNumberFormat="1" applyFont="1" applyFill="1" applyBorder="1" applyAlignment="1" applyProtection="1">
      <alignment horizontal="center" vertical="center"/>
    </xf>
    <xf numFmtId="1" fontId="12" fillId="5" borderId="19" xfId="1" applyNumberFormat="1" applyFont="1" applyFill="1" applyBorder="1" applyAlignment="1" applyProtection="1">
      <alignment horizontal="center" vertical="center"/>
    </xf>
    <xf numFmtId="173" fontId="12" fillId="5" borderId="19" xfId="1" applyNumberFormat="1" applyFont="1" applyFill="1" applyBorder="1" applyAlignment="1" applyProtection="1">
      <alignment horizontal="center" vertical="center"/>
    </xf>
    <xf numFmtId="3" fontId="12" fillId="5" borderId="19" xfId="1" applyNumberFormat="1" applyFont="1" applyFill="1" applyBorder="1" applyAlignment="1" applyProtection="1">
      <alignment horizontal="center" vertical="center"/>
    </xf>
    <xf numFmtId="3" fontId="53" fillId="5" borderId="19" xfId="1" applyNumberFormat="1"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0" fillId="0" borderId="0" xfId="0" applyFont="1" applyAlignment="1" applyProtection="1">
      <alignment horizontal="left" vertical="center" wrapText="1"/>
    </xf>
    <xf numFmtId="164" fontId="11" fillId="5" borderId="17" xfId="1" applyNumberFormat="1" applyFont="1" applyFill="1" applyBorder="1" applyAlignment="1" applyProtection="1">
      <alignment horizontal="right" vertical="center"/>
    </xf>
    <xf numFmtId="164" fontId="11" fillId="5" borderId="19" xfId="1" applyNumberFormat="1" applyFont="1" applyFill="1" applyBorder="1" applyAlignment="1" applyProtection="1">
      <alignment horizontal="right" vertical="center"/>
    </xf>
    <xf numFmtId="3" fontId="11" fillId="5" borderId="17" xfId="0" applyNumberFormat="1" applyFont="1" applyFill="1" applyBorder="1" applyProtection="1"/>
    <xf numFmtId="3" fontId="11" fillId="5" borderId="17" xfId="10" applyNumberFormat="1" applyFont="1" applyFill="1" applyBorder="1" applyProtection="1"/>
    <xf numFmtId="0" fontId="3" fillId="5" borderId="37"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8" xfId="0" applyFont="1" applyFill="1" applyBorder="1" applyAlignment="1" applyProtection="1">
      <alignment horizontal="left"/>
    </xf>
    <xf numFmtId="3" fontId="11" fillId="5" borderId="19" xfId="0" applyNumberFormat="1" applyFont="1" applyFill="1" applyBorder="1" applyProtection="1"/>
    <xf numFmtId="3" fontId="11" fillId="5" borderId="19" xfId="10" applyNumberFormat="1" applyFont="1" applyFill="1" applyBorder="1" applyProtection="1"/>
    <xf numFmtId="38" fontId="11" fillId="5" borderId="37" xfId="1" applyNumberFormat="1" applyFont="1" applyFill="1" applyBorder="1" applyAlignment="1" applyProtection="1">
      <alignment horizontal="right" vertical="center"/>
    </xf>
    <xf numFmtId="38" fontId="11" fillId="5" borderId="38"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7" xfId="0" applyNumberFormat="1" applyFont="1" applyFill="1" applyBorder="1" applyAlignment="1" applyProtection="1">
      <alignment horizontal="left" vertical="center" wrapText="1"/>
    </xf>
    <xf numFmtId="38" fontId="3" fillId="5" borderId="38" xfId="0" applyNumberFormat="1" applyFont="1" applyFill="1" applyBorder="1" applyAlignment="1" applyProtection="1">
      <alignment horizontal="left" vertical="center" wrapText="1"/>
    </xf>
    <xf numFmtId="3" fontId="11" fillId="5" borderId="44" xfId="0" applyNumberFormat="1" applyFont="1" applyFill="1" applyBorder="1" applyAlignment="1" applyProtection="1">
      <alignment vertical="center"/>
    </xf>
    <xf numFmtId="0" fontId="3" fillId="5" borderId="37"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8" xfId="0" applyFont="1" applyFill="1" applyBorder="1" applyAlignment="1" applyProtection="1">
      <alignment horizontal="left" vertical="center"/>
    </xf>
    <xf numFmtId="38" fontId="11" fillId="5" borderId="67" xfId="1" applyNumberFormat="1" applyFont="1" applyFill="1" applyBorder="1" applyAlignment="1" applyProtection="1">
      <alignment horizontal="right" vertical="center"/>
    </xf>
    <xf numFmtId="38" fontId="11" fillId="5" borderId="68" xfId="1" applyNumberFormat="1" applyFont="1" applyFill="1" applyBorder="1" applyAlignment="1" applyProtection="1">
      <alignment horizontal="right" vertical="center"/>
    </xf>
    <xf numFmtId="3" fontId="11" fillId="5" borderId="5" xfId="0" applyNumberFormat="1" applyFont="1" applyFill="1" applyBorder="1" applyAlignment="1" applyProtection="1">
      <alignment horizontal="right" vertical="center"/>
    </xf>
    <xf numFmtId="3" fontId="11" fillId="5" borderId="7"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38" xfId="0" applyNumberFormat="1" applyFont="1" applyFill="1" applyBorder="1" applyAlignment="1" applyProtection="1">
      <alignment horizontal="right" vertical="center"/>
    </xf>
    <xf numFmtId="38" fontId="11" fillId="5" borderId="37" xfId="1" applyNumberFormat="1" applyFont="1" applyFill="1" applyBorder="1" applyAlignment="1" applyProtection="1">
      <alignment vertical="center"/>
    </xf>
    <xf numFmtId="38" fontId="11" fillId="5" borderId="38" xfId="1" applyNumberFormat="1" applyFont="1" applyFill="1" applyBorder="1" applyAlignment="1" applyProtection="1">
      <alignment vertical="center"/>
    </xf>
    <xf numFmtId="3" fontId="11" fillId="5" borderId="16" xfId="1" applyNumberFormat="1" applyFont="1" applyFill="1" applyBorder="1" applyAlignment="1" applyProtection="1">
      <alignment vertical="center"/>
    </xf>
    <xf numFmtId="0" fontId="0" fillId="0" borderId="86" xfId="0" applyBorder="1" applyProtection="1"/>
    <xf numFmtId="0" fontId="0" fillId="0" borderId="83"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2" fillId="5" borderId="3" xfId="10" applyNumberFormat="1" applyFont="1" applyFill="1" applyBorder="1" applyAlignment="1" applyProtection="1">
      <alignment horizontal="right" vertical="center"/>
    </xf>
    <xf numFmtId="166" fontId="2" fillId="5" borderId="3" xfId="10" applyNumberFormat="1" applyFont="1" applyFill="1" applyBorder="1" applyAlignment="1" applyProtection="1">
      <alignment horizontal="right" vertical="center"/>
    </xf>
    <xf numFmtId="164" fontId="11" fillId="11" borderId="17" xfId="1" applyNumberFormat="1" applyFont="1" applyFill="1" applyBorder="1" applyProtection="1"/>
    <xf numFmtId="164" fontId="11" fillId="6" borderId="18" xfId="1" applyNumberFormat="1" applyFont="1" applyFill="1" applyBorder="1" applyProtection="1"/>
    <xf numFmtId="164" fontId="11" fillId="5" borderId="18" xfId="1" applyNumberFormat="1" applyFont="1" applyFill="1" applyBorder="1" applyProtection="1"/>
    <xf numFmtId="164" fontId="11" fillId="6" borderId="19" xfId="1" applyNumberFormat="1" applyFont="1" applyFill="1" applyBorder="1" applyProtection="1"/>
    <xf numFmtId="164" fontId="11" fillId="6" borderId="17" xfId="1" applyNumberFormat="1" applyFont="1" applyFill="1" applyBorder="1" applyProtection="1"/>
    <xf numFmtId="0" fontId="49" fillId="0" borderId="2" xfId="0" applyFont="1" applyBorder="1" applyAlignment="1" applyProtection="1">
      <alignment horizontal="left" vertical="top" wrapText="1"/>
    </xf>
    <xf numFmtId="0" fontId="49" fillId="0" borderId="38" xfId="0" applyFont="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8" xfId="0" applyFont="1" applyFill="1" applyBorder="1" applyAlignment="1" applyProtection="1">
      <alignment horizontal="center" vertical="center"/>
    </xf>
    <xf numFmtId="0" fontId="3" fillId="5" borderId="37"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8" xfId="0" applyFont="1" applyFill="1" applyBorder="1" applyAlignment="1" applyProtection="1">
      <alignment horizontal="left" vertical="top" wrapText="1"/>
    </xf>
    <xf numFmtId="0" fontId="13" fillId="0" borderId="45"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43" xfId="0" applyFont="1" applyBorder="1" applyAlignment="1" applyProtection="1">
      <alignment horizontal="center" vertical="top"/>
    </xf>
    <xf numFmtId="0" fontId="13" fillId="0" borderId="21" xfId="0" applyFont="1" applyBorder="1" applyAlignment="1" applyProtection="1">
      <alignment horizontal="center" vertical="top"/>
    </xf>
    <xf numFmtId="0" fontId="13" fillId="0" borderId="61" xfId="0" applyFont="1" applyBorder="1" applyAlignment="1" applyProtection="1">
      <alignment horizontal="center" vertical="top"/>
    </xf>
    <xf numFmtId="0" fontId="3" fillId="0" borderId="20" xfId="0" applyFont="1" applyBorder="1" applyAlignment="1" applyProtection="1">
      <alignment horizontal="center" wrapText="1"/>
    </xf>
    <xf numFmtId="0" fontId="90" fillId="0" borderId="14" xfId="0" applyFont="1" applyBorder="1" applyAlignment="1" applyProtection="1">
      <alignment horizontal="justify" vertical="top"/>
    </xf>
    <xf numFmtId="0" fontId="3" fillId="0" borderId="14"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4"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7"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8" xfId="0" applyFont="1" applyFill="1" applyBorder="1" applyAlignment="1" applyProtection="1">
      <alignment horizontal="center" vertical="center"/>
    </xf>
    <xf numFmtId="0" fontId="13" fillId="5" borderId="29" xfId="0" applyFont="1" applyFill="1" applyBorder="1" applyAlignment="1" applyProtection="1">
      <alignment horizontal="left" vertical="center" wrapText="1"/>
    </xf>
    <xf numFmtId="0" fontId="13" fillId="5" borderId="5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22" xfId="0" applyFont="1" applyFill="1" applyBorder="1" applyAlignment="1" applyProtection="1">
      <alignment horizontal="left" vertical="center"/>
    </xf>
    <xf numFmtId="0" fontId="13" fillId="5" borderId="32"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60" xfId="0" applyFont="1" applyFill="1" applyBorder="1" applyAlignment="1" applyProtection="1">
      <alignment horizontal="left" vertical="center"/>
    </xf>
    <xf numFmtId="0" fontId="13" fillId="5" borderId="35"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0" fillId="0" borderId="30" xfId="0" applyBorder="1" applyAlignment="1" applyProtection="1">
      <alignment horizontal="left" vertical="center"/>
    </xf>
    <xf numFmtId="0" fontId="0" fillId="0" borderId="32" xfId="0" applyBorder="1" applyAlignment="1" applyProtection="1">
      <alignment horizontal="left" vertical="center"/>
    </xf>
    <xf numFmtId="10" fontId="13" fillId="5" borderId="34" xfId="0" applyNumberFormat="1" applyFont="1" applyFill="1" applyBorder="1" applyAlignment="1" applyProtection="1">
      <alignment horizontal="left" vertical="center"/>
    </xf>
    <xf numFmtId="0" fontId="0" fillId="0" borderId="35" xfId="0" applyBorder="1" applyAlignment="1" applyProtection="1">
      <alignment horizontal="left" vertical="center"/>
    </xf>
    <xf numFmtId="0" fontId="13" fillId="5" borderId="29" xfId="0" applyFont="1" applyFill="1" applyBorder="1" applyAlignment="1" applyProtection="1">
      <alignment horizontal="center" vertical="center"/>
    </xf>
    <xf numFmtId="0" fontId="13" fillId="5" borderId="17" xfId="0" applyFont="1" applyFill="1" applyBorder="1" applyAlignment="1" applyProtection="1">
      <alignment horizontal="left" vertical="center"/>
    </xf>
    <xf numFmtId="0" fontId="13" fillId="5" borderId="13" xfId="0" applyFont="1" applyFill="1" applyBorder="1" applyAlignment="1" applyProtection="1">
      <alignment horizontal="center" vertical="center"/>
    </xf>
    <xf numFmtId="0" fontId="13" fillId="5" borderId="37" xfId="0" applyFont="1" applyFill="1" applyBorder="1" applyAlignment="1" applyProtection="1">
      <alignment horizontal="right" vertical="center"/>
    </xf>
    <xf numFmtId="0" fontId="13"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3" fillId="5" borderId="3" xfId="0" applyFont="1" applyFill="1" applyBorder="1" applyAlignment="1" applyProtection="1">
      <alignment horizontal="center" vertical="top"/>
    </xf>
    <xf numFmtId="0" fontId="13" fillId="5" borderId="37"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8" xfId="0" applyFont="1" applyFill="1" applyBorder="1" applyAlignment="1" applyProtection="1">
      <alignment horizontal="left" vertical="center"/>
    </xf>
    <xf numFmtId="0" fontId="3" fillId="5" borderId="82" xfId="0" applyFont="1" applyFill="1" applyBorder="1" applyAlignment="1" applyProtection="1">
      <alignment horizontal="left" vertical="center" wrapText="1"/>
    </xf>
    <xf numFmtId="0" fontId="3" fillId="5" borderId="86" xfId="0" applyFont="1" applyFill="1" applyBorder="1" applyAlignment="1" applyProtection="1">
      <alignment horizontal="left" vertical="center" wrapText="1"/>
    </xf>
    <xf numFmtId="0" fontId="3" fillId="5" borderId="83" xfId="0" applyFont="1" applyFill="1" applyBorder="1" applyAlignment="1" applyProtection="1">
      <alignment horizontal="left" vertical="center" wrapText="1"/>
    </xf>
    <xf numFmtId="166" fontId="13" fillId="5" borderId="13" xfId="0"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176" fontId="20" fillId="10" borderId="82" xfId="0" applyNumberFormat="1" applyFont="1" applyFill="1" applyBorder="1" applyAlignment="1" applyProtection="1">
      <alignment horizontal="center"/>
    </xf>
    <xf numFmtId="176" fontId="20" fillId="10" borderId="83" xfId="0" applyNumberFormat="1" applyFont="1" applyFill="1" applyBorder="1" applyAlignment="1" applyProtection="1">
      <alignment horizontal="center"/>
    </xf>
    <xf numFmtId="0" fontId="13" fillId="5" borderId="5" xfId="0" applyFont="1" applyFill="1" applyBorder="1" applyAlignment="1" applyProtection="1">
      <alignment horizontal="left"/>
    </xf>
    <xf numFmtId="0" fontId="13" fillId="5" borderId="38" xfId="0" applyFont="1" applyFill="1" applyBorder="1" applyAlignment="1" applyProtection="1">
      <alignment horizontal="left"/>
    </xf>
    <xf numFmtId="0" fontId="13" fillId="5" borderId="82" xfId="0" applyFont="1" applyFill="1" applyBorder="1" applyAlignment="1" applyProtection="1">
      <alignment horizontal="left" vertical="center"/>
    </xf>
    <xf numFmtId="0" fontId="13" fillId="5" borderId="86" xfId="0"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50" fillId="10" borderId="82" xfId="0" applyFont="1" applyFill="1" applyBorder="1" applyAlignment="1" applyProtection="1">
      <alignment horizontal="center"/>
    </xf>
    <xf numFmtId="0" fontId="50" fillId="10" borderId="86" xfId="0" applyFont="1" applyFill="1" applyBorder="1" applyAlignment="1" applyProtection="1">
      <alignment horizontal="center"/>
    </xf>
    <xf numFmtId="0" fontId="50" fillId="10" borderId="83" xfId="0" applyFont="1" applyFill="1" applyBorder="1" applyAlignment="1" applyProtection="1">
      <alignment horizontal="center"/>
    </xf>
    <xf numFmtId="0" fontId="13" fillId="5" borderId="15" xfId="0" applyFont="1" applyFill="1" applyBorder="1" applyAlignment="1" applyProtection="1">
      <alignment horizontal="left" vertical="center"/>
    </xf>
    <xf numFmtId="0" fontId="3" fillId="5" borderId="29"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0"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60" xfId="0" applyFont="1" applyFill="1" applyBorder="1" applyAlignment="1" applyProtection="1">
      <alignment horizontal="left" vertical="top" wrapText="1"/>
    </xf>
    <xf numFmtId="0" fontId="3" fillId="5" borderId="35" xfId="0" applyFont="1" applyFill="1" applyBorder="1" applyAlignment="1" applyProtection="1">
      <alignment horizontal="left" vertical="top" wrapText="1"/>
    </xf>
    <xf numFmtId="175" fontId="13" fillId="5" borderId="37"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8" xfId="0" applyNumberFormat="1" applyFont="1" applyFill="1" applyBorder="1" applyAlignment="1" applyProtection="1">
      <alignment horizontal="left" vertical="center"/>
    </xf>
    <xf numFmtId="0" fontId="13" fillId="5" borderId="90" xfId="0" applyFont="1" applyFill="1" applyBorder="1" applyAlignment="1" applyProtection="1">
      <alignment horizontal="center" vertical="center"/>
    </xf>
    <xf numFmtId="0" fontId="3"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3" fillId="5" borderId="37" xfId="0" applyFont="1" applyFill="1" applyBorder="1" applyAlignment="1" applyProtection="1">
      <alignment horizontal="center" vertical="top"/>
    </xf>
    <xf numFmtId="0" fontId="13" fillId="5" borderId="38" xfId="0" applyFont="1" applyFill="1" applyBorder="1" applyAlignment="1" applyProtection="1">
      <alignment horizontal="center" vertical="top"/>
    </xf>
    <xf numFmtId="0" fontId="3" fillId="5" borderId="37"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8" xfId="0" applyFont="1" applyFill="1" applyBorder="1" applyAlignment="1" applyProtection="1">
      <alignment horizontal="left" vertical="center" wrapText="1"/>
    </xf>
    <xf numFmtId="0" fontId="13" fillId="5" borderId="82" xfId="0" applyFont="1" applyFill="1" applyBorder="1" applyAlignment="1" applyProtection="1">
      <alignment horizontal="center"/>
    </xf>
    <xf numFmtId="0" fontId="13" fillId="5" borderId="86" xfId="0" applyFont="1" applyFill="1" applyBorder="1" applyAlignment="1" applyProtection="1">
      <alignment horizontal="center"/>
    </xf>
    <xf numFmtId="0" fontId="13" fillId="5" borderId="83"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38" fontId="7" fillId="5" borderId="3" xfId="0" applyNumberFormat="1" applyFont="1" applyFill="1" applyBorder="1" applyAlignment="1" applyProtection="1">
      <alignment horizontal="center" vertical="center"/>
    </xf>
    <xf numFmtId="1" fontId="3" fillId="5" borderId="3" xfId="0" applyNumberFormat="1"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7"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8" xfId="0" applyFont="1" applyFill="1" applyBorder="1" applyAlignment="1" applyProtection="1">
      <alignment horizontal="left" vertical="center"/>
    </xf>
    <xf numFmtId="0" fontId="49" fillId="5" borderId="86" xfId="0" applyFont="1" applyFill="1" applyBorder="1" applyAlignment="1" applyProtection="1">
      <alignment horizontal="center" vertical="center"/>
    </xf>
    <xf numFmtId="0" fontId="13" fillId="5" borderId="17" xfId="0" applyFont="1" applyFill="1" applyBorder="1" applyAlignment="1" applyProtection="1">
      <alignment horizontal="center" vertical="top"/>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9" fontId="9" fillId="10" borderId="90" xfId="0" applyNumberFormat="1" applyFont="1" applyFill="1" applyBorder="1" applyAlignment="1" applyProtection="1">
      <alignment horizontal="center" vertical="center"/>
    </xf>
    <xf numFmtId="10" fontId="3" fillId="10" borderId="90" xfId="0" applyNumberFormat="1" applyFont="1" applyFill="1" applyBorder="1" applyProtection="1"/>
    <xf numFmtId="0" fontId="3" fillId="10" borderId="90" xfId="0" applyFont="1" applyFill="1" applyBorder="1" applyProtection="1"/>
    <xf numFmtId="0" fontId="50" fillId="5" borderId="82" xfId="0" applyFont="1" applyFill="1" applyBorder="1" applyAlignment="1" applyProtection="1">
      <alignment horizontal="left" vertical="center" wrapText="1"/>
    </xf>
    <xf numFmtId="0" fontId="50" fillId="5" borderId="86" xfId="0" applyFont="1" applyFill="1" applyBorder="1" applyAlignment="1" applyProtection="1">
      <alignment horizontal="left" vertical="center" wrapText="1"/>
    </xf>
    <xf numFmtId="0" fontId="50" fillId="5" borderId="83" xfId="0" applyFont="1" applyFill="1" applyBorder="1" applyAlignment="1" applyProtection="1">
      <alignment horizontal="left" vertical="center" wrapText="1"/>
    </xf>
    <xf numFmtId="38" fontId="18" fillId="5" borderId="82" xfId="0" applyNumberFormat="1" applyFont="1" applyFill="1" applyBorder="1" applyAlignment="1" applyProtection="1">
      <alignment horizontal="left" vertical="center"/>
    </xf>
    <xf numFmtId="38" fontId="18" fillId="5" borderId="86" xfId="0" applyNumberFormat="1" applyFont="1" applyFill="1" applyBorder="1" applyAlignment="1" applyProtection="1">
      <alignment horizontal="left" vertical="center"/>
    </xf>
    <xf numFmtId="38" fontId="18" fillId="5" borderId="83" xfId="0" applyNumberFormat="1" applyFont="1" applyFill="1" applyBorder="1" applyAlignment="1" applyProtection="1">
      <alignment horizontal="left" vertical="center"/>
    </xf>
    <xf numFmtId="0" fontId="18" fillId="5" borderId="82" xfId="0" applyFont="1" applyFill="1" applyBorder="1" applyAlignment="1" applyProtection="1">
      <alignment horizontal="left" vertical="center"/>
    </xf>
    <xf numFmtId="0" fontId="18" fillId="5" borderId="83" xfId="0"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176" fontId="49" fillId="5" borderId="83" xfId="0" applyNumberFormat="1" applyFont="1" applyFill="1" applyBorder="1" applyAlignment="1" applyProtection="1">
      <alignment horizontal="left" vertical="center"/>
    </xf>
    <xf numFmtId="0" fontId="17" fillId="10" borderId="82" xfId="0" applyFont="1" applyFill="1" applyBorder="1" applyAlignment="1" applyProtection="1">
      <alignment horizontal="left"/>
    </xf>
    <xf numFmtId="0" fontId="17" fillId="10" borderId="83" xfId="0" applyFont="1" applyFill="1" applyBorder="1" applyAlignment="1" applyProtection="1">
      <alignment horizontal="left"/>
    </xf>
    <xf numFmtId="0" fontId="12" fillId="5" borderId="82" xfId="0" applyFont="1" applyFill="1" applyBorder="1" applyAlignment="1" applyProtection="1">
      <alignment horizontal="left"/>
    </xf>
    <xf numFmtId="0" fontId="12" fillId="5" borderId="83" xfId="0" applyFont="1" applyFill="1" applyBorder="1" applyAlignment="1" applyProtection="1">
      <alignment horizontal="left"/>
    </xf>
    <xf numFmtId="0" fontId="12" fillId="5" borderId="82" xfId="0" applyFont="1" applyFill="1" applyBorder="1" applyAlignment="1" applyProtection="1">
      <alignment horizontal="left" vertical="center"/>
    </xf>
    <xf numFmtId="0" fontId="7" fillId="5" borderId="90" xfId="0" applyFont="1" applyFill="1" applyBorder="1" applyAlignment="1" applyProtection="1">
      <alignment horizontal="center" vertical="center"/>
    </xf>
    <xf numFmtId="0" fontId="7" fillId="5" borderId="11" xfId="0" applyFont="1" applyFill="1" applyBorder="1" applyAlignment="1" applyProtection="1">
      <alignment horizontal="center" vertical="center"/>
    </xf>
    <xf numFmtId="0" fontId="17" fillId="10" borderId="90" xfId="0" applyFont="1" applyFill="1" applyBorder="1" applyAlignment="1" applyProtection="1">
      <alignment horizontal="left" vertical="center"/>
    </xf>
    <xf numFmtId="0" fontId="13" fillId="5" borderId="23" xfId="0" applyFont="1" applyFill="1" applyBorder="1" applyAlignment="1" applyProtection="1">
      <alignment horizontal="center" vertical="center"/>
    </xf>
    <xf numFmtId="0" fontId="12" fillId="5" borderId="3" xfId="0" applyFont="1" applyFill="1" applyBorder="1" applyAlignment="1" applyProtection="1">
      <alignment horizontal="center"/>
    </xf>
    <xf numFmtId="0" fontId="3" fillId="5" borderId="37"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8" xfId="0" applyFont="1" applyFill="1" applyBorder="1" applyAlignment="1" applyProtection="1">
      <alignment horizontal="center"/>
    </xf>
    <xf numFmtId="0" fontId="3" fillId="5" borderId="90" xfId="0" applyFont="1" applyFill="1" applyBorder="1" applyAlignment="1" applyProtection="1">
      <alignment horizontal="center" vertical="center"/>
    </xf>
    <xf numFmtId="0" fontId="49" fillId="5" borderId="37" xfId="0" applyFont="1" applyFill="1" applyBorder="1" applyAlignment="1" applyProtection="1">
      <alignment horizontal="center" vertical="center"/>
    </xf>
    <xf numFmtId="0" fontId="49" fillId="5" borderId="2" xfId="0" applyFont="1" applyFill="1" applyBorder="1" applyAlignment="1" applyProtection="1">
      <alignment horizontal="center" vertical="center"/>
    </xf>
    <xf numFmtId="0" fontId="49" fillId="5" borderId="6" xfId="0" applyFont="1" applyFill="1" applyBorder="1" applyAlignment="1" applyProtection="1">
      <alignment horizontal="center" vertical="center"/>
    </xf>
    <xf numFmtId="0" fontId="49" fillId="5" borderId="7"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8" xfId="0" applyFont="1" applyFill="1" applyBorder="1" applyAlignment="1" applyProtection="1">
      <alignment horizontal="center" vertical="center"/>
    </xf>
    <xf numFmtId="3" fontId="3" fillId="10" borderId="82" xfId="0" applyNumberFormat="1" applyFont="1" applyFill="1" applyBorder="1" applyAlignment="1" applyProtection="1">
      <alignment horizontal="center" vertical="center"/>
    </xf>
    <xf numFmtId="3" fontId="3" fillId="10" borderId="83" xfId="0" applyNumberFormat="1" applyFont="1" applyFill="1" applyBorder="1" applyAlignment="1" applyProtection="1">
      <alignment horizontal="center" vertical="center"/>
    </xf>
    <xf numFmtId="3" fontId="3" fillId="10" borderId="84" xfId="0" applyNumberFormat="1" applyFont="1" applyFill="1" applyBorder="1" applyAlignment="1" applyProtection="1">
      <alignment horizontal="center" vertical="center"/>
    </xf>
    <xf numFmtId="3" fontId="3" fillId="10" borderId="85" xfId="0" applyNumberFormat="1" applyFont="1" applyFill="1" applyBorder="1" applyAlignment="1" applyProtection="1">
      <alignment horizontal="center" vertical="center"/>
    </xf>
    <xf numFmtId="3" fontId="3" fillId="10" borderId="58" xfId="0" applyNumberFormat="1" applyFont="1" applyFill="1" applyBorder="1" applyAlignment="1" applyProtection="1">
      <alignment horizontal="center" vertical="center"/>
    </xf>
    <xf numFmtId="3" fontId="3" fillId="10" borderId="36" xfId="0" applyNumberFormat="1" applyFont="1" applyFill="1" applyBorder="1" applyAlignment="1" applyProtection="1">
      <alignment horizontal="center" vertical="center"/>
    </xf>
    <xf numFmtId="0" fontId="3" fillId="5" borderId="5" xfId="0" applyFont="1" applyFill="1" applyBorder="1" applyAlignment="1" applyProtection="1">
      <alignment horizontal="left" vertical="center" wrapText="1"/>
    </xf>
    <xf numFmtId="0" fontId="3" fillId="5" borderId="6"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0" fontId="50" fillId="5" borderId="37" xfId="0" applyFont="1" applyFill="1" applyBorder="1" applyAlignment="1" applyProtection="1">
      <alignment horizontal="justify" vertical="top" wrapText="1"/>
    </xf>
    <xf numFmtId="0" fontId="0" fillId="0" borderId="2" xfId="0" applyBorder="1" applyProtection="1"/>
    <xf numFmtId="3" fontId="3" fillId="5" borderId="37" xfId="0" applyNumberFormat="1" applyFont="1" applyFill="1" applyBorder="1" applyAlignment="1" applyProtection="1">
      <alignment horizontal="left" vertical="center" wrapText="1"/>
    </xf>
    <xf numFmtId="3" fontId="3" fillId="5" borderId="38" xfId="0" applyNumberFormat="1" applyFont="1" applyFill="1" applyBorder="1" applyAlignment="1" applyProtection="1">
      <alignment horizontal="left" vertical="center" wrapText="1"/>
    </xf>
    <xf numFmtId="0" fontId="7" fillId="5" borderId="17" xfId="0" applyFont="1" applyFill="1" applyBorder="1" applyAlignment="1" applyProtection="1">
      <alignment horizontal="center" vertical="center"/>
    </xf>
    <xf numFmtId="0" fontId="7" fillId="5" borderId="19" xfId="0" applyFont="1" applyFill="1" applyBorder="1" applyAlignment="1" applyProtection="1">
      <alignment horizontal="center" vertical="center"/>
    </xf>
    <xf numFmtId="0" fontId="7" fillId="5" borderId="3"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8" xfId="0" applyFont="1" applyFill="1" applyBorder="1" applyAlignment="1" applyProtection="1">
      <alignment horizontal="center" vertical="top"/>
    </xf>
    <xf numFmtId="0" fontId="7" fillId="5" borderId="19" xfId="0" applyFont="1" applyFill="1" applyBorder="1" applyAlignment="1" applyProtection="1">
      <alignment horizontal="center" vertical="top"/>
    </xf>
    <xf numFmtId="3" fontId="7" fillId="5" borderId="3" xfId="0" applyNumberFormat="1" applyFont="1" applyFill="1" applyBorder="1" applyAlignment="1" applyProtection="1">
      <alignment horizontal="center" vertical="center"/>
    </xf>
    <xf numFmtId="0" fontId="118" fillId="0" borderId="0" xfId="0" applyFont="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10">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ndense val="0"/>
        <extend val="0"/>
        <color rgb="FF9C0006"/>
      </font>
      <fill>
        <patternFill>
          <bgColor rgb="FFFFC7CE"/>
        </patternFill>
      </fill>
    </dxf>
    <dxf>
      <font>
        <condense val="0"/>
        <extend val="0"/>
        <color rgb="FF9C0006"/>
      </font>
      <fill>
        <patternFill>
          <bgColor rgb="FFFFC7CE"/>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s>
  <tableStyles count="0" defaultTableStyle="TableStyleMedium9" defaultPivotStyle="PivotStyleLight16"/>
  <colors>
    <mruColors>
      <color rgb="FFCCFFFF"/>
      <color rgb="FFCCFFCC"/>
      <color rgb="FF0066FF"/>
      <color rgb="FFCCFF99"/>
      <color rgb="FFFD938B"/>
      <color rgb="FFFB5B5B"/>
      <color rgb="FFCAB2D8"/>
      <color rgb="FF99FF99"/>
      <color rgb="FFFFFF99"/>
      <color rgb="FF66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Projects/Tax%20Credits/2013%20Tax%20Credits/Ball%20Ground/2013-0xxStoneVllyCoreApp.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Application Tabs Checklist"/>
      <sheetName val="Project Narrative"/>
      <sheetName val="Part I-Project Information"/>
      <sheetName val="Part II-Development Team"/>
      <sheetName val="Part III-Sources of Funds"/>
      <sheetName val="Part III B-USDA 538 Loan"/>
      <sheetName val="Part III C-HUD Insured Loan"/>
      <sheetName val="Part IV-Uses of Funds"/>
      <sheetName val="Part V-Utility Allowances"/>
      <sheetName val="Part VI-Revenues &amp; Expenses"/>
      <sheetName val="Part VII-Pro Forma"/>
      <sheetName val="Part VIII-Threshold Criteria"/>
      <sheetName val="Part IX A-Scoring Criteria"/>
      <sheetName val="Pt IX B-Innov Proj Concept Narr"/>
      <sheetName val="Part X - Applicant Cert Ltr"/>
      <sheetName val="DCA Underwriting Assumptions"/>
      <sheetName val="DCA Use Only"/>
    </sheetNames>
    <sheetDataSet>
      <sheetData sheetId="0"/>
      <sheetData sheetId="1"/>
      <sheetData sheetId="2"/>
      <sheetData sheetId="3"/>
      <sheetData sheetId="4"/>
      <sheetData sheetId="5"/>
      <sheetData sheetId="6"/>
      <sheetData sheetId="7">
        <row r="170">
          <cell r="J170">
            <v>846716.06450374995</v>
          </cell>
        </row>
      </sheetData>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53"/>
  <sheetViews>
    <sheetView showGridLines="0" zoomScale="120" zoomScaleNormal="120" workbookViewId="0">
      <selection activeCell="A156" sqref="A1:XFD1048576"/>
    </sheetView>
  </sheetViews>
  <sheetFormatPr defaultRowHeight="11.25"/>
  <cols>
    <col min="1" max="1" width="3.28515625" style="1191" customWidth="1"/>
    <col min="2" max="2" width="10.7109375" style="1298" customWidth="1"/>
    <col min="3" max="3" width="4.85546875" style="1298" customWidth="1"/>
    <col min="4" max="4" width="8.5703125" style="1298" customWidth="1"/>
    <col min="5" max="5" width="4.28515625" style="1299" customWidth="1"/>
    <col min="6" max="7" width="26.28515625" style="1191" customWidth="1"/>
    <col min="8" max="8" width="30" style="1191" customWidth="1"/>
    <col min="9" max="9" width="4" style="1297" customWidth="1"/>
    <col min="10" max="10" width="6.42578125" style="1191" customWidth="1"/>
    <col min="11" max="11" width="9.7109375" style="1191" customWidth="1"/>
    <col min="12" max="12" width="3.42578125" style="1191" customWidth="1"/>
    <col min="13" max="16384" width="9.140625" style="1191"/>
  </cols>
  <sheetData>
    <row r="1" spans="1:12" s="1189" customFormat="1" ht="15.75">
      <c r="A1" s="1186" t="str">
        <f>CONCATENATE("2013 Application Tabs Checklist for:  ",'Part I-Project Information'!F23, ",  ",'Part I-Project Information'!F26, ",  ",'Part I-Project Information'!J27, " County")</f>
        <v>2013 Application Tabs Checklist for:  Country Grove Apartments,  Monroe,  Walton County</v>
      </c>
      <c r="B1" s="1187"/>
      <c r="C1" s="1187"/>
      <c r="D1" s="1187"/>
      <c r="E1" s="1187"/>
      <c r="F1" s="1187"/>
      <c r="G1" s="1187"/>
      <c r="H1" s="1187"/>
      <c r="I1" s="1187"/>
      <c r="J1" s="1187"/>
      <c r="K1" s="1187"/>
      <c r="L1" s="1188"/>
    </row>
    <row r="2" spans="1:12" ht="26.25" customHeight="1">
      <c r="A2" s="1190" t="s">
        <v>3969</v>
      </c>
      <c r="B2" s="1190"/>
      <c r="C2" s="1190"/>
      <c r="D2" s="1190"/>
      <c r="E2" s="1190"/>
      <c r="F2" s="1190"/>
      <c r="G2" s="1190"/>
      <c r="H2" s="1190"/>
      <c r="I2" s="1190"/>
      <c r="J2" s="1190"/>
      <c r="K2" s="1190"/>
      <c r="L2" s="1190"/>
    </row>
    <row r="3" spans="1:12" s="1197" customFormat="1" ht="12" customHeight="1">
      <c r="A3" s="1192" t="s">
        <v>3773</v>
      </c>
      <c r="B3" s="1193"/>
      <c r="C3" s="1193"/>
      <c r="D3" s="1193"/>
      <c r="E3" s="1194" t="s">
        <v>3774</v>
      </c>
      <c r="F3" s="1195"/>
      <c r="G3" s="1195"/>
      <c r="H3" s="1195"/>
      <c r="I3" s="1196"/>
      <c r="J3" s="1195"/>
      <c r="K3" s="1195"/>
      <c r="L3" s="1194" t="s">
        <v>3775</v>
      </c>
    </row>
    <row r="4" spans="1:12" s="1197" customFormat="1" ht="12.75" thickBot="1">
      <c r="A4" s="1198"/>
      <c r="B4" s="1199" t="s">
        <v>3776</v>
      </c>
      <c r="C4" s="1199"/>
      <c r="D4" s="1199"/>
      <c r="E4" s="1200"/>
      <c r="F4" s="1199" t="s">
        <v>3998</v>
      </c>
      <c r="G4" s="1201"/>
      <c r="H4" s="1201"/>
      <c r="I4" s="1199" t="s">
        <v>3777</v>
      </c>
      <c r="J4" s="1201"/>
      <c r="K4" s="1201"/>
      <c r="L4" s="1200"/>
    </row>
    <row r="5" spans="1:12" s="1205" customFormat="1">
      <c r="A5" s="1202"/>
      <c r="B5" s="1203"/>
      <c r="C5" s="1203"/>
      <c r="D5" s="1203"/>
      <c r="E5" s="1204"/>
      <c r="F5" s="1205" t="s">
        <v>3778</v>
      </c>
      <c r="I5" s="1206"/>
      <c r="L5" s="1207" t="s">
        <v>4068</v>
      </c>
    </row>
    <row r="6" spans="1:12" s="1205" customFormat="1" ht="12" customHeight="1">
      <c r="A6" s="1208" t="s">
        <v>3779</v>
      </c>
      <c r="B6" s="1203" t="s">
        <v>1865</v>
      </c>
      <c r="C6" s="1203"/>
      <c r="D6" s="1203"/>
      <c r="E6" s="1209" t="s">
        <v>3779</v>
      </c>
      <c r="F6" s="1205" t="s">
        <v>3965</v>
      </c>
      <c r="I6" s="1206"/>
      <c r="L6" s="1210" t="s">
        <v>4068</v>
      </c>
    </row>
    <row r="7" spans="1:12" s="1205" customFormat="1" ht="12" customHeight="1">
      <c r="A7" s="1202"/>
      <c r="B7" s="1203"/>
      <c r="C7" s="1203"/>
      <c r="D7" s="1203"/>
      <c r="E7" s="1211" t="s">
        <v>3607</v>
      </c>
      <c r="F7" s="1205" t="s">
        <v>3780</v>
      </c>
      <c r="I7" s="1206"/>
      <c r="L7" s="1210" t="s">
        <v>4068</v>
      </c>
    </row>
    <row r="8" spans="1:12" s="1205" customFormat="1" ht="12" customHeight="1">
      <c r="A8" s="1202"/>
      <c r="B8" s="1203"/>
      <c r="C8" s="1203"/>
      <c r="D8" s="1203"/>
      <c r="E8" s="1211" t="s">
        <v>3605</v>
      </c>
      <c r="F8" s="1205" t="s">
        <v>554</v>
      </c>
      <c r="I8" s="1206"/>
      <c r="L8" s="1210" t="s">
        <v>4063</v>
      </c>
    </row>
    <row r="9" spans="1:12" s="1205" customFormat="1" ht="12" customHeight="1">
      <c r="A9" s="1202"/>
      <c r="B9" s="1203"/>
      <c r="C9" s="1203"/>
      <c r="D9" s="1203"/>
      <c r="E9" s="1211" t="s">
        <v>3606</v>
      </c>
      <c r="F9" s="1205" t="s">
        <v>3576</v>
      </c>
      <c r="I9" s="1206"/>
      <c r="L9" s="1210" t="s">
        <v>4068</v>
      </c>
    </row>
    <row r="10" spans="1:12" s="1205" customFormat="1" ht="12" customHeight="1">
      <c r="A10" s="1202"/>
      <c r="B10" s="1203"/>
      <c r="C10" s="1203"/>
      <c r="D10" s="1203"/>
      <c r="E10" s="1211" t="s">
        <v>3608</v>
      </c>
      <c r="F10" s="1205" t="s">
        <v>3595</v>
      </c>
      <c r="I10" s="1206"/>
      <c r="J10" s="1212"/>
      <c r="L10" s="1210" t="s">
        <v>4068</v>
      </c>
    </row>
    <row r="11" spans="1:12" s="1205" customFormat="1" ht="12" customHeight="1">
      <c r="A11" s="1202"/>
      <c r="B11" s="1203"/>
      <c r="C11" s="1203"/>
      <c r="D11" s="1203"/>
      <c r="E11" s="1211" t="s">
        <v>3609</v>
      </c>
      <c r="F11" s="1205" t="s">
        <v>3781</v>
      </c>
      <c r="I11" s="1206"/>
      <c r="J11" s="1212"/>
      <c r="L11" s="1213" t="s">
        <v>4068</v>
      </c>
    </row>
    <row r="12" spans="1:12" s="1205" customFormat="1" ht="12" customHeight="1">
      <c r="A12" s="1202"/>
      <c r="B12" s="1203"/>
      <c r="C12" s="1203"/>
      <c r="D12" s="1203"/>
      <c r="E12" s="1214" t="s">
        <v>3610</v>
      </c>
      <c r="F12" s="1205" t="s">
        <v>3967</v>
      </c>
      <c r="I12" s="1206"/>
      <c r="J12" s="1212"/>
      <c r="L12" s="1213" t="s">
        <v>4068</v>
      </c>
    </row>
    <row r="13" spans="1:12" s="1205" customFormat="1" ht="12" customHeight="1">
      <c r="A13" s="1215" t="s">
        <v>3782</v>
      </c>
      <c r="B13" s="1215"/>
      <c r="C13" s="1215"/>
      <c r="D13" s="1215"/>
      <c r="E13" s="1215"/>
      <c r="F13" s="1215"/>
      <c r="G13" s="1215"/>
      <c r="H13" s="1215"/>
      <c r="I13" s="1215"/>
      <c r="J13" s="1215"/>
      <c r="K13" s="1215"/>
      <c r="L13" s="1215"/>
    </row>
    <row r="14" spans="1:12" s="1205" customFormat="1" ht="12" customHeight="1">
      <c r="A14" s="1216" t="s">
        <v>3607</v>
      </c>
      <c r="B14" s="1217" t="s">
        <v>4029</v>
      </c>
      <c r="C14" s="1217"/>
      <c r="D14" s="1218" t="s">
        <v>4030</v>
      </c>
      <c r="E14" s="1209" t="s">
        <v>3607</v>
      </c>
      <c r="F14" s="1205" t="s">
        <v>3783</v>
      </c>
      <c r="I14" s="1206"/>
      <c r="J14" s="1212"/>
      <c r="L14" s="1210" t="s">
        <v>4068</v>
      </c>
    </row>
    <row r="15" spans="1:12" s="1205" customFormat="1" ht="12" customHeight="1">
      <c r="A15" s="1202"/>
      <c r="C15" s="1219"/>
      <c r="D15" s="1203" t="s">
        <v>3784</v>
      </c>
      <c r="E15" s="1211" t="s">
        <v>3605</v>
      </c>
      <c r="F15" s="1220" t="s">
        <v>3785</v>
      </c>
      <c r="G15" s="1220"/>
      <c r="H15" s="1220"/>
      <c r="I15" s="1221" t="s">
        <v>3929</v>
      </c>
      <c r="J15" s="1222" t="s">
        <v>3930</v>
      </c>
      <c r="K15" s="1222" t="s">
        <v>3934</v>
      </c>
      <c r="L15" s="1210" t="s">
        <v>4068</v>
      </c>
    </row>
    <row r="16" spans="1:12" s="1205" customFormat="1" ht="12" customHeight="1">
      <c r="A16" s="1202"/>
      <c r="C16" s="1219"/>
      <c r="D16" s="1203"/>
      <c r="E16" s="1211"/>
      <c r="F16" s="1220"/>
      <c r="G16" s="1220"/>
      <c r="H16" s="1220"/>
      <c r="I16" s="1221" t="s">
        <v>3931</v>
      </c>
      <c r="J16" s="1222" t="s">
        <v>2696</v>
      </c>
      <c r="K16" s="1222" t="s">
        <v>3935</v>
      </c>
    </row>
    <row r="17" spans="1:12" s="1205" customFormat="1" ht="12" customHeight="1">
      <c r="A17" s="1202"/>
      <c r="C17" s="1219"/>
      <c r="D17" s="1203"/>
      <c r="E17" s="1211"/>
      <c r="F17" s="1220"/>
      <c r="G17" s="1220"/>
      <c r="H17" s="1220"/>
      <c r="I17" s="1221" t="s">
        <v>3791</v>
      </c>
      <c r="J17" s="1222" t="s">
        <v>3932</v>
      </c>
      <c r="K17" s="1222" t="s">
        <v>565</v>
      </c>
    </row>
    <row r="18" spans="1:12" s="1205" customFormat="1" ht="23.25" customHeight="1">
      <c r="A18" s="1202"/>
      <c r="C18" s="1219"/>
      <c r="D18" s="1203"/>
      <c r="E18" s="1211"/>
      <c r="F18" s="1220"/>
      <c r="G18" s="1220"/>
      <c r="H18" s="1220"/>
      <c r="I18" s="1221" t="s">
        <v>3791</v>
      </c>
      <c r="J18" s="1222" t="s">
        <v>3933</v>
      </c>
      <c r="K18" s="1222" t="s">
        <v>565</v>
      </c>
    </row>
    <row r="19" spans="1:12" s="1205" customFormat="1" ht="12" customHeight="1">
      <c r="A19" s="1202"/>
      <c r="C19" s="1219"/>
      <c r="D19" s="1203" t="s">
        <v>3786</v>
      </c>
      <c r="E19" s="1211" t="s">
        <v>3606</v>
      </c>
      <c r="F19" s="1212" t="s">
        <v>3974</v>
      </c>
      <c r="G19" s="1223"/>
      <c r="H19" s="1223"/>
      <c r="I19" s="1221"/>
      <c r="J19" s="1222"/>
      <c r="L19" s="1210" t="s">
        <v>4068</v>
      </c>
    </row>
    <row r="20" spans="1:12" s="1205" customFormat="1" ht="12" customHeight="1">
      <c r="A20" s="1202"/>
      <c r="C20" s="1219"/>
      <c r="D20" s="1203"/>
      <c r="E20" s="1224"/>
      <c r="F20" s="1205" t="s">
        <v>3975</v>
      </c>
      <c r="I20" s="1206"/>
      <c r="J20" s="1212"/>
      <c r="L20" s="1210" t="s">
        <v>4068</v>
      </c>
    </row>
    <row r="21" spans="1:12" s="1205" customFormat="1" ht="23.25" customHeight="1">
      <c r="A21" s="1202"/>
      <c r="C21" s="1219"/>
      <c r="D21" s="1203" t="s">
        <v>3787</v>
      </c>
      <c r="E21" s="1211" t="s">
        <v>3608</v>
      </c>
      <c r="F21" s="1205" t="s">
        <v>3976</v>
      </c>
      <c r="I21" s="1221" t="s">
        <v>3788</v>
      </c>
      <c r="J21" s="1222" t="s">
        <v>3789</v>
      </c>
      <c r="K21" s="1222" t="s">
        <v>3790</v>
      </c>
      <c r="L21" s="1210" t="s">
        <v>4068</v>
      </c>
    </row>
    <row r="22" spans="1:12" s="1205" customFormat="1" ht="12" customHeight="1">
      <c r="A22" s="1202"/>
      <c r="C22" s="1219"/>
      <c r="D22" s="1203"/>
      <c r="E22" s="1224"/>
      <c r="F22" s="1205" t="s">
        <v>3977</v>
      </c>
      <c r="I22" s="1206" t="s">
        <v>3791</v>
      </c>
      <c r="J22" s="1212" t="s">
        <v>3792</v>
      </c>
      <c r="K22" s="1205" t="s">
        <v>565</v>
      </c>
      <c r="L22" s="1210" t="s">
        <v>4063</v>
      </c>
    </row>
    <row r="23" spans="1:12" s="1205" customFormat="1" ht="12" customHeight="1">
      <c r="A23" s="1202"/>
      <c r="C23" s="1219"/>
      <c r="D23" s="1203"/>
      <c r="E23" s="1224"/>
      <c r="F23" s="1205" t="s">
        <v>3978</v>
      </c>
      <c r="I23" s="1206"/>
      <c r="J23" s="1212"/>
      <c r="L23" s="1210" t="s">
        <v>4063</v>
      </c>
    </row>
    <row r="24" spans="1:12" s="1205" customFormat="1" ht="12" customHeight="1">
      <c r="A24" s="1202"/>
      <c r="C24" s="1219"/>
      <c r="D24" s="1203"/>
      <c r="E24" s="1224"/>
      <c r="F24" s="1205" t="s">
        <v>3979</v>
      </c>
      <c r="I24" s="1206"/>
      <c r="J24" s="1212"/>
      <c r="L24" s="1210" t="s">
        <v>4063</v>
      </c>
    </row>
    <row r="25" spans="1:12" s="1205" customFormat="1" ht="12" customHeight="1">
      <c r="A25" s="1202"/>
      <c r="C25" s="1219"/>
      <c r="D25" s="1203"/>
      <c r="E25" s="1224"/>
      <c r="F25" s="1205" t="s">
        <v>3980</v>
      </c>
      <c r="I25" s="1206"/>
      <c r="J25" s="1212"/>
      <c r="L25" s="1210" t="s">
        <v>4063</v>
      </c>
    </row>
    <row r="26" spans="1:12" s="1205" customFormat="1" ht="12" customHeight="1">
      <c r="A26" s="1202"/>
      <c r="C26" s="1219"/>
      <c r="D26" s="1203" t="s">
        <v>3793</v>
      </c>
      <c r="E26" s="1211" t="s">
        <v>3609</v>
      </c>
      <c r="F26" s="1205" t="s">
        <v>3981</v>
      </c>
      <c r="I26" s="1206"/>
      <c r="J26" s="1212"/>
      <c r="L26" s="1210" t="s">
        <v>4068</v>
      </c>
    </row>
    <row r="27" spans="1:12" s="1205" customFormat="1" ht="12" customHeight="1">
      <c r="A27" s="1202"/>
      <c r="B27" s="1225"/>
      <c r="C27" s="1225"/>
      <c r="D27" s="1225"/>
      <c r="E27" s="1224"/>
      <c r="F27" s="1205" t="s">
        <v>3982</v>
      </c>
      <c r="I27" s="1206"/>
      <c r="J27" s="1212"/>
      <c r="L27" s="1210" t="s">
        <v>4068</v>
      </c>
    </row>
    <row r="28" spans="1:12" s="1205" customFormat="1" ht="12" customHeight="1">
      <c r="A28" s="1202"/>
      <c r="B28" s="1225"/>
      <c r="C28" s="1225"/>
      <c r="D28" s="1225"/>
      <c r="E28" s="1224"/>
      <c r="F28" s="1205" t="s">
        <v>3983</v>
      </c>
      <c r="I28" s="1206"/>
      <c r="J28" s="1212"/>
      <c r="L28" s="1210" t="s">
        <v>4068</v>
      </c>
    </row>
    <row r="29" spans="1:12" s="1205" customFormat="1" ht="12" customHeight="1">
      <c r="A29" s="1202"/>
      <c r="B29" s="1225"/>
      <c r="C29" s="1225"/>
      <c r="D29" s="1225"/>
      <c r="E29" s="1224"/>
      <c r="F29" s="1205" t="s">
        <v>3984</v>
      </c>
      <c r="I29" s="1206"/>
      <c r="J29" s="1212"/>
      <c r="L29" s="1210" t="s">
        <v>4068</v>
      </c>
    </row>
    <row r="30" spans="1:12" s="1205" customFormat="1" ht="12" customHeight="1">
      <c r="A30" s="1202"/>
      <c r="B30" s="1225"/>
      <c r="C30" s="1225"/>
      <c r="D30" s="1225"/>
      <c r="E30" s="1211" t="s">
        <v>3610</v>
      </c>
      <c r="F30" s="1205" t="s">
        <v>3794</v>
      </c>
      <c r="I30" s="1206"/>
      <c r="J30" s="1212"/>
      <c r="L30" s="1210" t="s">
        <v>4068</v>
      </c>
    </row>
    <row r="31" spans="1:12" s="1205" customFormat="1" ht="12" customHeight="1">
      <c r="A31" s="1202"/>
      <c r="B31" s="1225"/>
      <c r="C31" s="1225"/>
      <c r="D31" s="1225"/>
      <c r="E31" s="1211" t="s">
        <v>3611</v>
      </c>
      <c r="F31" s="1205" t="s">
        <v>3795</v>
      </c>
      <c r="I31" s="1206"/>
      <c r="J31" s="1212"/>
      <c r="L31" s="1210" t="s">
        <v>4068</v>
      </c>
    </row>
    <row r="32" spans="1:12" s="1205" customFormat="1" ht="23.25" customHeight="1">
      <c r="A32" s="1226" t="s">
        <v>3605</v>
      </c>
      <c r="B32" s="1227" t="s">
        <v>3796</v>
      </c>
      <c r="C32" s="1227"/>
      <c r="D32" s="1227"/>
      <c r="E32" s="1209" t="s">
        <v>3607</v>
      </c>
      <c r="F32" s="1228" t="s">
        <v>3797</v>
      </c>
      <c r="G32" s="1228"/>
      <c r="H32" s="1228"/>
      <c r="I32" s="1229" t="s">
        <v>3798</v>
      </c>
      <c r="J32" s="1230" t="s">
        <v>3799</v>
      </c>
      <c r="K32" s="1231" t="s">
        <v>3800</v>
      </c>
      <c r="L32" s="1210" t="s">
        <v>4063</v>
      </c>
    </row>
    <row r="33" spans="1:12" s="1205" customFormat="1" ht="12" customHeight="1">
      <c r="A33" s="1202"/>
      <c r="B33" s="1203"/>
      <c r="C33" s="1203"/>
      <c r="D33" s="1203"/>
      <c r="E33" s="1211" t="s">
        <v>3605</v>
      </c>
      <c r="F33" s="1205" t="s">
        <v>3801</v>
      </c>
      <c r="I33" s="1206"/>
      <c r="J33" s="1212"/>
      <c r="L33" s="1210" t="s">
        <v>4063</v>
      </c>
    </row>
    <row r="34" spans="1:12" s="1205" customFormat="1" ht="12" customHeight="1">
      <c r="A34" s="1226" t="s">
        <v>3606</v>
      </c>
      <c r="B34" s="1227" t="s">
        <v>4031</v>
      </c>
      <c r="C34" s="1227"/>
      <c r="D34" s="1227" t="s">
        <v>3838</v>
      </c>
      <c r="E34" s="1209" t="s">
        <v>3607</v>
      </c>
      <c r="F34" s="1232" t="s">
        <v>3802</v>
      </c>
      <c r="G34" s="1232"/>
      <c r="H34" s="1232"/>
      <c r="I34" s="1229"/>
      <c r="J34" s="1230"/>
      <c r="K34" s="1231"/>
      <c r="L34" s="1210" t="s">
        <v>4063</v>
      </c>
    </row>
    <row r="35" spans="1:12" s="1205" customFormat="1" ht="12" customHeight="1">
      <c r="A35" s="1226" t="s">
        <v>3608</v>
      </c>
      <c r="B35" s="1227" t="s">
        <v>4032</v>
      </c>
      <c r="C35" s="1227"/>
      <c r="D35" s="1227" t="s">
        <v>3835</v>
      </c>
      <c r="E35" s="1209" t="s">
        <v>3607</v>
      </c>
      <c r="F35" s="1232" t="s">
        <v>3803</v>
      </c>
      <c r="G35" s="1232"/>
      <c r="H35" s="1232"/>
      <c r="I35" s="1229"/>
      <c r="J35" s="1230"/>
      <c r="K35" s="1231"/>
      <c r="L35" s="1210" t="s">
        <v>4063</v>
      </c>
    </row>
    <row r="36" spans="1:12" s="1205" customFormat="1" ht="12" customHeight="1">
      <c r="A36" s="1202"/>
      <c r="B36" s="1219"/>
      <c r="C36" s="1219"/>
      <c r="D36" s="1203" t="s">
        <v>3804</v>
      </c>
      <c r="E36" s="1211" t="s">
        <v>3605</v>
      </c>
      <c r="F36" s="1233" t="s">
        <v>3805</v>
      </c>
      <c r="I36" s="1206"/>
      <c r="J36" s="1212"/>
      <c r="L36" s="1210" t="s">
        <v>4068</v>
      </c>
    </row>
    <row r="37" spans="1:12" s="1205" customFormat="1" ht="12" customHeight="1">
      <c r="A37" s="1226" t="s">
        <v>3609</v>
      </c>
      <c r="B37" s="1227" t="s">
        <v>3806</v>
      </c>
      <c r="C37" s="1227"/>
      <c r="D37" s="1227"/>
      <c r="E37" s="1209" t="s">
        <v>3607</v>
      </c>
      <c r="F37" s="1232" t="s">
        <v>584</v>
      </c>
      <c r="G37" s="1232"/>
      <c r="H37" s="1232"/>
      <c r="I37" s="1229" t="s">
        <v>463</v>
      </c>
      <c r="J37" s="1230" t="s">
        <v>3807</v>
      </c>
      <c r="K37" s="1231" t="s">
        <v>3808</v>
      </c>
      <c r="L37" s="1210" t="s">
        <v>4068</v>
      </c>
    </row>
    <row r="38" spans="1:12" s="1205" customFormat="1" ht="12" customHeight="1">
      <c r="A38" s="1226" t="s">
        <v>3610</v>
      </c>
      <c r="B38" s="1227" t="s">
        <v>4033</v>
      </c>
      <c r="C38" s="1227"/>
      <c r="D38" s="1227" t="s">
        <v>3804</v>
      </c>
      <c r="E38" s="1209" t="s">
        <v>3607</v>
      </c>
      <c r="F38" s="1232" t="s">
        <v>3809</v>
      </c>
      <c r="G38" s="1232"/>
      <c r="H38" s="1232"/>
      <c r="I38" s="1229"/>
      <c r="J38" s="1230"/>
      <c r="K38" s="1231"/>
      <c r="L38" s="1210" t="s">
        <v>4068</v>
      </c>
    </row>
    <row r="39" spans="1:12" s="1205" customFormat="1" ht="12" customHeight="1">
      <c r="A39" s="1226" t="s">
        <v>3611</v>
      </c>
      <c r="B39" s="1227" t="s">
        <v>4034</v>
      </c>
      <c r="C39" s="1227"/>
      <c r="D39" s="1227" t="s">
        <v>4035</v>
      </c>
      <c r="E39" s="1209" t="s">
        <v>3607</v>
      </c>
      <c r="F39" s="1232" t="s">
        <v>3810</v>
      </c>
      <c r="G39" s="1232"/>
      <c r="H39" s="1232"/>
      <c r="I39" s="1229"/>
      <c r="J39" s="1230"/>
      <c r="K39" s="1231"/>
      <c r="L39" s="1210" t="s">
        <v>4063</v>
      </c>
    </row>
    <row r="40" spans="1:12" s="1205" customFormat="1" ht="12" customHeight="1">
      <c r="B40" s="1234" t="s">
        <v>4036</v>
      </c>
      <c r="C40" s="1234"/>
      <c r="D40" s="1235"/>
      <c r="E40" s="1211" t="s">
        <v>3605</v>
      </c>
      <c r="F40" s="1205" t="s">
        <v>3811</v>
      </c>
      <c r="I40" s="1206"/>
      <c r="J40" s="1212"/>
      <c r="L40" s="1210" t="s">
        <v>4068</v>
      </c>
    </row>
    <row r="41" spans="1:12" s="1205" customFormat="1" ht="12" customHeight="1">
      <c r="B41" s="1234"/>
      <c r="C41" s="1234"/>
      <c r="D41" s="1235"/>
      <c r="E41" s="1211" t="s">
        <v>3606</v>
      </c>
      <c r="F41" s="1205" t="s">
        <v>3812</v>
      </c>
      <c r="I41" s="1206"/>
      <c r="J41" s="1212"/>
      <c r="L41" s="1210" t="s">
        <v>4063</v>
      </c>
    </row>
    <row r="42" spans="1:12" s="1205" customFormat="1" ht="12" customHeight="1">
      <c r="B42" s="1234"/>
      <c r="C42" s="1234"/>
      <c r="D42" s="1202"/>
      <c r="E42" s="1236" t="s">
        <v>3608</v>
      </c>
      <c r="F42" s="1237" t="s">
        <v>3968</v>
      </c>
      <c r="G42" s="1237"/>
      <c r="H42" s="1237"/>
      <c r="I42" s="1237"/>
      <c r="J42" s="1237"/>
      <c r="K42" s="1238"/>
      <c r="L42" s="1210" t="s">
        <v>4063</v>
      </c>
    </row>
    <row r="43" spans="1:12" s="1205" customFormat="1" ht="23.25" customHeight="1">
      <c r="A43" s="1226" t="s">
        <v>3944</v>
      </c>
      <c r="B43" s="1239" t="s">
        <v>3813</v>
      </c>
      <c r="C43" s="1239"/>
      <c r="D43" s="1239"/>
      <c r="E43" s="1209" t="s">
        <v>3607</v>
      </c>
      <c r="F43" s="1240" t="s">
        <v>3814</v>
      </c>
      <c r="G43" s="1240"/>
      <c r="H43" s="1240"/>
      <c r="I43" s="1229" t="s">
        <v>3798</v>
      </c>
      <c r="J43" s="1230" t="s">
        <v>2696</v>
      </c>
      <c r="K43" s="1231" t="s">
        <v>3800</v>
      </c>
      <c r="L43" s="1210" t="s">
        <v>4068</v>
      </c>
    </row>
    <row r="44" spans="1:12" s="1205" customFormat="1" ht="12" customHeight="1">
      <c r="A44" s="1202"/>
      <c r="B44" s="1203"/>
      <c r="C44" s="1203"/>
      <c r="D44" s="1203"/>
      <c r="E44" s="1211" t="s">
        <v>3605</v>
      </c>
      <c r="F44" s="1205" t="s">
        <v>3815</v>
      </c>
      <c r="I44" s="1206"/>
      <c r="J44" s="1212"/>
      <c r="L44" s="1210" t="s">
        <v>4063</v>
      </c>
    </row>
    <row r="45" spans="1:12" s="1205" customFormat="1" ht="12" customHeight="1">
      <c r="A45" s="1202"/>
      <c r="B45" s="1203"/>
      <c r="C45" s="1203"/>
      <c r="D45" s="1203"/>
      <c r="E45" s="1211" t="s">
        <v>3606</v>
      </c>
      <c r="F45" s="1205" t="s">
        <v>3816</v>
      </c>
      <c r="I45" s="1206"/>
      <c r="J45" s="1212"/>
      <c r="L45" s="1210" t="s">
        <v>4063</v>
      </c>
    </row>
    <row r="46" spans="1:12" s="1205" customFormat="1" ht="12" customHeight="1">
      <c r="A46" s="1226" t="s">
        <v>3945</v>
      </c>
      <c r="B46" s="1227" t="s">
        <v>3817</v>
      </c>
      <c r="C46" s="1227"/>
      <c r="D46" s="1227"/>
      <c r="E46" s="1209" t="s">
        <v>3607</v>
      </c>
      <c r="F46" s="1232" t="s">
        <v>3818</v>
      </c>
      <c r="G46" s="1232"/>
      <c r="H46" s="1232"/>
      <c r="I46" s="1229"/>
      <c r="J46" s="1230"/>
      <c r="K46" s="1231"/>
      <c r="L46" s="1210" t="s">
        <v>4068</v>
      </c>
    </row>
    <row r="47" spans="1:12" s="1205" customFormat="1" ht="12" customHeight="1">
      <c r="A47" s="1241">
        <v>10</v>
      </c>
      <c r="B47" s="1227" t="s">
        <v>3819</v>
      </c>
      <c r="C47" s="1227"/>
      <c r="D47" s="1227"/>
      <c r="E47" s="1209" t="s">
        <v>3607</v>
      </c>
      <c r="F47" s="1232" t="s">
        <v>3820</v>
      </c>
      <c r="G47" s="1232"/>
      <c r="H47" s="1232"/>
      <c r="I47" s="1229"/>
      <c r="J47" s="1230"/>
      <c r="K47" s="1231"/>
      <c r="L47" s="1210" t="s">
        <v>4068</v>
      </c>
    </row>
    <row r="48" spans="1:12" s="1205" customFormat="1" ht="12" customHeight="1">
      <c r="A48" s="1202"/>
      <c r="B48" s="1203"/>
      <c r="C48" s="1203"/>
      <c r="D48" s="1203"/>
      <c r="E48" s="1211" t="s">
        <v>3605</v>
      </c>
      <c r="F48" s="1205" t="s">
        <v>3821</v>
      </c>
      <c r="I48" s="1206"/>
      <c r="J48" s="1212"/>
      <c r="L48" s="1210" t="s">
        <v>4068</v>
      </c>
    </row>
    <row r="49" spans="1:12" s="1205" customFormat="1" ht="12" customHeight="1">
      <c r="A49" s="1241">
        <v>11</v>
      </c>
      <c r="B49" s="1227" t="s">
        <v>3822</v>
      </c>
      <c r="C49" s="1227"/>
      <c r="D49" s="1227"/>
      <c r="E49" s="1209" t="s">
        <v>3607</v>
      </c>
      <c r="F49" s="1232" t="s">
        <v>3823</v>
      </c>
      <c r="G49" s="1232"/>
      <c r="H49" s="1232"/>
      <c r="I49" s="1229"/>
      <c r="J49" s="1230"/>
      <c r="K49" s="1231"/>
      <c r="L49" s="1210" t="s">
        <v>4068</v>
      </c>
    </row>
    <row r="50" spans="1:12" s="1205" customFormat="1" ht="12" customHeight="1">
      <c r="A50" s="1241">
        <v>12</v>
      </c>
      <c r="B50" s="1227" t="s">
        <v>3824</v>
      </c>
      <c r="C50" s="1227"/>
      <c r="D50" s="1227"/>
      <c r="E50" s="1209" t="s">
        <v>3607</v>
      </c>
      <c r="F50" s="1232" t="s">
        <v>3825</v>
      </c>
      <c r="G50" s="1232"/>
      <c r="H50" s="1232"/>
      <c r="I50" s="1229"/>
      <c r="J50" s="1230"/>
      <c r="K50" s="1231"/>
      <c r="L50" s="1210" t="s">
        <v>4068</v>
      </c>
    </row>
    <row r="51" spans="1:12" s="1205" customFormat="1" ht="12" customHeight="1">
      <c r="A51" s="1202"/>
      <c r="B51" s="1203"/>
      <c r="C51" s="1203"/>
      <c r="D51" s="1203"/>
      <c r="E51" s="1211" t="s">
        <v>3605</v>
      </c>
      <c r="F51" s="1205" t="s">
        <v>3826</v>
      </c>
      <c r="I51" s="1206"/>
      <c r="J51" s="1212"/>
      <c r="L51" s="1210" t="s">
        <v>4063</v>
      </c>
    </row>
    <row r="52" spans="1:12" s="1205" customFormat="1" ht="12" customHeight="1">
      <c r="A52" s="1202"/>
      <c r="B52" s="1203"/>
      <c r="C52" s="1203"/>
      <c r="D52" s="1203"/>
      <c r="E52" s="1211" t="s">
        <v>3606</v>
      </c>
      <c r="F52" s="1205" t="s">
        <v>3827</v>
      </c>
      <c r="I52" s="1206"/>
      <c r="J52" s="1212"/>
      <c r="L52" s="1210" t="s">
        <v>4063</v>
      </c>
    </row>
    <row r="53" spans="1:12" s="1205" customFormat="1" ht="12" customHeight="1">
      <c r="A53" s="1241">
        <v>13</v>
      </c>
      <c r="B53" s="1227" t="s">
        <v>3828</v>
      </c>
      <c r="C53" s="1227"/>
      <c r="D53" s="1227"/>
      <c r="E53" s="1209" t="s">
        <v>3607</v>
      </c>
      <c r="F53" s="1232" t="s">
        <v>3829</v>
      </c>
      <c r="G53" s="1232"/>
      <c r="H53" s="1232"/>
      <c r="I53" s="1229"/>
      <c r="J53" s="1230"/>
      <c r="K53" s="1231"/>
      <c r="L53" s="1210" t="s">
        <v>4068</v>
      </c>
    </row>
    <row r="54" spans="1:12" s="1205" customFormat="1" ht="12" customHeight="1">
      <c r="A54" s="1202"/>
      <c r="B54" s="1203"/>
      <c r="C54" s="1203"/>
      <c r="D54" s="1203"/>
      <c r="E54" s="1211" t="s">
        <v>3605</v>
      </c>
      <c r="F54" s="1205" t="s">
        <v>3830</v>
      </c>
      <c r="I54" s="1206"/>
      <c r="J54" s="1212"/>
      <c r="L54" s="1210" t="s">
        <v>4068</v>
      </c>
    </row>
    <row r="55" spans="1:12" s="1205" customFormat="1" ht="12" customHeight="1">
      <c r="A55" s="1241">
        <v>14</v>
      </c>
      <c r="B55" s="1227" t="s">
        <v>3831</v>
      </c>
      <c r="C55" s="1227"/>
      <c r="D55" s="1227"/>
      <c r="E55" s="1209" t="s">
        <v>3607</v>
      </c>
      <c r="F55" s="1232" t="s">
        <v>3832</v>
      </c>
      <c r="G55" s="1232"/>
      <c r="H55" s="1232"/>
      <c r="I55" s="1229"/>
      <c r="J55" s="1230"/>
      <c r="K55" s="1231"/>
      <c r="L55" s="1210" t="s">
        <v>4063</v>
      </c>
    </row>
    <row r="56" spans="1:12" s="1205" customFormat="1" ht="12" customHeight="1">
      <c r="A56" s="1241">
        <v>15</v>
      </c>
      <c r="B56" s="1227" t="s">
        <v>3833</v>
      </c>
      <c r="C56" s="1227"/>
      <c r="D56" s="1227"/>
      <c r="E56" s="1209" t="s">
        <v>3607</v>
      </c>
      <c r="F56" s="1232" t="s">
        <v>3834</v>
      </c>
      <c r="G56" s="1232"/>
      <c r="H56" s="1232"/>
      <c r="I56" s="1229"/>
      <c r="J56" s="1230"/>
      <c r="K56" s="1231"/>
      <c r="L56" s="1210" t="s">
        <v>4068</v>
      </c>
    </row>
    <row r="57" spans="1:12" s="1205" customFormat="1" ht="12" customHeight="1">
      <c r="A57" s="1202"/>
      <c r="B57" s="1219"/>
      <c r="C57" s="1219"/>
      <c r="D57" s="1203" t="s">
        <v>3835</v>
      </c>
      <c r="E57" s="1211" t="s">
        <v>3605</v>
      </c>
      <c r="F57" s="1205" t="s">
        <v>3836</v>
      </c>
      <c r="I57" s="1206"/>
      <c r="J57" s="1212"/>
      <c r="L57" s="1210" t="s">
        <v>4063</v>
      </c>
    </row>
    <row r="58" spans="1:12" s="1205" customFormat="1" ht="12" customHeight="1">
      <c r="A58" s="1202"/>
      <c r="B58" s="1219"/>
      <c r="C58" s="1219"/>
      <c r="D58" s="1203" t="s">
        <v>3804</v>
      </c>
      <c r="E58" s="1211" t="s">
        <v>3606</v>
      </c>
      <c r="F58" s="1205" t="s">
        <v>3837</v>
      </c>
      <c r="I58" s="1206"/>
      <c r="J58" s="1212"/>
      <c r="L58" s="1210" t="s">
        <v>4068</v>
      </c>
    </row>
    <row r="59" spans="1:12" s="1205" customFormat="1" ht="12" customHeight="1">
      <c r="A59" s="1202"/>
      <c r="B59" s="1219"/>
      <c r="C59" s="1219"/>
      <c r="D59" s="1203" t="s">
        <v>3838</v>
      </c>
      <c r="E59" s="1211" t="s">
        <v>3608</v>
      </c>
      <c r="F59" s="1205" t="s">
        <v>3839</v>
      </c>
      <c r="I59" s="1206"/>
      <c r="J59" s="1212"/>
      <c r="L59" s="1210" t="s">
        <v>4068</v>
      </c>
    </row>
    <row r="60" spans="1:12" s="1205" customFormat="1" ht="12" customHeight="1">
      <c r="A60" s="1241">
        <v>16</v>
      </c>
      <c r="B60" s="1242" t="s">
        <v>3840</v>
      </c>
      <c r="C60" s="1242"/>
      <c r="D60" s="1227"/>
      <c r="E60" s="1209" t="s">
        <v>3607</v>
      </c>
      <c r="F60" s="1232" t="s">
        <v>3841</v>
      </c>
      <c r="G60" s="1232"/>
      <c r="H60" s="1232"/>
      <c r="I60" s="1229"/>
      <c r="J60" s="1230"/>
      <c r="K60" s="1231"/>
      <c r="L60" s="1210" t="s">
        <v>4068</v>
      </c>
    </row>
    <row r="61" spans="1:12" s="1205" customFormat="1" ht="12" customHeight="1">
      <c r="A61" s="1202"/>
      <c r="B61" s="1243"/>
      <c r="C61" s="1243"/>
      <c r="D61" s="1203"/>
      <c r="E61" s="1211" t="s">
        <v>3605</v>
      </c>
      <c r="F61" s="1205" t="s">
        <v>3842</v>
      </c>
      <c r="I61" s="1206"/>
      <c r="J61" s="1212"/>
      <c r="L61" s="1210" t="s">
        <v>4068</v>
      </c>
    </row>
    <row r="62" spans="1:12" s="1205" customFormat="1" ht="12" customHeight="1">
      <c r="A62" s="1202"/>
      <c r="B62" s="1243"/>
      <c r="C62" s="1243"/>
      <c r="D62" s="1203"/>
      <c r="E62" s="1211" t="s">
        <v>3606</v>
      </c>
      <c r="F62" s="1205" t="s">
        <v>3843</v>
      </c>
      <c r="I62" s="1206"/>
      <c r="J62" s="1212"/>
      <c r="L62" s="1210" t="s">
        <v>4068</v>
      </c>
    </row>
    <row r="63" spans="1:12" s="1205" customFormat="1" ht="12" customHeight="1">
      <c r="A63" s="1202"/>
      <c r="B63" s="1203"/>
      <c r="C63" s="1203"/>
      <c r="D63" s="1203"/>
      <c r="E63" s="1211" t="s">
        <v>3608</v>
      </c>
      <c r="F63" s="1205" t="s">
        <v>3844</v>
      </c>
      <c r="I63" s="1206"/>
      <c r="J63" s="1212"/>
      <c r="L63" s="1210" t="s">
        <v>4068</v>
      </c>
    </row>
    <row r="64" spans="1:12" s="1205" customFormat="1" ht="12" customHeight="1">
      <c r="A64" s="1241" t="s">
        <v>3946</v>
      </c>
      <c r="B64" s="1242" t="s">
        <v>4039</v>
      </c>
      <c r="C64" s="1242"/>
      <c r="D64" s="1227" t="s">
        <v>4035</v>
      </c>
      <c r="E64" s="1209" t="s">
        <v>3607</v>
      </c>
      <c r="F64" s="1244" t="s">
        <v>3845</v>
      </c>
      <c r="G64" s="1245"/>
      <c r="H64" s="1232"/>
      <c r="I64" s="1229"/>
      <c r="J64" s="1230"/>
      <c r="K64" s="1231"/>
      <c r="L64" s="1210" t="s">
        <v>4068</v>
      </c>
    </row>
    <row r="65" spans="1:12" s="1205" customFormat="1" ht="12" customHeight="1">
      <c r="A65" s="1202"/>
      <c r="B65" s="1246"/>
      <c r="C65" s="1246"/>
      <c r="D65" s="1203"/>
      <c r="E65" s="1224" t="s">
        <v>3605</v>
      </c>
      <c r="F65" s="1205" t="s">
        <v>3846</v>
      </c>
      <c r="I65" s="1206"/>
      <c r="J65" s="1212"/>
      <c r="L65" s="1210" t="s">
        <v>4063</v>
      </c>
    </row>
    <row r="66" spans="1:12" s="1205" customFormat="1" ht="12" customHeight="1">
      <c r="A66" s="1241" t="s">
        <v>3947</v>
      </c>
      <c r="B66" s="1242" t="s">
        <v>4041</v>
      </c>
      <c r="C66" s="1242"/>
      <c r="D66" s="1227"/>
      <c r="E66" s="1209" t="s">
        <v>3607</v>
      </c>
      <c r="F66" s="1232" t="s">
        <v>3928</v>
      </c>
      <c r="G66" s="1232"/>
      <c r="H66" s="1232"/>
      <c r="I66" s="1229"/>
      <c r="J66" s="1230"/>
      <c r="K66" s="1231"/>
      <c r="L66" s="1210" t="s">
        <v>4068</v>
      </c>
    </row>
    <row r="67" spans="1:12" s="1205" customFormat="1" ht="12" customHeight="1">
      <c r="A67" s="1202"/>
      <c r="B67" s="1243"/>
      <c r="C67" s="1243"/>
      <c r="D67" s="1203" t="s">
        <v>3847</v>
      </c>
      <c r="E67" s="1211" t="s">
        <v>3605</v>
      </c>
      <c r="F67" s="1205" t="s">
        <v>3848</v>
      </c>
      <c r="I67" s="1206"/>
      <c r="J67" s="1212"/>
      <c r="L67" s="1210" t="s">
        <v>4063</v>
      </c>
    </row>
    <row r="68" spans="1:12" s="1205" customFormat="1" ht="12" customHeight="1">
      <c r="A68" s="1217"/>
      <c r="B68" s="1218" t="s">
        <v>3849</v>
      </c>
      <c r="C68" s="1218"/>
      <c r="D68" s="1218"/>
      <c r="E68" s="1211" t="s">
        <v>3606</v>
      </c>
      <c r="F68" s="1247" t="s">
        <v>3850</v>
      </c>
      <c r="G68" s="1247"/>
      <c r="H68" s="1247"/>
      <c r="I68" s="1248"/>
      <c r="J68" s="1247"/>
      <c r="K68" s="1249"/>
      <c r="L68" s="1210" t="s">
        <v>4068</v>
      </c>
    </row>
    <row r="69" spans="1:12" s="1205" customFormat="1" ht="12" customHeight="1">
      <c r="A69" s="1202"/>
      <c r="B69" s="1203"/>
      <c r="C69" s="1203"/>
      <c r="D69" s="1203"/>
      <c r="E69" s="1211" t="s">
        <v>3608</v>
      </c>
      <c r="F69" s="1205" t="s">
        <v>3851</v>
      </c>
      <c r="I69" s="1206"/>
      <c r="L69" s="1210" t="s">
        <v>4068</v>
      </c>
    </row>
    <row r="70" spans="1:12" s="1205" customFormat="1" ht="12" customHeight="1">
      <c r="A70" s="1202"/>
      <c r="B70" s="1203"/>
      <c r="C70" s="1203"/>
      <c r="D70" s="1203"/>
      <c r="E70" s="1211" t="s">
        <v>3609</v>
      </c>
      <c r="F70" s="1205" t="s">
        <v>3852</v>
      </c>
      <c r="I70" s="1206"/>
      <c r="L70" s="1210" t="s">
        <v>4063</v>
      </c>
    </row>
    <row r="71" spans="1:12" s="1205" customFormat="1" ht="23.25" customHeight="1">
      <c r="A71" s="1202"/>
      <c r="C71" s="1219"/>
      <c r="D71" s="1203" t="s">
        <v>3835</v>
      </c>
      <c r="E71" s="1211" t="s">
        <v>3610</v>
      </c>
      <c r="F71" s="1250" t="s">
        <v>3970</v>
      </c>
      <c r="G71" s="1250"/>
      <c r="H71" s="1250"/>
      <c r="I71" s="1206" t="s">
        <v>3853</v>
      </c>
      <c r="J71" s="1212" t="s">
        <v>3854</v>
      </c>
      <c r="K71" s="1205" t="s">
        <v>3855</v>
      </c>
      <c r="L71" s="1210" t="s">
        <v>4063</v>
      </c>
    </row>
    <row r="72" spans="1:12" s="1205" customFormat="1" ht="12" customHeight="1">
      <c r="A72" s="1202"/>
      <c r="C72" s="1219"/>
      <c r="D72" s="1203" t="s">
        <v>3804</v>
      </c>
      <c r="E72" s="1211" t="s">
        <v>3611</v>
      </c>
      <c r="F72" s="1205" t="s">
        <v>3985</v>
      </c>
      <c r="I72" s="1206"/>
      <c r="J72" s="1212"/>
      <c r="L72" s="1210" t="s">
        <v>4063</v>
      </c>
    </row>
    <row r="73" spans="1:12" s="1205" customFormat="1" ht="12" customHeight="1">
      <c r="A73" s="1202"/>
      <c r="B73" s="1203"/>
      <c r="C73" s="1203"/>
      <c r="D73" s="1203"/>
      <c r="E73" s="1211"/>
      <c r="F73" s="1205" t="s">
        <v>3986</v>
      </c>
      <c r="I73" s="1206"/>
      <c r="J73" s="1212"/>
      <c r="L73" s="1210" t="s">
        <v>4063</v>
      </c>
    </row>
    <row r="74" spans="1:12" s="1205" customFormat="1" ht="12" customHeight="1">
      <c r="A74" s="1202"/>
      <c r="B74" s="1203"/>
      <c r="C74" s="1203"/>
      <c r="D74" s="1203"/>
      <c r="E74" s="1211"/>
      <c r="F74" s="1251" t="s">
        <v>3987</v>
      </c>
      <c r="G74" s="1251"/>
      <c r="H74" s="1251"/>
      <c r="I74" s="1206" t="s">
        <v>3853</v>
      </c>
      <c r="J74" s="1212" t="s">
        <v>3854</v>
      </c>
      <c r="K74" s="1205" t="s">
        <v>3855</v>
      </c>
      <c r="L74" s="1210" t="s">
        <v>4063</v>
      </c>
    </row>
    <row r="75" spans="1:12" s="1205" customFormat="1" ht="12" customHeight="1">
      <c r="A75" s="1202"/>
      <c r="B75" s="1203"/>
      <c r="C75" s="1203"/>
      <c r="D75" s="1203"/>
      <c r="E75" s="1211" t="s">
        <v>3944</v>
      </c>
      <c r="F75" s="1252" t="s">
        <v>3988</v>
      </c>
      <c r="G75" s="1252"/>
      <c r="H75" s="1252"/>
      <c r="I75" s="1206"/>
      <c r="J75" s="1212"/>
      <c r="L75" s="1210" t="s">
        <v>4063</v>
      </c>
    </row>
    <row r="76" spans="1:12" s="1205" customFormat="1" ht="12" customHeight="1">
      <c r="A76" s="1202"/>
      <c r="B76" s="1203"/>
      <c r="C76" s="1203"/>
      <c r="D76" s="1203"/>
      <c r="E76" s="1236" t="s">
        <v>3945</v>
      </c>
      <c r="F76" s="1237" t="s">
        <v>3968</v>
      </c>
      <c r="G76" s="1237"/>
      <c r="H76" s="1237"/>
      <c r="I76" s="1237"/>
      <c r="J76" s="1237"/>
      <c r="K76" s="1238"/>
      <c r="L76" s="1210" t="s">
        <v>4063</v>
      </c>
    </row>
    <row r="77" spans="1:12" s="1205" customFormat="1" ht="12" customHeight="1">
      <c r="A77" s="1241">
        <v>19</v>
      </c>
      <c r="B77" s="1227" t="s">
        <v>4040</v>
      </c>
      <c r="C77" s="1227"/>
      <c r="D77" s="1227" t="s">
        <v>3835</v>
      </c>
      <c r="E77" s="1209" t="s">
        <v>3607</v>
      </c>
      <c r="F77" s="1232" t="s">
        <v>3856</v>
      </c>
      <c r="G77" s="1232"/>
      <c r="H77" s="1232"/>
      <c r="I77" s="1229"/>
      <c r="J77" s="1230"/>
      <c r="K77" s="1232"/>
      <c r="L77" s="1210" t="s">
        <v>4063</v>
      </c>
    </row>
    <row r="78" spans="1:12" s="1205" customFormat="1" ht="12" customHeight="1">
      <c r="A78" s="1202"/>
      <c r="B78" s="1203"/>
      <c r="C78" s="1203"/>
      <c r="D78" s="1203"/>
      <c r="E78" s="1211" t="s">
        <v>3605</v>
      </c>
      <c r="F78" s="1205" t="s">
        <v>3857</v>
      </c>
      <c r="I78" s="1206"/>
      <c r="J78" s="1212"/>
      <c r="L78" s="1210" t="s">
        <v>4063</v>
      </c>
    </row>
    <row r="79" spans="1:12" s="1205" customFormat="1" ht="12" customHeight="1">
      <c r="A79" s="1202"/>
      <c r="C79" s="1219"/>
      <c r="D79" s="1203" t="s">
        <v>3858</v>
      </c>
      <c r="E79" s="1211" t="s">
        <v>3606</v>
      </c>
      <c r="F79" s="1205" t="s">
        <v>3859</v>
      </c>
      <c r="I79" s="1206"/>
      <c r="J79" s="1212"/>
      <c r="L79" s="1210" t="s">
        <v>4063</v>
      </c>
    </row>
    <row r="80" spans="1:12" s="1205" customFormat="1" ht="12" customHeight="1">
      <c r="A80" s="1202"/>
      <c r="B80" s="1203"/>
      <c r="C80" s="1203"/>
      <c r="D80" s="1203"/>
      <c r="E80" s="1211" t="s">
        <v>3608</v>
      </c>
      <c r="F80" s="1220" t="s">
        <v>3860</v>
      </c>
      <c r="G80" s="1220"/>
      <c r="H80" s="1220"/>
      <c r="I80" s="1206"/>
      <c r="J80" s="1212"/>
      <c r="L80" s="1210" t="s">
        <v>4063</v>
      </c>
    </row>
    <row r="81" spans="1:12" s="1205" customFormat="1" ht="12" customHeight="1">
      <c r="A81" s="1241">
        <v>20</v>
      </c>
      <c r="B81" s="1227" t="s">
        <v>4037</v>
      </c>
      <c r="C81" s="1227"/>
      <c r="D81" s="1227" t="s">
        <v>3835</v>
      </c>
      <c r="E81" s="1209" t="s">
        <v>3607</v>
      </c>
      <c r="F81" s="1253" t="s">
        <v>3861</v>
      </c>
      <c r="G81" s="1232"/>
      <c r="H81" s="1232"/>
      <c r="I81" s="1229"/>
      <c r="J81" s="1230"/>
      <c r="K81" s="1232"/>
      <c r="L81" s="1210" t="s">
        <v>4068</v>
      </c>
    </row>
    <row r="82" spans="1:12" s="1205" customFormat="1" ht="12" customHeight="1">
      <c r="A82" s="1241">
        <v>21</v>
      </c>
      <c r="B82" s="1227" t="s">
        <v>3862</v>
      </c>
      <c r="C82" s="1227"/>
      <c r="D82" s="1227"/>
      <c r="E82" s="1209" t="s">
        <v>3607</v>
      </c>
      <c r="F82" s="1232" t="s">
        <v>3863</v>
      </c>
      <c r="G82" s="1232"/>
      <c r="H82" s="1232"/>
      <c r="I82" s="1229"/>
      <c r="J82" s="1230"/>
      <c r="K82" s="1232"/>
      <c r="L82" s="1210" t="s">
        <v>4063</v>
      </c>
    </row>
    <row r="83" spans="1:12" s="1205" customFormat="1" ht="12" customHeight="1">
      <c r="A83" s="1202"/>
      <c r="B83" s="1203"/>
      <c r="C83" s="1203"/>
      <c r="D83" s="1203"/>
      <c r="E83" s="1211" t="s">
        <v>3605</v>
      </c>
      <c r="F83" s="1205" t="s">
        <v>3864</v>
      </c>
      <c r="I83" s="1206"/>
      <c r="J83" s="1212"/>
      <c r="L83" s="1210" t="s">
        <v>4063</v>
      </c>
    </row>
    <row r="84" spans="1:12" s="1205" customFormat="1" ht="12" customHeight="1">
      <c r="A84" s="1241">
        <v>22</v>
      </c>
      <c r="B84" s="1242" t="s">
        <v>3865</v>
      </c>
      <c r="C84" s="1242"/>
      <c r="D84" s="1227"/>
      <c r="E84" s="1209" t="s">
        <v>3607</v>
      </c>
      <c r="F84" s="1232" t="s">
        <v>3971</v>
      </c>
      <c r="G84" s="1232"/>
      <c r="H84" s="1232"/>
      <c r="I84" s="1229"/>
      <c r="J84" s="1230"/>
      <c r="K84" s="1231"/>
      <c r="L84" s="1210" t="s">
        <v>4063</v>
      </c>
    </row>
    <row r="85" spans="1:12" s="1205" customFormat="1" ht="12" customHeight="1">
      <c r="A85" s="1202"/>
      <c r="B85" s="1243"/>
      <c r="C85" s="1243"/>
      <c r="D85" s="1203"/>
      <c r="E85" s="1211" t="s">
        <v>3605</v>
      </c>
      <c r="F85" s="1205" t="s">
        <v>3183</v>
      </c>
      <c r="I85" s="1206"/>
      <c r="J85" s="1212"/>
      <c r="L85" s="1210" t="s">
        <v>4063</v>
      </c>
    </row>
    <row r="86" spans="1:12" s="1205" customFormat="1" ht="12" customHeight="1">
      <c r="A86" s="1202"/>
      <c r="B86" s="1203"/>
      <c r="C86" s="1203"/>
      <c r="D86" s="1203"/>
      <c r="E86" s="1211" t="s">
        <v>3606</v>
      </c>
      <c r="F86" s="1205" t="s">
        <v>3866</v>
      </c>
      <c r="I86" s="1206"/>
      <c r="J86" s="1212"/>
      <c r="L86" s="1210" t="s">
        <v>4063</v>
      </c>
    </row>
    <row r="87" spans="1:12" s="1205" customFormat="1" ht="12" customHeight="1">
      <c r="A87" s="1202"/>
      <c r="B87" s="1203"/>
      <c r="C87" s="1203"/>
      <c r="D87" s="1203"/>
      <c r="E87" s="1211" t="s">
        <v>3608</v>
      </c>
      <c r="F87" s="1205" t="s">
        <v>623</v>
      </c>
      <c r="I87" s="1206"/>
      <c r="J87" s="1212"/>
      <c r="L87" s="1210" t="s">
        <v>4063</v>
      </c>
    </row>
    <row r="88" spans="1:12" s="1205" customFormat="1" ht="12" customHeight="1">
      <c r="A88" s="1202"/>
      <c r="B88" s="1203"/>
      <c r="C88" s="1203"/>
      <c r="D88" s="1203"/>
      <c r="E88" s="1211" t="s">
        <v>3609</v>
      </c>
      <c r="F88" s="1205" t="s">
        <v>830</v>
      </c>
      <c r="I88" s="1206"/>
      <c r="J88" s="1212"/>
      <c r="L88" s="1210" t="s">
        <v>4063</v>
      </c>
    </row>
    <row r="89" spans="1:12" s="1205" customFormat="1" ht="12" customHeight="1">
      <c r="A89" s="1202"/>
      <c r="B89" s="1203"/>
      <c r="C89" s="1203"/>
      <c r="D89" s="1203"/>
      <c r="E89" s="1211" t="s">
        <v>3610</v>
      </c>
      <c r="F89" s="1205" t="s">
        <v>1997</v>
      </c>
      <c r="I89" s="1206"/>
      <c r="J89" s="1212"/>
      <c r="L89" s="1210" t="s">
        <v>4063</v>
      </c>
    </row>
    <row r="90" spans="1:12" s="1205" customFormat="1" ht="12" customHeight="1">
      <c r="A90" s="1202"/>
      <c r="B90" s="1203"/>
      <c r="C90" s="1203"/>
      <c r="D90" s="1203"/>
      <c r="E90" s="1236" t="s">
        <v>3611</v>
      </c>
      <c r="F90" s="1205" t="s">
        <v>4061</v>
      </c>
      <c r="I90" s="1206"/>
      <c r="J90" s="1212"/>
      <c r="L90" s="1210" t="s">
        <v>4068</v>
      </c>
    </row>
    <row r="91" spans="1:12" s="1205" customFormat="1" ht="12" customHeight="1">
      <c r="A91" s="1241">
        <v>23</v>
      </c>
      <c r="B91" s="1227" t="s">
        <v>4038</v>
      </c>
      <c r="C91" s="1227"/>
      <c r="D91" s="1227" t="s">
        <v>3835</v>
      </c>
      <c r="E91" s="1209" t="s">
        <v>3607</v>
      </c>
      <c r="F91" s="1232" t="s">
        <v>3867</v>
      </c>
      <c r="G91" s="1232"/>
      <c r="H91" s="1232"/>
      <c r="I91" s="1229"/>
      <c r="J91" s="1230"/>
      <c r="K91" s="1232"/>
      <c r="L91" s="1210" t="s">
        <v>4068</v>
      </c>
    </row>
    <row r="92" spans="1:12" s="1205" customFormat="1" ht="12" customHeight="1">
      <c r="A92" s="1202"/>
      <c r="C92" s="1219"/>
      <c r="D92" s="1203" t="s">
        <v>3804</v>
      </c>
      <c r="E92" s="1211" t="s">
        <v>3605</v>
      </c>
      <c r="F92" s="1205" t="s">
        <v>3868</v>
      </c>
      <c r="I92" s="1206"/>
      <c r="J92" s="1212"/>
      <c r="L92" s="1210" t="s">
        <v>4063</v>
      </c>
    </row>
    <row r="93" spans="1:12" s="1205" customFormat="1" ht="12" customHeight="1">
      <c r="A93" s="1202"/>
      <c r="C93" s="1219"/>
      <c r="D93" s="1203" t="s">
        <v>3838</v>
      </c>
      <c r="E93" s="1211" t="s">
        <v>3606</v>
      </c>
      <c r="F93" s="1205" t="s">
        <v>3869</v>
      </c>
      <c r="I93" s="1206"/>
      <c r="J93" s="1212"/>
      <c r="L93" s="1210" t="s">
        <v>4063</v>
      </c>
    </row>
    <row r="94" spans="1:12" s="1205" customFormat="1" ht="12" customHeight="1">
      <c r="A94" s="1202"/>
      <c r="C94" s="1219"/>
      <c r="D94" s="1203" t="s">
        <v>3847</v>
      </c>
      <c r="E94" s="1211" t="s">
        <v>3608</v>
      </c>
      <c r="F94" s="1205" t="s">
        <v>3870</v>
      </c>
      <c r="I94" s="1206"/>
      <c r="J94" s="1212"/>
      <c r="L94" s="1210" t="s">
        <v>4063</v>
      </c>
    </row>
    <row r="95" spans="1:12" s="1205" customFormat="1" ht="12" customHeight="1">
      <c r="A95" s="1241">
        <v>24</v>
      </c>
      <c r="B95" s="1254" t="s">
        <v>3871</v>
      </c>
      <c r="C95" s="1254"/>
      <c r="D95" s="1255"/>
      <c r="E95" s="1209" t="s">
        <v>3607</v>
      </c>
      <c r="F95" s="1256" t="s">
        <v>3872</v>
      </c>
      <c r="G95" s="1256"/>
      <c r="H95" s="1256"/>
      <c r="I95" s="1229"/>
      <c r="J95" s="1230"/>
      <c r="K95" s="1232"/>
      <c r="L95" s="1210" t="s">
        <v>4068</v>
      </c>
    </row>
    <row r="96" spans="1:12" s="1205" customFormat="1" ht="12" customHeight="1">
      <c r="A96" s="1257"/>
      <c r="B96" s="1258"/>
      <c r="C96" s="1258"/>
      <c r="D96" s="1259"/>
      <c r="E96" s="1211" t="s">
        <v>3605</v>
      </c>
      <c r="F96" s="1233" t="s">
        <v>1913</v>
      </c>
      <c r="G96" s="1233"/>
      <c r="H96" s="1233"/>
      <c r="I96" s="1206"/>
      <c r="J96" s="1212"/>
      <c r="L96" s="1210" t="s">
        <v>4068</v>
      </c>
    </row>
    <row r="97" spans="1:12" s="1205" customFormat="1" ht="12" customHeight="1">
      <c r="A97" s="1257"/>
      <c r="B97" s="1260"/>
      <c r="C97" s="1260"/>
      <c r="D97" s="1260"/>
      <c r="E97" s="1211" t="s">
        <v>3606</v>
      </c>
      <c r="F97" s="1233" t="s">
        <v>3873</v>
      </c>
      <c r="G97" s="1233"/>
      <c r="H97" s="1233"/>
      <c r="I97" s="1206"/>
      <c r="J97" s="1212"/>
      <c r="L97" s="1210" t="s">
        <v>4068</v>
      </c>
    </row>
    <row r="98" spans="1:12" s="1205" customFormat="1" ht="12" customHeight="1">
      <c r="A98" s="1257"/>
      <c r="B98" s="1260"/>
      <c r="C98" s="1260"/>
      <c r="D98" s="1260"/>
      <c r="E98" s="1211" t="s">
        <v>3608</v>
      </c>
      <c r="F98" s="1233" t="s">
        <v>2942</v>
      </c>
      <c r="G98" s="1233"/>
      <c r="H98" s="1233"/>
      <c r="I98" s="1206"/>
      <c r="J98" s="1212"/>
      <c r="L98" s="1210" t="s">
        <v>4068</v>
      </c>
    </row>
    <row r="99" spans="1:12" s="1205" customFormat="1" ht="12" customHeight="1">
      <c r="A99" s="1257"/>
      <c r="B99" s="1260"/>
      <c r="C99" s="1260"/>
      <c r="D99" s="1260"/>
      <c r="E99" s="1211" t="s">
        <v>3609</v>
      </c>
      <c r="F99" s="1233" t="s">
        <v>3874</v>
      </c>
      <c r="G99" s="1233"/>
      <c r="H99" s="1233"/>
      <c r="I99" s="1206"/>
      <c r="J99" s="1212"/>
      <c r="L99" s="1210" t="s">
        <v>4068</v>
      </c>
    </row>
    <row r="100" spans="1:12" s="1205" customFormat="1" ht="12" customHeight="1">
      <c r="A100" s="1257"/>
      <c r="B100" s="1257"/>
      <c r="C100" s="1257"/>
      <c r="D100" s="1257"/>
      <c r="E100" s="1211" t="s">
        <v>3610</v>
      </c>
      <c r="F100" s="1233" t="s">
        <v>3875</v>
      </c>
      <c r="G100" s="1233"/>
      <c r="H100" s="1233"/>
      <c r="I100" s="1206"/>
      <c r="J100" s="1212"/>
      <c r="L100" s="1210" t="s">
        <v>4068</v>
      </c>
    </row>
    <row r="101" spans="1:12" s="1205" customFormat="1" ht="12" customHeight="1">
      <c r="A101" s="1257"/>
      <c r="B101" s="1257"/>
      <c r="C101" s="1257"/>
      <c r="D101" s="1257"/>
      <c r="E101" s="1211" t="s">
        <v>3611</v>
      </c>
      <c r="F101" s="1233" t="s">
        <v>3876</v>
      </c>
      <c r="G101" s="1233"/>
      <c r="H101" s="1233"/>
      <c r="I101" s="1206"/>
      <c r="J101" s="1212"/>
      <c r="L101" s="1213" t="s">
        <v>4063</v>
      </c>
    </row>
    <row r="102" spans="1:12" s="1205" customFormat="1" ht="12" customHeight="1">
      <c r="A102" s="1257"/>
      <c r="B102" s="1257"/>
      <c r="C102" s="1257"/>
      <c r="D102" s="1257"/>
      <c r="E102" s="1214" t="s">
        <v>3944</v>
      </c>
      <c r="F102" s="1233" t="s">
        <v>3972</v>
      </c>
      <c r="G102" s="1233"/>
      <c r="H102" s="1233"/>
      <c r="I102" s="1206"/>
      <c r="J102" s="1212"/>
      <c r="L102" s="1213" t="s">
        <v>4063</v>
      </c>
    </row>
    <row r="103" spans="1:12" s="1247" customFormat="1" ht="12" customHeight="1">
      <c r="A103" s="1215" t="s">
        <v>3877</v>
      </c>
      <c r="B103" s="1215"/>
      <c r="C103" s="1215"/>
      <c r="D103" s="1215"/>
      <c r="E103" s="1215"/>
      <c r="F103" s="1215"/>
      <c r="G103" s="1215"/>
      <c r="H103" s="1215"/>
      <c r="I103" s="1215"/>
      <c r="J103" s="1215"/>
      <c r="K103" s="1215"/>
      <c r="L103" s="1215"/>
    </row>
    <row r="104" spans="1:12" s="1205" customFormat="1" ht="12" customHeight="1">
      <c r="A104" s="1217">
        <v>25</v>
      </c>
      <c r="B104" s="1261" t="s">
        <v>4042</v>
      </c>
      <c r="C104" s="1261"/>
      <c r="D104" s="1203"/>
      <c r="E104" s="1209" t="s">
        <v>3607</v>
      </c>
      <c r="F104" s="1205" t="s">
        <v>3878</v>
      </c>
      <c r="I104" s="1206"/>
      <c r="J104" s="1212"/>
      <c r="L104" s="1210" t="s">
        <v>4068</v>
      </c>
    </row>
    <row r="105" spans="1:12" s="1205" customFormat="1" ht="12" customHeight="1">
      <c r="A105" s="1202"/>
      <c r="B105" s="1261"/>
      <c r="C105" s="1261"/>
      <c r="D105" s="1203"/>
      <c r="E105" s="1211" t="s">
        <v>3605</v>
      </c>
      <c r="F105" s="1205" t="s">
        <v>3879</v>
      </c>
      <c r="I105" s="1206"/>
      <c r="J105" s="1212"/>
      <c r="L105" s="1210" t="s">
        <v>4068</v>
      </c>
    </row>
    <row r="106" spans="1:12" s="1205" customFormat="1" ht="12" customHeight="1">
      <c r="A106" s="1202"/>
      <c r="B106" s="1203"/>
      <c r="C106" s="1203"/>
      <c r="D106" s="1203"/>
      <c r="E106" s="1211" t="s">
        <v>3606</v>
      </c>
      <c r="F106" s="1205" t="s">
        <v>3880</v>
      </c>
      <c r="I106" s="1206"/>
      <c r="J106" s="1212"/>
      <c r="L106" s="1210" t="s">
        <v>4068</v>
      </c>
    </row>
    <row r="107" spans="1:12" s="1205" customFormat="1" ht="23.25" customHeight="1">
      <c r="A107" s="1202"/>
      <c r="B107" s="1203"/>
      <c r="C107" s="1203"/>
      <c r="D107" s="1203"/>
      <c r="E107" s="1211" t="s">
        <v>3608</v>
      </c>
      <c r="F107" s="1250" t="s">
        <v>3973</v>
      </c>
      <c r="G107" s="1250"/>
      <c r="H107" s="1250"/>
      <c r="I107" s="1250"/>
      <c r="J107" s="1250"/>
      <c r="K107" s="1262"/>
      <c r="L107" s="1210" t="s">
        <v>4063</v>
      </c>
    </row>
    <row r="108" spans="1:12" s="1205" customFormat="1" ht="12" customHeight="1">
      <c r="A108" s="1202"/>
      <c r="B108" s="1203"/>
      <c r="C108" s="1203"/>
      <c r="D108" s="1203"/>
      <c r="E108" s="1211" t="s">
        <v>3609</v>
      </c>
      <c r="F108" s="1205" t="s">
        <v>3881</v>
      </c>
      <c r="I108" s="1206"/>
      <c r="J108" s="1212"/>
      <c r="L108" s="1210" t="s">
        <v>4063</v>
      </c>
    </row>
    <row r="109" spans="1:12" s="1205" customFormat="1" ht="12" customHeight="1">
      <c r="A109" s="1241">
        <v>26</v>
      </c>
      <c r="B109" s="1227" t="s">
        <v>3882</v>
      </c>
      <c r="C109" s="1227"/>
      <c r="D109" s="1227"/>
      <c r="E109" s="1209" t="s">
        <v>3607</v>
      </c>
      <c r="F109" s="1232" t="s">
        <v>3883</v>
      </c>
      <c r="G109" s="1232"/>
      <c r="H109" s="1232"/>
      <c r="I109" s="1229"/>
      <c r="J109" s="1230"/>
      <c r="K109" s="1232"/>
      <c r="L109" s="1210" t="s">
        <v>4063</v>
      </c>
    </row>
    <row r="110" spans="1:12" s="1205" customFormat="1" ht="12" customHeight="1">
      <c r="A110" s="1202"/>
      <c r="B110" s="1203"/>
      <c r="C110" s="1203"/>
      <c r="D110" s="1203"/>
      <c r="E110" s="1211" t="s">
        <v>3605</v>
      </c>
      <c r="F110" s="1205" t="s">
        <v>547</v>
      </c>
      <c r="I110" s="1206"/>
      <c r="J110" s="1212"/>
      <c r="L110" s="1210" t="s">
        <v>4063</v>
      </c>
    </row>
    <row r="111" spans="1:12" s="1205" customFormat="1" ht="12" customHeight="1">
      <c r="A111" s="1263">
        <v>27</v>
      </c>
      <c r="B111" s="1227" t="s">
        <v>3884</v>
      </c>
      <c r="C111" s="1227"/>
      <c r="D111" s="1227"/>
      <c r="E111" s="1209" t="s">
        <v>3607</v>
      </c>
      <c r="F111" s="1232" t="s">
        <v>598</v>
      </c>
      <c r="G111" s="1232"/>
      <c r="H111" s="1232"/>
      <c r="I111" s="1229"/>
      <c r="J111" s="1230"/>
      <c r="K111" s="1232"/>
      <c r="L111" s="1210" t="s">
        <v>4063</v>
      </c>
    </row>
    <row r="112" spans="1:12" s="1205" customFormat="1" ht="23.25" customHeight="1">
      <c r="A112" s="1202"/>
      <c r="B112" s="1203"/>
      <c r="C112" s="1203"/>
      <c r="D112" s="1203"/>
      <c r="E112" s="1211" t="s">
        <v>3605</v>
      </c>
      <c r="F112" s="1250" t="s">
        <v>3885</v>
      </c>
      <c r="G112" s="1250"/>
      <c r="H112" s="1250"/>
      <c r="I112" s="1250"/>
      <c r="J112" s="1250"/>
      <c r="K112" s="1262"/>
      <c r="L112" s="1210" t="s">
        <v>4063</v>
      </c>
    </row>
    <row r="113" spans="1:12" s="1205" customFormat="1" ht="12" customHeight="1">
      <c r="A113" s="1202"/>
      <c r="B113" s="1203"/>
      <c r="C113" s="1203"/>
      <c r="D113" s="1203"/>
      <c r="E113" s="1211" t="s">
        <v>3606</v>
      </c>
      <c r="F113" s="1205" t="s">
        <v>3886</v>
      </c>
      <c r="I113" s="1206"/>
      <c r="J113" s="1212"/>
      <c r="L113" s="1210" t="s">
        <v>4063</v>
      </c>
    </row>
    <row r="114" spans="1:12" s="1205" customFormat="1" ht="12" customHeight="1">
      <c r="A114" s="1202"/>
      <c r="B114" s="1203"/>
      <c r="C114" s="1203"/>
      <c r="D114" s="1203"/>
      <c r="E114" s="1211" t="s">
        <v>3608</v>
      </c>
      <c r="F114" s="1205" t="s">
        <v>3887</v>
      </c>
      <c r="I114" s="1206"/>
      <c r="J114" s="1212"/>
      <c r="L114" s="1210" t="s">
        <v>4063</v>
      </c>
    </row>
    <row r="115" spans="1:12" s="1205" customFormat="1" ht="12" customHeight="1">
      <c r="A115" s="1202"/>
      <c r="B115" s="1203"/>
      <c r="C115" s="1203"/>
      <c r="D115" s="1203"/>
      <c r="E115" s="1236" t="s">
        <v>3609</v>
      </c>
      <c r="F115" s="1205" t="s">
        <v>3888</v>
      </c>
      <c r="I115" s="1206"/>
      <c r="J115" s="1212"/>
      <c r="L115" s="1210" t="s">
        <v>4063</v>
      </c>
    </row>
    <row r="116" spans="1:12" s="1205" customFormat="1" ht="12" customHeight="1">
      <c r="A116" s="1241">
        <v>28</v>
      </c>
      <c r="B116" s="1242" t="s">
        <v>3889</v>
      </c>
      <c r="C116" s="1242"/>
      <c r="D116" s="1227" t="s">
        <v>4053</v>
      </c>
      <c r="E116" s="1209" t="s">
        <v>3607</v>
      </c>
      <c r="F116" s="1232" t="s">
        <v>3989</v>
      </c>
      <c r="G116" s="1232"/>
      <c r="H116" s="1232"/>
      <c r="I116" s="1229"/>
      <c r="J116" s="1230"/>
      <c r="K116" s="1231"/>
      <c r="L116" s="1210" t="s">
        <v>4063</v>
      </c>
    </row>
    <row r="117" spans="1:12" s="1205" customFormat="1" ht="12" customHeight="1">
      <c r="B117" s="1243"/>
      <c r="C117" s="1243"/>
      <c r="D117" s="1203"/>
      <c r="E117" s="1211"/>
      <c r="F117" s="1205" t="s">
        <v>3990</v>
      </c>
      <c r="I117" s="1206"/>
      <c r="J117" s="1212"/>
      <c r="L117" s="1210" t="s">
        <v>4063</v>
      </c>
    </row>
    <row r="118" spans="1:12" s="1205" customFormat="1" ht="12" customHeight="1">
      <c r="A118" s="1202"/>
      <c r="C118" s="1203"/>
      <c r="D118" s="1203"/>
      <c r="E118" s="1211"/>
      <c r="F118" s="1205" t="s">
        <v>3991</v>
      </c>
      <c r="I118" s="1206"/>
      <c r="J118" s="1212"/>
      <c r="L118" s="1210" t="s">
        <v>4063</v>
      </c>
    </row>
    <row r="119" spans="1:12" s="1205" customFormat="1" ht="12" customHeight="1">
      <c r="A119" s="1202"/>
      <c r="C119" s="1203"/>
      <c r="D119" s="1203"/>
      <c r="E119" s="1211"/>
      <c r="F119" s="1264" t="s">
        <v>3992</v>
      </c>
      <c r="I119" s="1206"/>
      <c r="J119" s="1212"/>
      <c r="L119" s="1265"/>
    </row>
    <row r="120" spans="1:12" s="1205" customFormat="1" ht="12" customHeight="1">
      <c r="A120" s="1202"/>
      <c r="C120" s="1219"/>
      <c r="D120" s="1203" t="s">
        <v>4050</v>
      </c>
      <c r="E120" s="1211" t="s">
        <v>3605</v>
      </c>
      <c r="F120" s="1205" t="s">
        <v>3993</v>
      </c>
      <c r="I120" s="1206"/>
      <c r="J120" s="1212"/>
      <c r="L120" s="1210" t="s">
        <v>4063</v>
      </c>
    </row>
    <row r="121" spans="1:12" s="1205" customFormat="1" ht="12" customHeight="1">
      <c r="D121" s="1203"/>
      <c r="E121" s="1224"/>
      <c r="F121" s="1205" t="s">
        <v>3994</v>
      </c>
      <c r="I121" s="1206"/>
      <c r="J121" s="1212"/>
      <c r="L121" s="1210" t="s">
        <v>4063</v>
      </c>
    </row>
    <row r="122" spans="1:12" s="1205" customFormat="1" ht="12" customHeight="1">
      <c r="D122" s="1203"/>
      <c r="E122" s="1224"/>
      <c r="F122" s="1264" t="s">
        <v>3995</v>
      </c>
      <c r="I122" s="1206"/>
      <c r="J122" s="1212"/>
    </row>
    <row r="123" spans="1:12" s="1205" customFormat="1" ht="12" customHeight="1">
      <c r="A123" s="1202"/>
      <c r="C123" s="1219"/>
      <c r="D123" s="1203" t="s">
        <v>3804</v>
      </c>
      <c r="E123" s="1211" t="s">
        <v>3606</v>
      </c>
      <c r="F123" s="1205" t="s">
        <v>3996</v>
      </c>
      <c r="I123" s="1206"/>
      <c r="J123" s="1212"/>
      <c r="L123" s="1210" t="s">
        <v>4068</v>
      </c>
    </row>
    <row r="124" spans="1:12" s="1205" customFormat="1" ht="23.25" customHeight="1">
      <c r="A124" s="1202"/>
      <c r="B124" s="1203"/>
      <c r="C124" s="1203"/>
      <c r="D124" s="1203"/>
      <c r="E124" s="1224"/>
      <c r="F124" s="1220" t="s">
        <v>3997</v>
      </c>
      <c r="G124" s="1220"/>
      <c r="H124" s="1220"/>
      <c r="I124" s="1206"/>
      <c r="J124" s="1212"/>
      <c r="L124" s="1210" t="s">
        <v>4068</v>
      </c>
    </row>
    <row r="125" spans="1:12" s="1205" customFormat="1" ht="12" customHeight="1">
      <c r="A125" s="1241">
        <v>29</v>
      </c>
      <c r="B125" s="1242" t="s">
        <v>4043</v>
      </c>
      <c r="C125" s="1242"/>
      <c r="D125" s="1227" t="s">
        <v>3835</v>
      </c>
      <c r="E125" s="1209" t="s">
        <v>3607</v>
      </c>
      <c r="F125" s="1232" t="s">
        <v>3890</v>
      </c>
      <c r="G125" s="1232"/>
      <c r="H125" s="1232"/>
      <c r="I125" s="1229"/>
      <c r="J125" s="1230"/>
      <c r="K125" s="1231"/>
      <c r="L125" s="1210" t="s">
        <v>4068</v>
      </c>
    </row>
    <row r="126" spans="1:12" s="1205" customFormat="1" ht="12" customHeight="1">
      <c r="A126" s="1202"/>
      <c r="B126" s="1243"/>
      <c r="C126" s="1243"/>
      <c r="D126" s="1203" t="s">
        <v>4054</v>
      </c>
      <c r="E126" s="1211" t="s">
        <v>3605</v>
      </c>
      <c r="F126" s="1205" t="s">
        <v>3999</v>
      </c>
      <c r="I126" s="1206"/>
      <c r="J126" s="1212"/>
      <c r="L126" s="1210" t="s">
        <v>4068</v>
      </c>
    </row>
    <row r="127" spans="1:12" s="1205" customFormat="1" ht="12" customHeight="1">
      <c r="A127" s="1202"/>
      <c r="E127" s="1224"/>
      <c r="F127" s="1205" t="s">
        <v>4000</v>
      </c>
      <c r="I127" s="1206"/>
      <c r="J127" s="1212"/>
      <c r="L127" s="1210" t="s">
        <v>4068</v>
      </c>
    </row>
    <row r="128" spans="1:12" s="1205" customFormat="1" ht="12" customHeight="1">
      <c r="A128" s="1202"/>
      <c r="E128" s="1224"/>
      <c r="F128" s="1205" t="s">
        <v>4001</v>
      </c>
      <c r="I128" s="1206"/>
      <c r="J128" s="1212"/>
      <c r="L128" s="1210" t="s">
        <v>4068</v>
      </c>
    </row>
    <row r="129" spans="1:12" s="1205" customFormat="1" ht="12" customHeight="1">
      <c r="A129" s="1202"/>
      <c r="E129" s="1224"/>
      <c r="F129" s="1205" t="s">
        <v>4002</v>
      </c>
      <c r="I129" s="1206"/>
      <c r="J129" s="1212"/>
      <c r="L129" s="1210" t="s">
        <v>4068</v>
      </c>
    </row>
    <row r="130" spans="1:12" s="1205" customFormat="1" ht="12" customHeight="1">
      <c r="A130" s="1202"/>
      <c r="C130" s="1203"/>
      <c r="D130" s="1202"/>
      <c r="E130" s="1224"/>
      <c r="F130" s="1205" t="s">
        <v>4003</v>
      </c>
      <c r="I130" s="1206"/>
      <c r="J130" s="1212"/>
      <c r="L130" s="1210" t="s">
        <v>4068</v>
      </c>
    </row>
    <row r="131" spans="1:12" s="1205" customFormat="1" ht="12" customHeight="1">
      <c r="A131" s="1202"/>
      <c r="C131" s="1219"/>
      <c r="D131" s="1202" t="s">
        <v>4055</v>
      </c>
      <c r="E131" s="1211" t="s">
        <v>3606</v>
      </c>
      <c r="F131" s="1205" t="s">
        <v>4004</v>
      </c>
      <c r="I131" s="1206"/>
      <c r="J131" s="1212"/>
      <c r="L131" s="1210" t="s">
        <v>4063</v>
      </c>
    </row>
    <row r="132" spans="1:12" s="1205" customFormat="1" ht="12" customHeight="1">
      <c r="A132" s="1202"/>
      <c r="C132" s="1203"/>
      <c r="D132" s="1202"/>
      <c r="E132" s="1224"/>
      <c r="F132" s="1205" t="s">
        <v>4005</v>
      </c>
      <c r="I132" s="1206"/>
      <c r="J132" s="1212"/>
      <c r="L132" s="1210" t="s">
        <v>4063</v>
      </c>
    </row>
    <row r="133" spans="1:12" s="1205" customFormat="1" ht="12" customHeight="1">
      <c r="A133" s="1202"/>
      <c r="E133" s="1224"/>
      <c r="F133" s="1205" t="s">
        <v>4006</v>
      </c>
      <c r="I133" s="1206"/>
      <c r="J133" s="1212"/>
      <c r="L133" s="1210" t="s">
        <v>4063</v>
      </c>
    </row>
    <row r="134" spans="1:12" s="1205" customFormat="1" ht="12" customHeight="1">
      <c r="A134" s="1202"/>
      <c r="C134" s="1219"/>
      <c r="D134" s="1203" t="s">
        <v>3910</v>
      </c>
      <c r="E134" s="1211" t="s">
        <v>3608</v>
      </c>
      <c r="F134" s="1205" t="s">
        <v>4007</v>
      </c>
      <c r="I134" s="1206"/>
      <c r="J134" s="1212"/>
      <c r="L134" s="1210" t="s">
        <v>4063</v>
      </c>
    </row>
    <row r="135" spans="1:12" s="1205" customFormat="1" ht="12" customHeight="1">
      <c r="A135" s="1202"/>
      <c r="B135" s="1203"/>
      <c r="C135" s="1203"/>
      <c r="D135" s="1203"/>
      <c r="E135" s="1224"/>
      <c r="F135" s="1205" t="s">
        <v>4008</v>
      </c>
      <c r="I135" s="1206"/>
      <c r="J135" s="1212"/>
      <c r="L135" s="1210" t="s">
        <v>4063</v>
      </c>
    </row>
    <row r="136" spans="1:12" s="1205" customFormat="1" ht="12" customHeight="1">
      <c r="A136" s="1202"/>
      <c r="B136" s="1203"/>
      <c r="C136" s="1203"/>
      <c r="D136" s="1203"/>
      <c r="E136" s="1224"/>
      <c r="F136" s="1205" t="s">
        <v>4009</v>
      </c>
      <c r="I136" s="1206"/>
      <c r="J136" s="1212"/>
      <c r="L136" s="1210" t="s">
        <v>4063</v>
      </c>
    </row>
    <row r="137" spans="1:12" s="1205" customFormat="1" ht="12" customHeight="1">
      <c r="A137" s="1202"/>
      <c r="B137" s="1203"/>
      <c r="C137" s="1203"/>
      <c r="D137" s="1203"/>
      <c r="E137" s="1224"/>
      <c r="F137" s="1205" t="s">
        <v>4010</v>
      </c>
      <c r="I137" s="1206"/>
      <c r="J137" s="1212"/>
      <c r="L137" s="1210" t="s">
        <v>4063</v>
      </c>
    </row>
    <row r="138" spans="1:12" s="1205" customFormat="1" ht="12" customHeight="1">
      <c r="A138" s="1202"/>
      <c r="B138" s="1203"/>
      <c r="C138" s="1203"/>
      <c r="D138" s="1203"/>
      <c r="E138" s="1224"/>
      <c r="F138" s="1205" t="s">
        <v>4011</v>
      </c>
      <c r="I138" s="1206"/>
      <c r="J138" s="1212"/>
      <c r="L138" s="1210" t="s">
        <v>4063</v>
      </c>
    </row>
    <row r="139" spans="1:12" s="1205" customFormat="1" ht="12" customHeight="1">
      <c r="A139" s="1202"/>
      <c r="B139" s="1203"/>
      <c r="C139" s="1203"/>
      <c r="D139" s="1203"/>
      <c r="E139" s="1224"/>
      <c r="F139" s="1205" t="s">
        <v>4012</v>
      </c>
      <c r="I139" s="1206"/>
      <c r="J139" s="1212"/>
      <c r="L139" s="1210" t="s">
        <v>4063</v>
      </c>
    </row>
    <row r="140" spans="1:12" s="1205" customFormat="1" ht="12" customHeight="1">
      <c r="A140" s="1241">
        <v>30</v>
      </c>
      <c r="B140" s="1242" t="s">
        <v>4044</v>
      </c>
      <c r="C140" s="1266"/>
      <c r="D140" s="1227" t="s">
        <v>3835</v>
      </c>
      <c r="E140" s="1209" t="s">
        <v>3607</v>
      </c>
      <c r="F140" s="1232" t="s">
        <v>4013</v>
      </c>
      <c r="G140" s="1232"/>
      <c r="H140" s="1232"/>
      <c r="I140" s="1229"/>
      <c r="J140" s="1230"/>
      <c r="K140" s="1231"/>
      <c r="L140" s="1210" t="s">
        <v>4063</v>
      </c>
    </row>
    <row r="141" spans="1:12" s="1205" customFormat="1" ht="23.25" customHeight="1">
      <c r="A141" s="1202"/>
      <c r="B141" s="1243"/>
      <c r="C141" s="1267"/>
      <c r="D141" s="1203"/>
      <c r="E141" s="1211"/>
      <c r="F141" s="1250" t="s">
        <v>4014</v>
      </c>
      <c r="G141" s="1250"/>
      <c r="H141" s="1250"/>
      <c r="I141" s="1250"/>
      <c r="J141" s="1250"/>
      <c r="K141" s="1262"/>
      <c r="L141" s="1210" t="s">
        <v>4063</v>
      </c>
    </row>
    <row r="142" spans="1:12" s="1205" customFormat="1" ht="23.25" customHeight="1">
      <c r="A142" s="1202"/>
      <c r="C142" s="1219"/>
      <c r="D142" s="1203" t="s">
        <v>3804</v>
      </c>
      <c r="E142" s="1211" t="s">
        <v>3605</v>
      </c>
      <c r="F142" s="1220" t="s">
        <v>3891</v>
      </c>
      <c r="G142" s="1220"/>
      <c r="H142" s="1220"/>
      <c r="I142" s="1206"/>
      <c r="J142" s="1212"/>
      <c r="L142" s="1210" t="s">
        <v>4063</v>
      </c>
    </row>
    <row r="143" spans="1:12" s="1205" customFormat="1" ht="12" customHeight="1">
      <c r="A143" s="1241">
        <v>31</v>
      </c>
      <c r="B143" s="1227" t="s">
        <v>3892</v>
      </c>
      <c r="C143" s="1227"/>
      <c r="D143" s="1227"/>
      <c r="E143" s="1209" t="s">
        <v>3607</v>
      </c>
      <c r="F143" s="1232" t="s">
        <v>3893</v>
      </c>
      <c r="G143" s="1232"/>
      <c r="H143" s="1232"/>
      <c r="I143" s="1229"/>
      <c r="J143" s="1230"/>
      <c r="K143" s="1231"/>
      <c r="L143" s="1210" t="s">
        <v>4063</v>
      </c>
    </row>
    <row r="144" spans="1:12" s="1205" customFormat="1" ht="12" customHeight="1">
      <c r="A144" s="1241">
        <v>32</v>
      </c>
      <c r="B144" s="1227" t="s">
        <v>3894</v>
      </c>
      <c r="C144" s="1227"/>
      <c r="D144" s="1227"/>
      <c r="E144" s="1209" t="s">
        <v>3607</v>
      </c>
      <c r="F144" s="1232" t="s">
        <v>3895</v>
      </c>
      <c r="G144" s="1232"/>
      <c r="H144" s="1232"/>
      <c r="I144" s="1229"/>
      <c r="J144" s="1230"/>
      <c r="K144" s="1231"/>
      <c r="L144" s="1210" t="s">
        <v>4063</v>
      </c>
    </row>
    <row r="145" spans="1:12" s="1205" customFormat="1" ht="12" customHeight="1">
      <c r="A145" s="1202"/>
      <c r="B145" s="1203"/>
      <c r="C145" s="1203"/>
      <c r="D145" s="1203"/>
      <c r="E145" s="1211" t="s">
        <v>3605</v>
      </c>
      <c r="F145" s="1205" t="s">
        <v>3896</v>
      </c>
      <c r="I145" s="1206"/>
      <c r="J145" s="1212"/>
      <c r="L145" s="1210" t="s">
        <v>4063</v>
      </c>
    </row>
    <row r="146" spans="1:12" s="1205" customFormat="1" ht="12" customHeight="1">
      <c r="A146" s="1202"/>
      <c r="B146" s="1203"/>
      <c r="C146" s="1203"/>
      <c r="D146" s="1203"/>
      <c r="E146" s="1211" t="s">
        <v>3606</v>
      </c>
      <c r="F146" s="1205" t="s">
        <v>3897</v>
      </c>
      <c r="I146" s="1206"/>
      <c r="J146" s="1212"/>
      <c r="L146" s="1210" t="s">
        <v>4063</v>
      </c>
    </row>
    <row r="147" spans="1:12" s="1205" customFormat="1" ht="12" customHeight="1">
      <c r="A147" s="1202"/>
      <c r="B147" s="1203"/>
      <c r="C147" s="1203"/>
      <c r="D147" s="1203"/>
      <c r="E147" s="1211" t="s">
        <v>3608</v>
      </c>
      <c r="F147" s="1205" t="s">
        <v>3898</v>
      </c>
      <c r="I147" s="1206"/>
      <c r="J147" s="1212"/>
      <c r="L147" s="1210" t="s">
        <v>4063</v>
      </c>
    </row>
    <row r="148" spans="1:12" s="1205" customFormat="1" ht="12" customHeight="1">
      <c r="A148" s="1241">
        <v>33</v>
      </c>
      <c r="B148" s="1227" t="s">
        <v>4046</v>
      </c>
      <c r="C148" s="1227"/>
      <c r="D148" s="1227"/>
      <c r="E148" s="1268" t="s">
        <v>3607</v>
      </c>
      <c r="F148" s="1232" t="s">
        <v>3899</v>
      </c>
      <c r="G148" s="1232"/>
      <c r="H148" s="1232"/>
      <c r="I148" s="1229"/>
      <c r="J148" s="1230"/>
      <c r="K148" s="1231"/>
      <c r="L148" s="1210" t="s">
        <v>4063</v>
      </c>
    </row>
    <row r="149" spans="1:12" s="1205" customFormat="1" ht="12" customHeight="1">
      <c r="A149" s="1241">
        <v>34</v>
      </c>
      <c r="B149" s="1227" t="s">
        <v>4045</v>
      </c>
      <c r="C149" s="1227"/>
      <c r="D149" s="1227" t="s">
        <v>3838</v>
      </c>
      <c r="E149" s="1209" t="s">
        <v>3607</v>
      </c>
      <c r="F149" s="1232" t="s">
        <v>3900</v>
      </c>
      <c r="G149" s="1232"/>
      <c r="H149" s="1232"/>
      <c r="I149" s="1229"/>
      <c r="J149" s="1230"/>
      <c r="K149" s="1231"/>
      <c r="L149" s="1210" t="s">
        <v>4063</v>
      </c>
    </row>
    <row r="150" spans="1:12" s="1205" customFormat="1" ht="12" customHeight="1">
      <c r="A150" s="1202"/>
      <c r="B150" s="1203"/>
      <c r="C150" s="1203"/>
      <c r="D150" s="1203"/>
      <c r="E150" s="1211" t="s">
        <v>3605</v>
      </c>
      <c r="F150" s="1205" t="s">
        <v>3901</v>
      </c>
      <c r="I150" s="1206"/>
      <c r="J150" s="1212"/>
      <c r="L150" s="1210" t="s">
        <v>4063</v>
      </c>
    </row>
    <row r="151" spans="1:12" s="1205" customFormat="1" ht="12" customHeight="1">
      <c r="A151" s="1202"/>
      <c r="B151" s="1203"/>
      <c r="C151" s="1203"/>
      <c r="D151" s="1203"/>
      <c r="E151" s="1211" t="s">
        <v>3606</v>
      </c>
      <c r="F151" s="1205" t="s">
        <v>3902</v>
      </c>
      <c r="I151" s="1206"/>
      <c r="J151" s="1212"/>
      <c r="L151" s="1210" t="s">
        <v>4063</v>
      </c>
    </row>
    <row r="152" spans="1:12" s="1205" customFormat="1" ht="12" customHeight="1">
      <c r="A152" s="1202"/>
      <c r="B152" s="1203"/>
      <c r="C152" s="1203"/>
      <c r="D152" s="1203"/>
      <c r="E152" s="1211" t="s">
        <v>3608</v>
      </c>
      <c r="F152" s="1205" t="s">
        <v>3903</v>
      </c>
      <c r="I152" s="1206"/>
      <c r="J152" s="1212"/>
      <c r="L152" s="1210" t="s">
        <v>4063</v>
      </c>
    </row>
    <row r="153" spans="1:12" s="1205" customFormat="1" ht="12" customHeight="1">
      <c r="A153" s="1202"/>
      <c r="B153" s="1203"/>
      <c r="C153" s="1203"/>
      <c r="D153" s="1203"/>
      <c r="E153" s="1211" t="s">
        <v>3609</v>
      </c>
      <c r="F153" s="1205" t="s">
        <v>3904</v>
      </c>
      <c r="I153" s="1206"/>
      <c r="J153" s="1212"/>
      <c r="L153" s="1210" t="s">
        <v>4063</v>
      </c>
    </row>
    <row r="154" spans="1:12" s="1205" customFormat="1" ht="12" customHeight="1">
      <c r="A154" s="1202"/>
      <c r="B154" s="1203"/>
      <c r="C154" s="1203"/>
      <c r="D154" s="1203"/>
      <c r="E154" s="1211" t="s">
        <v>3610</v>
      </c>
      <c r="F154" s="1205" t="s">
        <v>34</v>
      </c>
      <c r="I154" s="1206"/>
      <c r="J154" s="1212"/>
      <c r="L154" s="1210" t="s">
        <v>4063</v>
      </c>
    </row>
    <row r="155" spans="1:12" s="1205" customFormat="1" ht="12" customHeight="1">
      <c r="A155" s="1202"/>
      <c r="B155" s="1203"/>
      <c r="C155" s="1203"/>
      <c r="D155" s="1203"/>
      <c r="E155" s="1211" t="s">
        <v>3611</v>
      </c>
      <c r="F155" s="1205" t="s">
        <v>3905</v>
      </c>
      <c r="I155" s="1206"/>
      <c r="J155" s="1212"/>
      <c r="L155" s="1210" t="s">
        <v>4063</v>
      </c>
    </row>
    <row r="156" spans="1:12" s="1205" customFormat="1" ht="12" customHeight="1">
      <c r="A156" s="1241">
        <v>35</v>
      </c>
      <c r="B156" s="1242" t="s">
        <v>3966</v>
      </c>
      <c r="C156" s="1227"/>
      <c r="D156" s="1227" t="s">
        <v>3835</v>
      </c>
      <c r="E156" s="1209" t="s">
        <v>3607</v>
      </c>
      <c r="F156" s="1232" t="s">
        <v>4015</v>
      </c>
      <c r="G156" s="1232"/>
      <c r="H156" s="1232"/>
      <c r="I156" s="1229"/>
      <c r="J156" s="1232"/>
      <c r="K156" s="1231"/>
      <c r="L156" s="1210" t="s">
        <v>4063</v>
      </c>
    </row>
    <row r="157" spans="1:12" s="1205" customFormat="1" ht="12" customHeight="1">
      <c r="A157" s="1202"/>
      <c r="B157" s="1243"/>
      <c r="C157" s="1203"/>
      <c r="D157" s="1203"/>
      <c r="E157" s="1224"/>
      <c r="F157" s="1205" t="s">
        <v>4016</v>
      </c>
      <c r="I157" s="1206"/>
      <c r="J157" s="1212"/>
      <c r="L157" s="1210" t="s">
        <v>4063</v>
      </c>
    </row>
    <row r="158" spans="1:12" s="1205" customFormat="1" ht="12" customHeight="1">
      <c r="A158" s="1202"/>
      <c r="B158" s="1243"/>
      <c r="C158" s="1203"/>
      <c r="D158" s="1203"/>
      <c r="E158" s="1224"/>
      <c r="F158" s="1205" t="s">
        <v>4017</v>
      </c>
      <c r="I158" s="1206"/>
      <c r="J158" s="1212"/>
      <c r="L158" s="1210" t="s">
        <v>4063</v>
      </c>
    </row>
    <row r="159" spans="1:12" s="1205" customFormat="1" ht="12" customHeight="1">
      <c r="A159" s="1202"/>
      <c r="B159" s="1203"/>
      <c r="C159" s="1203"/>
      <c r="D159" s="1203"/>
      <c r="E159" s="1224"/>
      <c r="F159" s="1205" t="s">
        <v>4018</v>
      </c>
      <c r="I159" s="1206"/>
      <c r="J159" s="1212"/>
      <c r="L159" s="1210" t="s">
        <v>4063</v>
      </c>
    </row>
    <row r="160" spans="1:12" s="1205" customFormat="1" ht="12" customHeight="1">
      <c r="A160" s="1202"/>
      <c r="B160" s="1203"/>
      <c r="C160" s="1203"/>
      <c r="D160" s="1203"/>
      <c r="E160" s="1224"/>
      <c r="F160" s="1205" t="s">
        <v>4019</v>
      </c>
      <c r="I160" s="1206"/>
      <c r="J160" s="1212"/>
      <c r="L160" s="1210" t="s">
        <v>4063</v>
      </c>
    </row>
    <row r="161" spans="1:12" s="1205" customFormat="1" ht="12" customHeight="1">
      <c r="A161" s="1202"/>
      <c r="B161" s="1203"/>
      <c r="C161" s="1203"/>
      <c r="D161" s="1203"/>
      <c r="E161" s="1224"/>
      <c r="F161" s="1205" t="s">
        <v>4020</v>
      </c>
      <c r="I161" s="1206"/>
      <c r="J161" s="1212"/>
      <c r="L161" s="1210" t="s">
        <v>4063</v>
      </c>
    </row>
    <row r="162" spans="1:12" s="1205" customFormat="1" ht="12" customHeight="1">
      <c r="A162" s="1202"/>
      <c r="C162" s="1219"/>
      <c r="D162" s="1203" t="s">
        <v>3804</v>
      </c>
      <c r="E162" s="1211" t="s">
        <v>3605</v>
      </c>
      <c r="F162" s="1205" t="s">
        <v>4021</v>
      </c>
      <c r="I162" s="1206"/>
      <c r="J162" s="1212"/>
      <c r="L162" s="1210" t="s">
        <v>4063</v>
      </c>
    </row>
    <row r="163" spans="1:12" s="1205" customFormat="1" ht="12" customHeight="1">
      <c r="A163" s="1202"/>
      <c r="B163" s="1203"/>
      <c r="C163" s="1203"/>
      <c r="D163" s="1203"/>
      <c r="E163" s="1224"/>
      <c r="F163" s="1205" t="s">
        <v>4022</v>
      </c>
      <c r="I163" s="1206"/>
      <c r="J163" s="1212"/>
      <c r="L163" s="1210" t="s">
        <v>4063</v>
      </c>
    </row>
    <row r="164" spans="1:12" s="1205" customFormat="1" ht="12" customHeight="1">
      <c r="A164" s="1241">
        <v>36</v>
      </c>
      <c r="B164" s="1242" t="s">
        <v>4047</v>
      </c>
      <c r="C164" s="1242"/>
      <c r="D164" s="1227" t="s">
        <v>3804</v>
      </c>
      <c r="E164" s="1209" t="s">
        <v>3607</v>
      </c>
      <c r="F164" s="1253" t="s">
        <v>3906</v>
      </c>
      <c r="G164" s="1253"/>
      <c r="H164" s="1253"/>
      <c r="I164" s="1229"/>
      <c r="J164" s="1230"/>
      <c r="K164" s="1231"/>
      <c r="L164" s="1210" t="s">
        <v>4063</v>
      </c>
    </row>
    <row r="165" spans="1:12" s="1205" customFormat="1" ht="12" customHeight="1">
      <c r="A165" s="1202"/>
      <c r="B165" s="1246"/>
      <c r="C165" s="1246"/>
      <c r="D165" s="1203"/>
      <c r="E165" s="1211" t="s">
        <v>3605</v>
      </c>
      <c r="F165" s="1269" t="s">
        <v>3907</v>
      </c>
      <c r="G165" s="1269"/>
      <c r="H165" s="1269"/>
      <c r="I165" s="1206"/>
      <c r="J165" s="1212"/>
      <c r="L165" s="1210" t="s">
        <v>4068</v>
      </c>
    </row>
    <row r="166" spans="1:12" s="1205" customFormat="1" ht="12" customHeight="1">
      <c r="A166" s="1241">
        <v>37</v>
      </c>
      <c r="B166" s="1242" t="s">
        <v>4048</v>
      </c>
      <c r="C166" s="1242"/>
      <c r="D166" s="1227" t="s">
        <v>3835</v>
      </c>
      <c r="E166" s="1209" t="s">
        <v>3607</v>
      </c>
      <c r="F166" s="1232" t="s">
        <v>597</v>
      </c>
      <c r="G166" s="1232"/>
      <c r="H166" s="1232"/>
      <c r="I166" s="1229"/>
      <c r="J166" s="1230"/>
      <c r="K166" s="1231"/>
      <c r="L166" s="1210" t="s">
        <v>4063</v>
      </c>
    </row>
    <row r="167" spans="1:12" s="1205" customFormat="1" ht="12" customHeight="1">
      <c r="A167" s="1202"/>
      <c r="B167" s="1243"/>
      <c r="C167" s="1243"/>
      <c r="D167" s="1203"/>
      <c r="E167" s="1211" t="s">
        <v>3605</v>
      </c>
      <c r="F167" s="1205" t="s">
        <v>548</v>
      </c>
      <c r="I167" s="1206"/>
      <c r="J167" s="1212"/>
      <c r="L167" s="1210" t="s">
        <v>4063</v>
      </c>
    </row>
    <row r="168" spans="1:12" s="1205" customFormat="1" ht="12" customHeight="1">
      <c r="A168" s="1202"/>
      <c r="B168" s="1203"/>
      <c r="C168" s="1203"/>
      <c r="D168" s="1203"/>
      <c r="E168" s="1211" t="s">
        <v>3606</v>
      </c>
      <c r="F168" s="1205" t="s">
        <v>3908</v>
      </c>
      <c r="I168" s="1206"/>
      <c r="J168" s="1212"/>
      <c r="L168" s="1210" t="s">
        <v>4063</v>
      </c>
    </row>
    <row r="169" spans="1:12" s="1205" customFormat="1" ht="12" customHeight="1">
      <c r="A169" s="1202"/>
      <c r="C169" s="1219"/>
      <c r="D169" s="1203" t="s">
        <v>4051</v>
      </c>
      <c r="E169" s="1211" t="s">
        <v>3608</v>
      </c>
      <c r="F169" s="1205" t="s">
        <v>3909</v>
      </c>
      <c r="I169" s="1206"/>
      <c r="J169" s="1212"/>
      <c r="L169" s="1210" t="s">
        <v>4063</v>
      </c>
    </row>
    <row r="170" spans="1:12" s="1205" customFormat="1" ht="12" customHeight="1">
      <c r="A170" s="1241">
        <v>38</v>
      </c>
      <c r="B170" s="1227" t="s">
        <v>4049</v>
      </c>
      <c r="C170" s="1227"/>
      <c r="D170" s="1227" t="s">
        <v>4050</v>
      </c>
      <c r="E170" s="1209" t="s">
        <v>3607</v>
      </c>
      <c r="F170" s="1232" t="s">
        <v>4023</v>
      </c>
      <c r="G170" s="1232"/>
      <c r="H170" s="1232"/>
      <c r="I170" s="1229"/>
      <c r="J170" s="1230"/>
      <c r="K170" s="1231"/>
      <c r="L170" s="1210" t="s">
        <v>4068</v>
      </c>
    </row>
    <row r="171" spans="1:12" s="1205" customFormat="1" ht="12" customHeight="1">
      <c r="A171" s="1202"/>
      <c r="B171" s="1203"/>
      <c r="C171" s="1203"/>
      <c r="D171" s="1203"/>
      <c r="E171" s="1270"/>
      <c r="F171" s="1205" t="s">
        <v>4024</v>
      </c>
      <c r="I171" s="1206"/>
      <c r="J171" s="1212"/>
      <c r="L171" s="1210" t="s">
        <v>4068</v>
      </c>
    </row>
    <row r="172" spans="1:12" s="1205" customFormat="1" ht="12" customHeight="1">
      <c r="A172" s="1202"/>
      <c r="C172" s="1219"/>
      <c r="D172" s="1203" t="s">
        <v>3910</v>
      </c>
      <c r="E172" s="1211" t="s">
        <v>3605</v>
      </c>
      <c r="F172" s="1205" t="s">
        <v>4025</v>
      </c>
      <c r="I172" s="1206"/>
      <c r="J172" s="1212"/>
      <c r="L172" s="1210" t="s">
        <v>4068</v>
      </c>
    </row>
    <row r="173" spans="1:12" s="1205" customFormat="1" ht="12" customHeight="1">
      <c r="A173" s="1202"/>
      <c r="C173" s="1219"/>
      <c r="D173" s="1203" t="s">
        <v>3911</v>
      </c>
      <c r="E173" s="1211"/>
      <c r="F173" s="1205" t="s">
        <v>4026</v>
      </c>
      <c r="I173" s="1206"/>
      <c r="J173" s="1212"/>
      <c r="L173" s="1210" t="s">
        <v>4068</v>
      </c>
    </row>
    <row r="174" spans="1:12" s="1205" customFormat="1" ht="12" customHeight="1">
      <c r="A174" s="1202"/>
      <c r="C174" s="1219"/>
      <c r="D174" s="1203" t="s">
        <v>3912</v>
      </c>
      <c r="E174" s="1211"/>
      <c r="F174" s="1205" t="s">
        <v>4027</v>
      </c>
      <c r="I174" s="1206"/>
      <c r="J174" s="1212"/>
      <c r="L174" s="1210" t="s">
        <v>4063</v>
      </c>
    </row>
    <row r="175" spans="1:12" s="1205" customFormat="1" ht="12" customHeight="1">
      <c r="A175" s="1202"/>
      <c r="B175" s="1203"/>
      <c r="C175" s="1203"/>
      <c r="D175" s="1203"/>
      <c r="E175" s="1214"/>
      <c r="F175" s="1205" t="s">
        <v>4028</v>
      </c>
      <c r="I175" s="1206"/>
      <c r="L175" s="1210" t="s">
        <v>4063</v>
      </c>
    </row>
    <row r="176" spans="1:12" s="1205" customFormat="1" ht="12" customHeight="1">
      <c r="A176" s="1271">
        <v>39</v>
      </c>
      <c r="B176" s="1272" t="s">
        <v>4058</v>
      </c>
      <c r="C176" s="1272"/>
      <c r="D176" s="1272"/>
      <c r="E176" s="1273"/>
      <c r="F176" s="1273"/>
      <c r="G176" s="1273"/>
      <c r="H176" s="1273"/>
      <c r="I176" s="1273"/>
      <c r="J176" s="1273"/>
      <c r="K176" s="1273"/>
    </row>
    <row r="177" spans="1:12" s="1205" customFormat="1" ht="23.25" customHeight="1">
      <c r="A177" s="1217"/>
      <c r="B177" s="1274" t="s">
        <v>4056</v>
      </c>
      <c r="C177" s="1274"/>
      <c r="D177" s="1275" t="s">
        <v>4057</v>
      </c>
      <c r="E177" s="1276" t="s">
        <v>3774</v>
      </c>
      <c r="F177" s="1277" t="s">
        <v>4059</v>
      </c>
      <c r="G177" s="1278"/>
      <c r="H177" s="1278"/>
      <c r="I177" s="1278"/>
      <c r="J177" s="1278"/>
      <c r="K177" s="1278"/>
    </row>
    <row r="178" spans="1:12" s="1205" customFormat="1" ht="12" customHeight="1">
      <c r="A178" s="1217"/>
      <c r="B178" s="1279" t="s">
        <v>4201</v>
      </c>
      <c r="C178" s="1280"/>
      <c r="D178" s="1281"/>
      <c r="E178" s="1282" t="s">
        <v>3607</v>
      </c>
      <c r="F178" s="1283" t="s">
        <v>4202</v>
      </c>
      <c r="G178" s="1283"/>
      <c r="H178" s="1283"/>
      <c r="I178" s="1283"/>
      <c r="J178" s="1283"/>
      <c r="K178" s="1283"/>
      <c r="L178" s="1210" t="s">
        <v>4063</v>
      </c>
    </row>
    <row r="179" spans="1:12" s="1205" customFormat="1" ht="12" customHeight="1">
      <c r="A179" s="1202"/>
      <c r="B179" s="1284"/>
      <c r="C179" s="1285"/>
      <c r="D179" s="1286"/>
      <c r="E179" s="1287" t="s">
        <v>3605</v>
      </c>
      <c r="F179" s="1288"/>
      <c r="G179" s="1288"/>
      <c r="H179" s="1288"/>
      <c r="I179" s="1288"/>
      <c r="J179" s="1288"/>
      <c r="K179" s="1288"/>
      <c r="L179" s="1210"/>
    </row>
    <row r="180" spans="1:12" s="1205" customFormat="1" ht="12" customHeight="1">
      <c r="A180" s="1202"/>
      <c r="B180" s="1284"/>
      <c r="C180" s="1285"/>
      <c r="D180" s="1286"/>
      <c r="E180" s="1287" t="s">
        <v>3606</v>
      </c>
      <c r="F180" s="1288"/>
      <c r="G180" s="1288"/>
      <c r="H180" s="1288"/>
      <c r="I180" s="1288"/>
      <c r="J180" s="1288"/>
      <c r="K180" s="1288"/>
      <c r="L180" s="1210"/>
    </row>
    <row r="181" spans="1:12" s="1205" customFormat="1" ht="12" customHeight="1">
      <c r="A181" s="1202"/>
      <c r="B181" s="1284"/>
      <c r="C181" s="1285"/>
      <c r="D181" s="1286"/>
      <c r="E181" s="1287" t="s">
        <v>3608</v>
      </c>
      <c r="F181" s="1288"/>
      <c r="G181" s="1288"/>
      <c r="H181" s="1288"/>
      <c r="I181" s="1288"/>
      <c r="J181" s="1288"/>
      <c r="K181" s="1288"/>
      <c r="L181" s="1210"/>
    </row>
    <row r="182" spans="1:12" s="1205" customFormat="1" ht="12" customHeight="1">
      <c r="A182" s="1202"/>
      <c r="B182" s="1284"/>
      <c r="C182" s="1285"/>
      <c r="D182" s="1286"/>
      <c r="E182" s="1287" t="s">
        <v>3609</v>
      </c>
      <c r="F182" s="1288"/>
      <c r="G182" s="1288"/>
      <c r="H182" s="1288"/>
      <c r="I182" s="1288"/>
      <c r="J182" s="1288"/>
      <c r="K182" s="1288"/>
      <c r="L182" s="1210"/>
    </row>
    <row r="183" spans="1:12" s="1205" customFormat="1" ht="12" customHeight="1">
      <c r="A183" s="1202"/>
      <c r="B183" s="1284"/>
      <c r="C183" s="1285"/>
      <c r="D183" s="1286"/>
      <c r="E183" s="1287" t="s">
        <v>3610</v>
      </c>
      <c r="F183" s="1288"/>
      <c r="G183" s="1288"/>
      <c r="H183" s="1288"/>
      <c r="I183" s="1288"/>
      <c r="J183" s="1288"/>
      <c r="K183" s="1288"/>
      <c r="L183" s="1210"/>
    </row>
    <row r="184" spans="1:12" s="1205" customFormat="1" ht="12" customHeight="1">
      <c r="A184" s="1202"/>
      <c r="B184" s="1284"/>
      <c r="C184" s="1285"/>
      <c r="D184" s="1286"/>
      <c r="E184" s="1287" t="s">
        <v>3611</v>
      </c>
      <c r="F184" s="1288"/>
      <c r="G184" s="1288"/>
      <c r="H184" s="1288"/>
      <c r="I184" s="1288"/>
      <c r="J184" s="1288"/>
      <c r="K184" s="1288"/>
      <c r="L184" s="1210"/>
    </row>
    <row r="185" spans="1:12" s="1205" customFormat="1" ht="12" customHeight="1">
      <c r="A185" s="1202"/>
      <c r="B185" s="1284"/>
      <c r="C185" s="1285"/>
      <c r="D185" s="1286"/>
      <c r="E185" s="1287" t="s">
        <v>3944</v>
      </c>
      <c r="F185" s="1288"/>
      <c r="G185" s="1288"/>
      <c r="H185" s="1288"/>
      <c r="I185" s="1288"/>
      <c r="J185" s="1288"/>
      <c r="K185" s="1288"/>
      <c r="L185" s="1210"/>
    </row>
    <row r="186" spans="1:12" s="1205" customFormat="1" ht="12" customHeight="1">
      <c r="A186" s="1202"/>
      <c r="B186" s="1284"/>
      <c r="C186" s="1285"/>
      <c r="D186" s="1286"/>
      <c r="E186" s="1287" t="s">
        <v>3945</v>
      </c>
      <c r="F186" s="1288"/>
      <c r="G186" s="1288"/>
      <c r="H186" s="1288"/>
      <c r="I186" s="1288"/>
      <c r="J186" s="1288"/>
      <c r="K186" s="1288"/>
      <c r="L186" s="1210"/>
    </row>
    <row r="187" spans="1:12" s="1205" customFormat="1" ht="12" customHeight="1">
      <c r="A187" s="1202"/>
      <c r="B187" s="1289"/>
      <c r="C187" s="1290"/>
      <c r="D187" s="1291"/>
      <c r="E187" s="1292" t="s">
        <v>4052</v>
      </c>
      <c r="F187" s="1293"/>
      <c r="G187" s="1293"/>
      <c r="H187" s="1293"/>
      <c r="I187" s="1293"/>
      <c r="J187" s="1293"/>
      <c r="K187" s="1293"/>
      <c r="L187" s="1210"/>
    </row>
    <row r="188" spans="1:12" s="1205" customFormat="1">
      <c r="A188" s="1202"/>
      <c r="B188" s="1203"/>
      <c r="C188" s="1203"/>
      <c r="D188" s="1203"/>
      <c r="E188" s="1225"/>
      <c r="I188" s="1206"/>
    </row>
    <row r="189" spans="1:12" s="1205" customFormat="1">
      <c r="A189" s="1202"/>
      <c r="B189" s="1203"/>
      <c r="C189" s="1203"/>
      <c r="D189" s="1203"/>
      <c r="E189" s="1225"/>
      <c r="I189" s="1206"/>
    </row>
    <row r="190" spans="1:12" s="1205" customFormat="1">
      <c r="A190" s="1202"/>
      <c r="B190" s="1203"/>
      <c r="C190" s="1203"/>
      <c r="D190" s="1203"/>
      <c r="E190" s="1225"/>
      <c r="I190" s="1206"/>
    </row>
    <row r="191" spans="1:12" s="1205" customFormat="1">
      <c r="A191" s="1202"/>
      <c r="B191" s="1203"/>
      <c r="C191" s="1203"/>
      <c r="D191" s="1203"/>
      <c r="E191" s="1225"/>
      <c r="I191" s="1206"/>
    </row>
    <row r="192" spans="1:12" s="1205" customFormat="1">
      <c r="A192" s="1202"/>
      <c r="B192" s="1203"/>
      <c r="C192" s="1203"/>
      <c r="D192" s="1203"/>
      <c r="E192" s="1225"/>
      <c r="I192" s="1206"/>
    </row>
    <row r="193" spans="1:9" s="1205" customFormat="1">
      <c r="A193" s="1202"/>
      <c r="B193" s="1203"/>
      <c r="C193" s="1203"/>
      <c r="D193" s="1203"/>
      <c r="E193" s="1225"/>
      <c r="I193" s="1206"/>
    </row>
    <row r="194" spans="1:9" s="1205" customFormat="1">
      <c r="A194" s="1202"/>
      <c r="B194" s="1203"/>
      <c r="C194" s="1203"/>
      <c r="D194" s="1203"/>
      <c r="E194" s="1225"/>
      <c r="I194" s="1206"/>
    </row>
    <row r="195" spans="1:9" s="1205" customFormat="1">
      <c r="A195" s="1202"/>
      <c r="B195" s="1203"/>
      <c r="C195" s="1203"/>
      <c r="D195" s="1203"/>
      <c r="E195" s="1225"/>
      <c r="I195" s="1206"/>
    </row>
    <row r="196" spans="1:9" s="1205" customFormat="1">
      <c r="A196" s="1202"/>
      <c r="B196" s="1203"/>
      <c r="C196" s="1203"/>
      <c r="D196" s="1203"/>
      <c r="E196" s="1225"/>
      <c r="I196" s="1206"/>
    </row>
    <row r="197" spans="1:9" s="1205" customFormat="1">
      <c r="A197" s="1202"/>
      <c r="B197" s="1203"/>
      <c r="C197" s="1203"/>
      <c r="D197" s="1203"/>
      <c r="E197" s="1225"/>
      <c r="I197" s="1206"/>
    </row>
    <row r="198" spans="1:9" s="1205" customFormat="1">
      <c r="A198" s="1202"/>
      <c r="B198" s="1203"/>
      <c r="C198" s="1203"/>
      <c r="D198" s="1203"/>
      <c r="E198" s="1225"/>
      <c r="I198" s="1206"/>
    </row>
    <row r="199" spans="1:9" s="1205" customFormat="1">
      <c r="A199" s="1202"/>
      <c r="B199" s="1203"/>
      <c r="C199" s="1203"/>
      <c r="D199" s="1203"/>
      <c r="E199" s="1225"/>
      <c r="I199" s="1206"/>
    </row>
    <row r="200" spans="1:9" s="1205" customFormat="1">
      <c r="A200" s="1202"/>
      <c r="B200" s="1203"/>
      <c r="C200" s="1203"/>
      <c r="D200" s="1203"/>
      <c r="E200" s="1225"/>
      <c r="I200" s="1206"/>
    </row>
    <row r="201" spans="1:9" s="1205" customFormat="1">
      <c r="A201" s="1202"/>
      <c r="B201" s="1203"/>
      <c r="C201" s="1203"/>
      <c r="D201" s="1203"/>
      <c r="E201" s="1225"/>
      <c r="I201" s="1206"/>
    </row>
    <row r="202" spans="1:9" s="1205" customFormat="1">
      <c r="A202" s="1202"/>
      <c r="B202" s="1203"/>
      <c r="C202" s="1203"/>
      <c r="D202" s="1203"/>
      <c r="E202" s="1225"/>
      <c r="I202" s="1206"/>
    </row>
    <row r="203" spans="1:9" s="1205" customFormat="1">
      <c r="A203" s="1202"/>
      <c r="B203" s="1203"/>
      <c r="C203" s="1203"/>
      <c r="D203" s="1203"/>
      <c r="E203" s="1225"/>
      <c r="I203" s="1206"/>
    </row>
    <row r="204" spans="1:9" s="1205" customFormat="1">
      <c r="A204" s="1202"/>
      <c r="B204" s="1203"/>
      <c r="C204" s="1203"/>
      <c r="D204" s="1203"/>
      <c r="E204" s="1225"/>
      <c r="I204" s="1206"/>
    </row>
    <row r="205" spans="1:9" s="1205" customFormat="1">
      <c r="A205" s="1202"/>
      <c r="B205" s="1203"/>
      <c r="C205" s="1203"/>
      <c r="D205" s="1203"/>
      <c r="E205" s="1225"/>
      <c r="I205" s="1206"/>
    </row>
    <row r="206" spans="1:9" s="1205" customFormat="1">
      <c r="A206" s="1202"/>
      <c r="B206" s="1203"/>
      <c r="C206" s="1203"/>
      <c r="D206" s="1203"/>
      <c r="E206" s="1225"/>
      <c r="I206" s="1206"/>
    </row>
    <row r="207" spans="1:9" s="1205" customFormat="1">
      <c r="A207" s="1202"/>
      <c r="B207" s="1203"/>
      <c r="C207" s="1203"/>
      <c r="D207" s="1203"/>
      <c r="E207" s="1225"/>
      <c r="I207" s="1206"/>
    </row>
    <row r="208" spans="1:9" s="1205" customFormat="1">
      <c r="A208" s="1202"/>
      <c r="B208" s="1203"/>
      <c r="C208" s="1203"/>
      <c r="D208" s="1203"/>
      <c r="E208" s="1225"/>
      <c r="I208" s="1206"/>
    </row>
    <row r="209" spans="1:9" s="1205" customFormat="1">
      <c r="A209" s="1202"/>
      <c r="B209" s="1203"/>
      <c r="C209" s="1203"/>
      <c r="D209" s="1203"/>
      <c r="E209" s="1225"/>
      <c r="I209" s="1206"/>
    </row>
    <row r="210" spans="1:9" s="1205" customFormat="1">
      <c r="A210" s="1202"/>
      <c r="B210" s="1203"/>
      <c r="C210" s="1203"/>
      <c r="D210" s="1203"/>
      <c r="E210" s="1225"/>
      <c r="I210" s="1206"/>
    </row>
    <row r="211" spans="1:9" s="1205" customFormat="1">
      <c r="A211" s="1202"/>
      <c r="B211" s="1203"/>
      <c r="C211" s="1203"/>
      <c r="D211" s="1203"/>
      <c r="E211" s="1225"/>
      <c r="I211" s="1206"/>
    </row>
    <row r="212" spans="1:9" s="1205" customFormat="1">
      <c r="A212" s="1202"/>
      <c r="B212" s="1203"/>
      <c r="C212" s="1203"/>
      <c r="D212" s="1203"/>
      <c r="E212" s="1225"/>
      <c r="I212" s="1206"/>
    </row>
    <row r="213" spans="1:9" s="1205" customFormat="1">
      <c r="A213" s="1202"/>
      <c r="B213" s="1203"/>
      <c r="C213" s="1203"/>
      <c r="D213" s="1203"/>
      <c r="E213" s="1225"/>
      <c r="I213" s="1206"/>
    </row>
    <row r="214" spans="1:9" s="1205" customFormat="1">
      <c r="A214" s="1202"/>
      <c r="B214" s="1203"/>
      <c r="C214" s="1203"/>
      <c r="D214" s="1203"/>
      <c r="E214" s="1225"/>
      <c r="I214" s="1206"/>
    </row>
    <row r="215" spans="1:9" s="1205" customFormat="1">
      <c r="A215" s="1202"/>
      <c r="B215" s="1203"/>
      <c r="C215" s="1203"/>
      <c r="D215" s="1203"/>
      <c r="E215" s="1225"/>
      <c r="I215" s="1206"/>
    </row>
    <row r="216" spans="1:9" s="1205" customFormat="1">
      <c r="A216" s="1202"/>
      <c r="B216" s="1203"/>
      <c r="C216" s="1203"/>
      <c r="D216" s="1203"/>
      <c r="E216" s="1225"/>
      <c r="I216" s="1206"/>
    </row>
    <row r="217" spans="1:9" s="1205" customFormat="1">
      <c r="A217" s="1202"/>
      <c r="B217" s="1203"/>
      <c r="C217" s="1203"/>
      <c r="D217" s="1203"/>
      <c r="E217" s="1225"/>
      <c r="I217" s="1206"/>
    </row>
    <row r="218" spans="1:9" s="1205" customFormat="1">
      <c r="A218" s="1202"/>
      <c r="B218" s="1203"/>
      <c r="C218" s="1203"/>
      <c r="D218" s="1203"/>
      <c r="E218" s="1225"/>
      <c r="I218" s="1206"/>
    </row>
    <row r="219" spans="1:9" s="1205" customFormat="1">
      <c r="A219" s="1202"/>
      <c r="B219" s="1203"/>
      <c r="C219" s="1203"/>
      <c r="D219" s="1203"/>
      <c r="E219" s="1225"/>
      <c r="I219" s="1206"/>
    </row>
    <row r="220" spans="1:9" s="1205" customFormat="1">
      <c r="A220" s="1202"/>
      <c r="B220" s="1203"/>
      <c r="C220" s="1203"/>
      <c r="D220" s="1203"/>
      <c r="E220" s="1225"/>
      <c r="I220" s="1206"/>
    </row>
    <row r="221" spans="1:9" s="1205" customFormat="1">
      <c r="A221" s="1202"/>
      <c r="B221" s="1203"/>
      <c r="C221" s="1203"/>
      <c r="D221" s="1203"/>
      <c r="E221" s="1225"/>
      <c r="I221" s="1206"/>
    </row>
    <row r="222" spans="1:9" s="1205" customFormat="1">
      <c r="A222" s="1202"/>
      <c r="B222" s="1203"/>
      <c r="C222" s="1203"/>
      <c r="D222" s="1203"/>
      <c r="E222" s="1225"/>
      <c r="I222" s="1206"/>
    </row>
    <row r="223" spans="1:9" s="1205" customFormat="1">
      <c r="A223" s="1202"/>
      <c r="B223" s="1203"/>
      <c r="C223" s="1203"/>
      <c r="D223" s="1203"/>
      <c r="E223" s="1225"/>
      <c r="I223" s="1206"/>
    </row>
    <row r="224" spans="1:9" s="1205" customFormat="1">
      <c r="A224" s="1202"/>
      <c r="B224" s="1203"/>
      <c r="C224" s="1203"/>
      <c r="D224" s="1203"/>
      <c r="E224" s="1225"/>
      <c r="I224" s="1206"/>
    </row>
    <row r="225" spans="1:9" s="1205" customFormat="1">
      <c r="A225" s="1202"/>
      <c r="B225" s="1203"/>
      <c r="C225" s="1203"/>
      <c r="D225" s="1203"/>
      <c r="E225" s="1225"/>
      <c r="I225" s="1206"/>
    </row>
    <row r="226" spans="1:9" s="1205" customFormat="1">
      <c r="A226" s="1202"/>
      <c r="B226" s="1203"/>
      <c r="C226" s="1203"/>
      <c r="D226" s="1203"/>
      <c r="E226" s="1225"/>
      <c r="I226" s="1206"/>
    </row>
    <row r="227" spans="1:9" s="1205" customFormat="1">
      <c r="A227" s="1202"/>
      <c r="B227" s="1203"/>
      <c r="C227" s="1203"/>
      <c r="D227" s="1203"/>
      <c r="E227" s="1225"/>
      <c r="I227" s="1206"/>
    </row>
    <row r="228" spans="1:9" s="1205" customFormat="1">
      <c r="A228" s="1202"/>
      <c r="B228" s="1203"/>
      <c r="C228" s="1203"/>
      <c r="D228" s="1203"/>
      <c r="E228" s="1225"/>
      <c r="I228" s="1206"/>
    </row>
    <row r="229" spans="1:9" s="1205" customFormat="1">
      <c r="A229" s="1202"/>
      <c r="B229" s="1203"/>
      <c r="C229" s="1203"/>
      <c r="D229" s="1203"/>
      <c r="E229" s="1225"/>
      <c r="I229" s="1206"/>
    </row>
    <row r="230" spans="1:9" s="1205" customFormat="1">
      <c r="A230" s="1202"/>
      <c r="B230" s="1203"/>
      <c r="C230" s="1203"/>
      <c r="D230" s="1203"/>
      <c r="E230" s="1225"/>
      <c r="I230" s="1206"/>
    </row>
    <row r="231" spans="1:9" s="1205" customFormat="1">
      <c r="A231" s="1202"/>
      <c r="B231" s="1203"/>
      <c r="C231" s="1203"/>
      <c r="D231" s="1203"/>
      <c r="E231" s="1225"/>
      <c r="I231" s="1206"/>
    </row>
    <row r="232" spans="1:9" s="1205" customFormat="1">
      <c r="A232" s="1202"/>
      <c r="B232" s="1203"/>
      <c r="C232" s="1203"/>
      <c r="D232" s="1203"/>
      <c r="E232" s="1225"/>
      <c r="I232" s="1206"/>
    </row>
    <row r="233" spans="1:9" s="1205" customFormat="1">
      <c r="A233" s="1202"/>
      <c r="B233" s="1203"/>
      <c r="C233" s="1203"/>
      <c r="D233" s="1203"/>
      <c r="E233" s="1225"/>
      <c r="I233" s="1206"/>
    </row>
    <row r="234" spans="1:9" s="1205" customFormat="1">
      <c r="A234" s="1202"/>
      <c r="B234" s="1203"/>
      <c r="C234" s="1203"/>
      <c r="D234" s="1203"/>
      <c r="E234" s="1225"/>
      <c r="I234" s="1206"/>
    </row>
    <row r="235" spans="1:9" s="1205" customFormat="1">
      <c r="A235" s="1202"/>
      <c r="B235" s="1203"/>
      <c r="C235" s="1203"/>
      <c r="D235" s="1203"/>
      <c r="E235" s="1225"/>
      <c r="I235" s="1206"/>
    </row>
    <row r="236" spans="1:9" s="1205" customFormat="1">
      <c r="A236" s="1202"/>
      <c r="B236" s="1203"/>
      <c r="C236" s="1203"/>
      <c r="D236" s="1203"/>
      <c r="E236" s="1225"/>
      <c r="I236" s="1206"/>
    </row>
    <row r="237" spans="1:9" s="1205" customFormat="1">
      <c r="A237" s="1202"/>
      <c r="B237" s="1203"/>
      <c r="C237" s="1203"/>
      <c r="D237" s="1203"/>
      <c r="E237" s="1225"/>
      <c r="I237" s="1206"/>
    </row>
    <row r="238" spans="1:9" s="1205" customFormat="1">
      <c r="A238" s="1202"/>
      <c r="B238" s="1203"/>
      <c r="C238" s="1203"/>
      <c r="D238" s="1203"/>
      <c r="E238" s="1225"/>
      <c r="I238" s="1206"/>
    </row>
    <row r="239" spans="1:9" s="1205" customFormat="1">
      <c r="A239" s="1202"/>
      <c r="B239" s="1203"/>
      <c r="C239" s="1203"/>
      <c r="D239" s="1203"/>
      <c r="E239" s="1225"/>
      <c r="I239" s="1206"/>
    </row>
    <row r="240" spans="1:9" s="1205" customFormat="1">
      <c r="A240" s="1202"/>
      <c r="B240" s="1203"/>
      <c r="C240" s="1203"/>
      <c r="D240" s="1203"/>
      <c r="E240" s="1225"/>
      <c r="I240" s="1206"/>
    </row>
    <row r="241" spans="1:9" s="1205" customFormat="1">
      <c r="A241" s="1202"/>
      <c r="B241" s="1203"/>
      <c r="C241" s="1203"/>
      <c r="D241" s="1203"/>
      <c r="E241" s="1225"/>
      <c r="I241" s="1206"/>
    </row>
    <row r="242" spans="1:9" s="1205" customFormat="1">
      <c r="A242" s="1202"/>
      <c r="B242" s="1203"/>
      <c r="C242" s="1203"/>
      <c r="D242" s="1203"/>
      <c r="E242" s="1225"/>
      <c r="I242" s="1206"/>
    </row>
    <row r="243" spans="1:9" s="1205" customFormat="1">
      <c r="A243" s="1202"/>
      <c r="B243" s="1203"/>
      <c r="C243" s="1203"/>
      <c r="D243" s="1203"/>
      <c r="E243" s="1225"/>
      <c r="I243" s="1206"/>
    </row>
    <row r="244" spans="1:9" s="1205" customFormat="1">
      <c r="A244" s="1202"/>
      <c r="B244" s="1203"/>
      <c r="C244" s="1203"/>
      <c r="D244" s="1203"/>
      <c r="E244" s="1225"/>
      <c r="I244" s="1206"/>
    </row>
    <row r="245" spans="1:9" s="1205" customFormat="1">
      <c r="A245" s="1202"/>
      <c r="B245" s="1203"/>
      <c r="C245" s="1203"/>
      <c r="D245" s="1203"/>
      <c r="E245" s="1225"/>
      <c r="I245" s="1206"/>
    </row>
    <row r="246" spans="1:9" s="1205" customFormat="1">
      <c r="A246" s="1202"/>
      <c r="B246" s="1203"/>
      <c r="C246" s="1203"/>
      <c r="D246" s="1203"/>
      <c r="E246" s="1225"/>
      <c r="I246" s="1206"/>
    </row>
    <row r="247" spans="1:9" s="1205" customFormat="1">
      <c r="A247" s="1202"/>
      <c r="B247" s="1203"/>
      <c r="C247" s="1203"/>
      <c r="D247" s="1203"/>
      <c r="E247" s="1225"/>
      <c r="I247" s="1206"/>
    </row>
    <row r="248" spans="1:9">
      <c r="A248" s="1294"/>
      <c r="B248" s="1295"/>
      <c r="C248" s="1295"/>
      <c r="D248" s="1295"/>
      <c r="E248" s="1296"/>
    </row>
    <row r="249" spans="1:9">
      <c r="A249" s="1294"/>
      <c r="B249" s="1295"/>
      <c r="C249" s="1295"/>
      <c r="D249" s="1295"/>
      <c r="E249" s="1296"/>
    </row>
    <row r="250" spans="1:9">
      <c r="A250" s="1294"/>
      <c r="B250" s="1295"/>
      <c r="C250" s="1295"/>
      <c r="D250" s="1295"/>
      <c r="E250" s="1296"/>
    </row>
    <row r="251" spans="1:9">
      <c r="A251" s="1294"/>
      <c r="B251" s="1295"/>
      <c r="C251" s="1295"/>
      <c r="D251" s="1295"/>
      <c r="E251" s="1296"/>
    </row>
    <row r="252" spans="1:9">
      <c r="A252" s="1294"/>
      <c r="B252" s="1295"/>
      <c r="C252" s="1295"/>
      <c r="D252" s="1295"/>
      <c r="E252" s="1296"/>
    </row>
    <row r="253" spans="1:9">
      <c r="A253" s="1294"/>
      <c r="B253" s="1295"/>
      <c r="C253" s="1295"/>
      <c r="D253" s="1295"/>
      <c r="E253" s="1296"/>
    </row>
  </sheetData>
  <sheetProtection password="BD88" sheet="1" objects="1" scenarios="1"/>
  <mergeCells count="55">
    <mergeCell ref="B183:C183"/>
    <mergeCell ref="B184:C184"/>
    <mergeCell ref="B185:C185"/>
    <mergeCell ref="B186:C186"/>
    <mergeCell ref="B187:C187"/>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04:C105"/>
    <mergeCell ref="B125:C126"/>
    <mergeCell ref="F76:K76"/>
    <mergeCell ref="F112:K112"/>
    <mergeCell ref="F107:K107"/>
    <mergeCell ref="F80:H80"/>
    <mergeCell ref="A103:L103"/>
    <mergeCell ref="B95:C96"/>
    <mergeCell ref="B84:C85"/>
    <mergeCell ref="F185:K185"/>
    <mergeCell ref="F186:K186"/>
    <mergeCell ref="F187:K187"/>
    <mergeCell ref="F124:H124"/>
    <mergeCell ref="F142:H142"/>
    <mergeCell ref="F178:K178"/>
    <mergeCell ref="F179:K179"/>
    <mergeCell ref="F180:K180"/>
    <mergeCell ref="F181:K181"/>
    <mergeCell ref="F141:K141"/>
    <mergeCell ref="F183:K183"/>
    <mergeCell ref="F184:K184"/>
    <mergeCell ref="A1:L1"/>
    <mergeCell ref="A3:A4"/>
    <mergeCell ref="E3:E4"/>
    <mergeCell ref="L3:L4"/>
    <mergeCell ref="A13:L13"/>
    <mergeCell ref="F15:H18"/>
    <mergeCell ref="F74:H74"/>
    <mergeCell ref="F75:H75"/>
    <mergeCell ref="A2:L2"/>
    <mergeCell ref="F42:K42"/>
    <mergeCell ref="F32:H32"/>
    <mergeCell ref="F43:H43"/>
    <mergeCell ref="F71:H71"/>
    <mergeCell ref="B40:C42"/>
    <mergeCell ref="B60:C62"/>
    <mergeCell ref="B64:C65"/>
    <mergeCell ref="B66:C6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activeCell="A140"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5703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3.9" customHeight="1">
      <c r="A1" s="928" t="str">
        <f>CONCATENATE("PART SIX - PROJECTED REVENUES &amp; EXPENSES","  -  ",'Part I-Project Information'!$O$4," ",'Part I-Project Information'!$F$23,", ",'Part I-Project Information'!F26,", ",'Part I-Project Information'!J27," County")</f>
        <v>PART SIX - PROJECTED REVENUES &amp; EXPENSES  -  2013-007 Country Grove Apartments, Monroe, Walton County</v>
      </c>
      <c r="B1" s="929"/>
      <c r="C1" s="929"/>
      <c r="D1" s="929"/>
      <c r="E1" s="929"/>
      <c r="F1" s="929"/>
      <c r="G1" s="929"/>
      <c r="H1" s="929"/>
      <c r="I1" s="929"/>
      <c r="J1" s="929"/>
      <c r="K1" s="929"/>
      <c r="L1" s="929"/>
      <c r="M1" s="929"/>
      <c r="N1" s="929"/>
      <c r="O1" s="929"/>
      <c r="P1" s="930"/>
      <c r="T1" s="1045" t="str">
        <f>A1</f>
        <v>PART SIX - PROJECTED REVENUES &amp; EXPENSES  -  2013-007 Country Grove Apartments, Monroe, Walton County</v>
      </c>
      <c r="U1" s="1045"/>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795</v>
      </c>
      <c r="B3" s="5" t="s">
        <v>3120</v>
      </c>
      <c r="C3" s="1"/>
      <c r="E3" s="168" t="s">
        <v>3565</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618</v>
      </c>
      <c r="FB3" s="632" t="s">
        <v>3206</v>
      </c>
      <c r="FC3" s="632" t="s">
        <v>3207</v>
      </c>
      <c r="FD3" s="632" t="s">
        <v>3208</v>
      </c>
      <c r="FE3" s="632" t="s">
        <v>3209</v>
      </c>
      <c r="FF3" s="634"/>
      <c r="FG3" s="634"/>
      <c r="FH3" s="634"/>
      <c r="FI3" s="634"/>
      <c r="FJ3" s="634"/>
      <c r="FK3" s="632" t="s">
        <v>618</v>
      </c>
      <c r="FL3" s="632" t="s">
        <v>3206</v>
      </c>
      <c r="FM3" s="632" t="s">
        <v>3207</v>
      </c>
      <c r="FN3" s="632" t="s">
        <v>3208</v>
      </c>
      <c r="FO3" s="632" t="s">
        <v>3209</v>
      </c>
      <c r="FP3" s="632" t="s">
        <v>618</v>
      </c>
      <c r="FQ3" s="632" t="s">
        <v>3206</v>
      </c>
      <c r="FR3" s="632" t="s">
        <v>3207</v>
      </c>
      <c r="FS3" s="632" t="s">
        <v>3208</v>
      </c>
      <c r="FT3" s="632" t="s">
        <v>3209</v>
      </c>
      <c r="FU3" s="632" t="s">
        <v>618</v>
      </c>
      <c r="FV3" s="632" t="s">
        <v>3206</v>
      </c>
      <c r="FW3" s="632" t="s">
        <v>3207</v>
      </c>
      <c r="FX3" s="632" t="s">
        <v>3208</v>
      </c>
      <c r="FY3" s="632" t="s">
        <v>3209</v>
      </c>
      <c r="FZ3" s="632" t="s">
        <v>618</v>
      </c>
      <c r="GA3" s="632" t="s">
        <v>3206</v>
      </c>
      <c r="GB3" s="632" t="s">
        <v>3207</v>
      </c>
      <c r="GC3" s="632" t="s">
        <v>3208</v>
      </c>
      <c r="GD3" s="632" t="s">
        <v>3209</v>
      </c>
      <c r="GE3" s="632" t="s">
        <v>618</v>
      </c>
      <c r="GF3" s="632" t="s">
        <v>3206</v>
      </c>
      <c r="GG3" s="632" t="s">
        <v>3207</v>
      </c>
      <c r="GH3" s="632" t="s">
        <v>3208</v>
      </c>
      <c r="GI3" s="632" t="s">
        <v>3209</v>
      </c>
      <c r="GJ3" s="632" t="s">
        <v>618</v>
      </c>
      <c r="GK3" s="632" t="s">
        <v>3206</v>
      </c>
      <c r="GL3" s="632" t="s">
        <v>3207</v>
      </c>
      <c r="GM3" s="632" t="s">
        <v>3208</v>
      </c>
      <c r="GN3" s="632" t="s">
        <v>3209</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020" t="s">
        <v>1314</v>
      </c>
      <c r="W4" s="1020" t="s">
        <v>1060</v>
      </c>
      <c r="X4" s="1020" t="s">
        <v>1061</v>
      </c>
      <c r="Y4" s="1020" t="s">
        <v>1062</v>
      </c>
      <c r="Z4" s="1020" t="s">
        <v>1063</v>
      </c>
      <c r="AA4" s="1020" t="s">
        <v>1315</v>
      </c>
      <c r="AB4" s="1020" t="s">
        <v>3040</v>
      </c>
      <c r="AC4" s="1020" t="s">
        <v>3041</v>
      </c>
      <c r="AD4" s="1020" t="s">
        <v>3042</v>
      </c>
      <c r="AE4" s="1020" t="s">
        <v>3043</v>
      </c>
      <c r="AF4" s="1020" t="s">
        <v>1316</v>
      </c>
      <c r="AG4" s="1020" t="s">
        <v>3044</v>
      </c>
      <c r="AH4" s="1020" t="s">
        <v>3045</v>
      </c>
      <c r="AI4" s="1020" t="s">
        <v>3046</v>
      </c>
      <c r="AJ4" s="1020" t="s">
        <v>3047</v>
      </c>
      <c r="AK4" s="1020" t="s">
        <v>136</v>
      </c>
      <c r="AL4" s="1020" t="s">
        <v>3048</v>
      </c>
      <c r="AM4" s="1020" t="s">
        <v>3049</v>
      </c>
      <c r="AN4" s="1020" t="s">
        <v>3050</v>
      </c>
      <c r="AO4" s="1020" t="s">
        <v>1560</v>
      </c>
      <c r="AP4" s="1020" t="s">
        <v>723</v>
      </c>
      <c r="AQ4" s="1020" t="s">
        <v>724</v>
      </c>
      <c r="AR4" s="1020" t="s">
        <v>749</v>
      </c>
      <c r="AS4" s="1020" t="s">
        <v>750</v>
      </c>
      <c r="AT4" s="1020" t="s">
        <v>751</v>
      </c>
      <c r="AU4" s="1020" t="s">
        <v>752</v>
      </c>
      <c r="AV4" s="1020" t="s">
        <v>753</v>
      </c>
      <c r="AW4" s="1020" t="s">
        <v>754</v>
      </c>
      <c r="AX4" s="1020" t="s">
        <v>755</v>
      </c>
      <c r="AY4" s="1020" t="s">
        <v>756</v>
      </c>
      <c r="AZ4" s="1020" t="s">
        <v>757</v>
      </c>
      <c r="BA4" s="1020" t="s">
        <v>758</v>
      </c>
      <c r="BB4" s="1020" t="s">
        <v>1326</v>
      </c>
      <c r="BC4" s="1020" t="s">
        <v>1327</v>
      </c>
      <c r="BD4" s="1020" t="s">
        <v>1328</v>
      </c>
      <c r="BE4" s="1020" t="s">
        <v>630</v>
      </c>
      <c r="BF4" s="1020" t="s">
        <v>631</v>
      </c>
      <c r="BG4" s="1020" t="s">
        <v>632</v>
      </c>
      <c r="BH4" s="1020" t="s">
        <v>633</v>
      </c>
      <c r="BI4" s="1020" t="s">
        <v>634</v>
      </c>
      <c r="BJ4" s="1020" t="s">
        <v>1274</v>
      </c>
      <c r="BK4" s="1020" t="s">
        <v>1275</v>
      </c>
      <c r="BL4" s="1020" t="s">
        <v>1276</v>
      </c>
      <c r="BM4" s="1020" t="s">
        <v>1277</v>
      </c>
      <c r="BN4" s="1020" t="s">
        <v>1278</v>
      </c>
      <c r="BO4" s="1020" t="s">
        <v>1279</v>
      </c>
      <c r="BP4" s="1020" t="s">
        <v>1280</v>
      </c>
      <c r="BQ4" s="1020" t="s">
        <v>1281</v>
      </c>
      <c r="BR4" s="1020" t="s">
        <v>1282</v>
      </c>
      <c r="BS4" s="1020" t="s">
        <v>1283</v>
      </c>
      <c r="BT4" s="1020" t="s">
        <v>3196</v>
      </c>
      <c r="BU4" s="1020" t="s">
        <v>3197</v>
      </c>
      <c r="BV4" s="1020" t="s">
        <v>3198</v>
      </c>
      <c r="BW4" s="1020" t="s">
        <v>3199</v>
      </c>
      <c r="BX4" s="1020" t="s">
        <v>3200</v>
      </c>
      <c r="BY4" s="1020" t="s">
        <v>123</v>
      </c>
      <c r="BZ4" s="1020" t="s">
        <v>1563</v>
      </c>
      <c r="CA4" s="1020" t="s">
        <v>1564</v>
      </c>
      <c r="CB4" s="1020" t="s">
        <v>1633</v>
      </c>
      <c r="CC4" s="1020" t="s">
        <v>1634</v>
      </c>
      <c r="CD4" s="1021" t="s">
        <v>139</v>
      </c>
      <c r="CE4" s="1021" t="s">
        <v>1635</v>
      </c>
      <c r="CF4" s="1021" t="s">
        <v>1636</v>
      </c>
      <c r="CG4" s="1021" t="s">
        <v>1637</v>
      </c>
      <c r="CH4" s="1021" t="s">
        <v>1638</v>
      </c>
      <c r="CI4" s="1021" t="s">
        <v>138</v>
      </c>
      <c r="CJ4" s="1021" t="s">
        <v>1306</v>
      </c>
      <c r="CK4" s="1021" t="s">
        <v>1307</v>
      </c>
      <c r="CL4" s="1021" t="s">
        <v>1308</v>
      </c>
      <c r="CM4" s="1021" t="s">
        <v>1309</v>
      </c>
      <c r="CN4" s="1021" t="s">
        <v>137</v>
      </c>
      <c r="CO4" s="1021" t="s">
        <v>1310</v>
      </c>
      <c r="CP4" s="1021" t="s">
        <v>1311</v>
      </c>
      <c r="CQ4" s="1021" t="s">
        <v>1312</v>
      </c>
      <c r="CR4" s="1021" t="s">
        <v>1313</v>
      </c>
      <c r="CS4" s="1021" t="s">
        <v>1201</v>
      </c>
      <c r="CT4" s="1021" t="s">
        <v>1202</v>
      </c>
      <c r="CU4" s="1021" t="s">
        <v>1203</v>
      </c>
      <c r="CV4" s="1021" t="s">
        <v>1204</v>
      </c>
      <c r="CW4" s="1021" t="s">
        <v>1205</v>
      </c>
      <c r="CX4" s="1021" t="s">
        <v>1353</v>
      </c>
      <c r="CY4" s="1021" t="s">
        <v>1354</v>
      </c>
      <c r="CZ4" s="1021" t="s">
        <v>1355</v>
      </c>
      <c r="DA4" s="1021" t="s">
        <v>1356</v>
      </c>
      <c r="DB4" s="1021" t="s">
        <v>3195</v>
      </c>
      <c r="DC4" s="1021" t="s">
        <v>1875</v>
      </c>
      <c r="DD4" s="1021" t="s">
        <v>1876</v>
      </c>
      <c r="DE4" s="1021" t="s">
        <v>1877</v>
      </c>
      <c r="DF4" s="1021" t="s">
        <v>1878</v>
      </c>
      <c r="DG4" s="1021" t="s">
        <v>1879</v>
      </c>
      <c r="DH4" s="1021" t="s">
        <v>560</v>
      </c>
      <c r="DI4" s="1021" t="s">
        <v>561</v>
      </c>
      <c r="DJ4" s="1021" t="s">
        <v>562</v>
      </c>
      <c r="DK4" s="1021" t="s">
        <v>563</v>
      </c>
      <c r="DL4" s="1021" t="s">
        <v>564</v>
      </c>
      <c r="DM4" s="1021" t="s">
        <v>18</v>
      </c>
      <c r="DN4" s="1021" t="s">
        <v>19</v>
      </c>
      <c r="DO4" s="1021" t="s">
        <v>20</v>
      </c>
      <c r="DP4" s="1021" t="s">
        <v>21</v>
      </c>
      <c r="DQ4" s="1021" t="s">
        <v>22</v>
      </c>
      <c r="DR4" s="1021" t="s">
        <v>243</v>
      </c>
      <c r="DS4" s="1021" t="s">
        <v>244</v>
      </c>
      <c r="DT4" s="1021" t="s">
        <v>245</v>
      </c>
      <c r="DU4" s="1021" t="s">
        <v>2509</v>
      </c>
      <c r="DV4" s="1021" t="s">
        <v>2510</v>
      </c>
      <c r="DW4" s="1021" t="s">
        <v>2511</v>
      </c>
      <c r="DX4" s="1021" t="s">
        <v>765</v>
      </c>
      <c r="DY4" s="1021" t="s">
        <v>766</v>
      </c>
      <c r="DZ4" s="1021" t="s">
        <v>767</v>
      </c>
      <c r="EA4" s="1021" t="s">
        <v>768</v>
      </c>
      <c r="EB4" s="1021" t="s">
        <v>23</v>
      </c>
      <c r="EC4" s="1021" t="s">
        <v>24</v>
      </c>
      <c r="ED4" s="1021" t="s">
        <v>25</v>
      </c>
      <c r="EE4" s="1021" t="s">
        <v>26</v>
      </c>
      <c r="EF4" s="1021" t="s">
        <v>27</v>
      </c>
      <c r="EG4" s="1021" t="s">
        <v>629</v>
      </c>
      <c r="EH4" s="1021" t="s">
        <v>556</v>
      </c>
      <c r="EI4" s="1021" t="s">
        <v>557</v>
      </c>
      <c r="EJ4" s="1021" t="s">
        <v>558</v>
      </c>
      <c r="EK4" s="1021" t="s">
        <v>559</v>
      </c>
      <c r="EL4" s="1021" t="s">
        <v>2929</v>
      </c>
      <c r="EM4" s="1021" t="s">
        <v>2930</v>
      </c>
      <c r="EN4" s="1021" t="s">
        <v>2931</v>
      </c>
      <c r="EO4" s="1021" t="s">
        <v>1927</v>
      </c>
      <c r="EP4" s="1021" t="s">
        <v>1928</v>
      </c>
      <c r="EQ4" s="1021" t="s">
        <v>28</v>
      </c>
      <c r="ER4" s="1021" t="s">
        <v>29</v>
      </c>
      <c r="ES4" s="1021" t="s">
        <v>30</v>
      </c>
      <c r="ET4" s="1021" t="s">
        <v>31</v>
      </c>
      <c r="EU4" s="1021"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021" t="s">
        <v>2226</v>
      </c>
      <c r="GP4" s="1021" t="s">
        <v>3311</v>
      </c>
      <c r="GQ4" s="1021" t="s">
        <v>3312</v>
      </c>
      <c r="GR4" s="1021" t="s">
        <v>420</v>
      </c>
      <c r="GS4" s="1021" t="s">
        <v>421</v>
      </c>
      <c r="GT4" s="1021" t="s">
        <v>422</v>
      </c>
      <c r="GU4" s="1021" t="s">
        <v>423</v>
      </c>
      <c r="GV4" s="1021" t="s">
        <v>424</v>
      </c>
      <c r="GW4" s="1021" t="s">
        <v>425</v>
      </c>
      <c r="GX4" s="1021" t="s">
        <v>426</v>
      </c>
      <c r="GY4" s="1021" t="s">
        <v>220</v>
      </c>
      <c r="GZ4" s="1021" t="s">
        <v>221</v>
      </c>
      <c r="HA4" s="1021" t="s">
        <v>222</v>
      </c>
      <c r="HB4" s="1021" t="s">
        <v>223</v>
      </c>
      <c r="HC4" s="1021" t="s">
        <v>224</v>
      </c>
      <c r="HD4" s="1021" t="s">
        <v>225</v>
      </c>
      <c r="HE4" s="1021" t="s">
        <v>226</v>
      </c>
      <c r="HF4" s="1021" t="s">
        <v>227</v>
      </c>
      <c r="HG4" s="1021" t="s">
        <v>228</v>
      </c>
      <c r="HH4" s="1021" t="s">
        <v>229</v>
      </c>
      <c r="HI4" s="1021" t="s">
        <v>230</v>
      </c>
      <c r="HJ4" s="1021" t="s">
        <v>231</v>
      </c>
      <c r="HK4" s="1021" t="s">
        <v>232</v>
      </c>
      <c r="HL4" s="1021" t="s">
        <v>233</v>
      </c>
      <c r="HM4" s="1021" t="s">
        <v>234</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15" customHeight="1">
      <c r="B5" s="5" t="s">
        <v>2549</v>
      </c>
      <c r="D5" s="1"/>
      <c r="E5" s="5"/>
      <c r="F5" s="1"/>
      <c r="G5" s="1563"/>
      <c r="N5" s="820" t="s">
        <v>748</v>
      </c>
      <c r="P5" s="813" t="s">
        <v>1438</v>
      </c>
      <c r="Q5" s="555"/>
      <c r="R5" s="555"/>
      <c r="S5" s="555"/>
      <c r="V5" s="1020"/>
      <c r="W5" s="1020"/>
      <c r="X5" s="1020"/>
      <c r="Y5" s="1020"/>
      <c r="Z5" s="1020"/>
      <c r="AA5" s="1020"/>
      <c r="AB5" s="1020"/>
      <c r="AC5" s="1020"/>
      <c r="AD5" s="1020"/>
      <c r="AE5" s="1020"/>
      <c r="AF5" s="1020"/>
      <c r="AG5" s="1020"/>
      <c r="AH5" s="1020"/>
      <c r="AI5" s="1020"/>
      <c r="AJ5" s="1020"/>
      <c r="AK5" s="1020"/>
      <c r="AL5" s="1020"/>
      <c r="AM5" s="1020"/>
      <c r="AN5" s="1020"/>
      <c r="AO5" s="1020"/>
      <c r="AP5" s="1020"/>
      <c r="AQ5" s="1020"/>
      <c r="AR5" s="1020"/>
      <c r="AS5" s="1020"/>
      <c r="AT5" s="1020"/>
      <c r="AU5" s="1020"/>
      <c r="AV5" s="1020"/>
      <c r="AW5" s="1020"/>
      <c r="AX5" s="1020"/>
      <c r="AY5" s="1020"/>
      <c r="AZ5" s="1020"/>
      <c r="BA5" s="1020"/>
      <c r="BB5" s="1020"/>
      <c r="BC5" s="1020"/>
      <c r="BD5" s="1020"/>
      <c r="BE5" s="1020"/>
      <c r="BF5" s="1020"/>
      <c r="BG5" s="1020"/>
      <c r="BH5" s="1020"/>
      <c r="BI5" s="1020"/>
      <c r="BJ5" s="1020"/>
      <c r="BK5" s="1020"/>
      <c r="BL5" s="1020"/>
      <c r="BM5" s="1020"/>
      <c r="BN5" s="1020"/>
      <c r="BO5" s="1020"/>
      <c r="BP5" s="1020"/>
      <c r="BQ5" s="1020"/>
      <c r="BR5" s="1020"/>
      <c r="BS5" s="1020"/>
      <c r="BT5" s="1020"/>
      <c r="BU5" s="1020"/>
      <c r="BV5" s="1020"/>
      <c r="BW5" s="1020"/>
      <c r="BX5" s="1020"/>
      <c r="BY5" s="1020"/>
      <c r="BZ5" s="1020"/>
      <c r="CA5" s="1020"/>
      <c r="CB5" s="1020"/>
      <c r="CC5" s="1020"/>
      <c r="CD5" s="1021"/>
      <c r="CE5" s="1021"/>
      <c r="CF5" s="1021"/>
      <c r="CG5" s="1021"/>
      <c r="CH5" s="1021"/>
      <c r="CI5" s="1021"/>
      <c r="CJ5" s="1021"/>
      <c r="CK5" s="1021"/>
      <c r="CL5" s="1021"/>
      <c r="CM5" s="1021"/>
      <c r="CN5" s="1021"/>
      <c r="CO5" s="1021"/>
      <c r="CP5" s="1021"/>
      <c r="CQ5" s="1021"/>
      <c r="CR5" s="1021"/>
      <c r="CS5" s="1021"/>
      <c r="CT5" s="1021"/>
      <c r="CU5" s="1021"/>
      <c r="CV5" s="1021"/>
      <c r="CW5" s="1021"/>
      <c r="CX5" s="1021"/>
      <c r="CY5" s="1021"/>
      <c r="CZ5" s="1021"/>
      <c r="DA5" s="1021"/>
      <c r="DB5" s="1021"/>
      <c r="DC5" s="1021"/>
      <c r="DD5" s="1021"/>
      <c r="DE5" s="1021"/>
      <c r="DF5" s="1021"/>
      <c r="DG5" s="1021"/>
      <c r="DH5" s="1021"/>
      <c r="DI5" s="1021"/>
      <c r="DJ5" s="1021"/>
      <c r="DK5" s="1021"/>
      <c r="DL5" s="1021"/>
      <c r="DM5" s="1021"/>
      <c r="DN5" s="1021"/>
      <c r="DO5" s="1021"/>
      <c r="DP5" s="1021"/>
      <c r="DQ5" s="1021"/>
      <c r="DR5" s="1021"/>
      <c r="DS5" s="1021"/>
      <c r="DT5" s="1021"/>
      <c r="DU5" s="1021"/>
      <c r="DV5" s="1021"/>
      <c r="DW5" s="1021"/>
      <c r="DX5" s="1021"/>
      <c r="DY5" s="1021"/>
      <c r="DZ5" s="1021"/>
      <c r="EA5" s="1021"/>
      <c r="EB5" s="1021"/>
      <c r="EC5" s="1021"/>
      <c r="ED5" s="1021"/>
      <c r="EE5" s="1021"/>
      <c r="EF5" s="1021"/>
      <c r="EG5" s="1021"/>
      <c r="EH5" s="1021"/>
      <c r="EI5" s="1021"/>
      <c r="EJ5" s="1021"/>
      <c r="EK5" s="1021"/>
      <c r="EL5" s="1021"/>
      <c r="EM5" s="1021"/>
      <c r="EN5" s="1021"/>
      <c r="EO5" s="1021"/>
      <c r="EP5" s="1021"/>
      <c r="EQ5" s="1021"/>
      <c r="ER5" s="1021"/>
      <c r="ES5" s="1021"/>
      <c r="ET5" s="1021"/>
      <c r="EU5" s="1021"/>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021"/>
      <c r="GP5" s="1021"/>
      <c r="GQ5" s="1021"/>
      <c r="GR5" s="1021"/>
      <c r="GS5" s="1021"/>
      <c r="GT5" s="1021"/>
      <c r="GU5" s="1021"/>
      <c r="GV5" s="1021"/>
      <c r="GW5" s="1021"/>
      <c r="GX5" s="1021"/>
      <c r="GY5" s="1021"/>
      <c r="GZ5" s="1021"/>
      <c r="HA5" s="1021"/>
      <c r="HB5" s="1021"/>
      <c r="HC5" s="1021"/>
      <c r="HD5" s="1021"/>
      <c r="HE5" s="1021"/>
      <c r="HF5" s="1021"/>
      <c r="HG5" s="1021"/>
      <c r="HH5" s="1021"/>
      <c r="HI5" s="1021"/>
      <c r="HJ5" s="1021"/>
      <c r="HK5" s="1021"/>
      <c r="HL5" s="1021"/>
      <c r="HM5" s="1021"/>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15" customHeight="1">
      <c r="B6" s="33" t="s">
        <v>2502</v>
      </c>
      <c r="D6" s="1"/>
      <c r="E6" s="5"/>
      <c r="G6" s="1564" t="s">
        <v>4063</v>
      </c>
      <c r="J6" s="811" t="s">
        <v>3168</v>
      </c>
      <c r="N6" s="1039" t="str">
        <f>'Part I-Project Information'!$J$28</f>
        <v>Atlanta-Sandy Springs-Marietta</v>
      </c>
      <c r="O6" s="1039"/>
      <c r="P6" s="558">
        <f>VLOOKUP('Part I-Project Information'!$J$28,'DCA Underwriting Assumptions'!$C$81:$D$191,2)</f>
        <v>66300</v>
      </c>
      <c r="Q6" s="628"/>
      <c r="R6" s="1041" t="s">
        <v>3600</v>
      </c>
      <c r="S6" s="1041"/>
      <c r="V6" s="1020"/>
      <c r="W6" s="1020"/>
      <c r="X6" s="1020"/>
      <c r="Y6" s="1020"/>
      <c r="Z6" s="1020"/>
      <c r="AA6" s="1020"/>
      <c r="AB6" s="1020"/>
      <c r="AC6" s="1020"/>
      <c r="AD6" s="1020"/>
      <c r="AE6" s="1020"/>
      <c r="AF6" s="1020"/>
      <c r="AG6" s="1020"/>
      <c r="AH6" s="1020"/>
      <c r="AI6" s="1020"/>
      <c r="AJ6" s="1020"/>
      <c r="AK6" s="1020"/>
      <c r="AL6" s="1020"/>
      <c r="AM6" s="1020"/>
      <c r="AN6" s="1020"/>
      <c r="AO6" s="1020"/>
      <c r="AP6" s="1020"/>
      <c r="AQ6" s="1020"/>
      <c r="AR6" s="1020"/>
      <c r="AS6" s="1020"/>
      <c r="AT6" s="1020"/>
      <c r="AU6" s="1020"/>
      <c r="AV6" s="1020"/>
      <c r="AW6" s="1020"/>
      <c r="AX6" s="1020"/>
      <c r="AY6" s="1020"/>
      <c r="AZ6" s="1020"/>
      <c r="BA6" s="1020"/>
      <c r="BB6" s="1020"/>
      <c r="BC6" s="1020"/>
      <c r="BD6" s="1020"/>
      <c r="BE6" s="1020"/>
      <c r="BF6" s="1020"/>
      <c r="BG6" s="1020"/>
      <c r="BH6" s="1020"/>
      <c r="BI6" s="1020"/>
      <c r="BJ6" s="1020"/>
      <c r="BK6" s="1020"/>
      <c r="BL6" s="1020"/>
      <c r="BM6" s="1020"/>
      <c r="BN6" s="1020"/>
      <c r="BO6" s="1020"/>
      <c r="BP6" s="1020"/>
      <c r="BQ6" s="1020"/>
      <c r="BR6" s="1020"/>
      <c r="BS6" s="1020"/>
      <c r="BT6" s="1020"/>
      <c r="BU6" s="1020"/>
      <c r="BV6" s="1020"/>
      <c r="BW6" s="1020"/>
      <c r="BX6" s="1020"/>
      <c r="BY6" s="1020"/>
      <c r="BZ6" s="1020"/>
      <c r="CA6" s="1020"/>
      <c r="CB6" s="1020"/>
      <c r="CC6" s="1020"/>
      <c r="CD6" s="1021"/>
      <c r="CE6" s="1021"/>
      <c r="CF6" s="1021"/>
      <c r="CG6" s="1021"/>
      <c r="CH6" s="1021"/>
      <c r="CI6" s="1021"/>
      <c r="CJ6" s="1021"/>
      <c r="CK6" s="1021"/>
      <c r="CL6" s="1021"/>
      <c r="CM6" s="1021"/>
      <c r="CN6" s="1021"/>
      <c r="CO6" s="1021"/>
      <c r="CP6" s="1021"/>
      <c r="CQ6" s="1021"/>
      <c r="CR6" s="1021"/>
      <c r="CS6" s="1021"/>
      <c r="CT6" s="1021"/>
      <c r="CU6" s="1021"/>
      <c r="CV6" s="1021"/>
      <c r="CW6" s="1021"/>
      <c r="CX6" s="1021"/>
      <c r="CY6" s="1021"/>
      <c r="CZ6" s="1021"/>
      <c r="DA6" s="1021"/>
      <c r="DB6" s="1021"/>
      <c r="DC6" s="1021"/>
      <c r="DD6" s="1021"/>
      <c r="DE6" s="1021"/>
      <c r="DF6" s="1021"/>
      <c r="DG6" s="1021"/>
      <c r="DH6" s="1021"/>
      <c r="DI6" s="1021"/>
      <c r="DJ6" s="1021"/>
      <c r="DK6" s="1021"/>
      <c r="DL6" s="1021"/>
      <c r="DM6" s="1021"/>
      <c r="DN6" s="1021"/>
      <c r="DO6" s="1021"/>
      <c r="DP6" s="1021"/>
      <c r="DQ6" s="1021"/>
      <c r="DR6" s="1021"/>
      <c r="DS6" s="1021"/>
      <c r="DT6" s="1021"/>
      <c r="DU6" s="1021"/>
      <c r="DV6" s="1021"/>
      <c r="DW6" s="1021"/>
      <c r="DX6" s="1021"/>
      <c r="DY6" s="1021"/>
      <c r="DZ6" s="1021"/>
      <c r="EA6" s="1021"/>
      <c r="EB6" s="1021"/>
      <c r="EC6" s="1021"/>
      <c r="ED6" s="1021"/>
      <c r="EE6" s="1021"/>
      <c r="EF6" s="1021"/>
      <c r="EG6" s="1021"/>
      <c r="EH6" s="1021"/>
      <c r="EI6" s="1021"/>
      <c r="EJ6" s="1021"/>
      <c r="EK6" s="1021"/>
      <c r="EL6" s="1021"/>
      <c r="EM6" s="1021"/>
      <c r="EN6" s="1021"/>
      <c r="EO6" s="1021"/>
      <c r="EP6" s="1021"/>
      <c r="EQ6" s="1021"/>
      <c r="ER6" s="1021"/>
      <c r="ES6" s="1021"/>
      <c r="ET6" s="1021"/>
      <c r="EU6" s="1021"/>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021"/>
      <c r="GP6" s="1021"/>
      <c r="GQ6" s="1021"/>
      <c r="GR6" s="1021"/>
      <c r="GS6" s="1021"/>
      <c r="GT6" s="1021"/>
      <c r="GU6" s="1021"/>
      <c r="GV6" s="1021"/>
      <c r="GW6" s="1021"/>
      <c r="GX6" s="1021"/>
      <c r="GY6" s="1021"/>
      <c r="GZ6" s="1021"/>
      <c r="HA6" s="1021"/>
      <c r="HB6" s="1021"/>
      <c r="HC6" s="1021"/>
      <c r="HD6" s="1021"/>
      <c r="HE6" s="1021"/>
      <c r="HF6" s="1021"/>
      <c r="HG6" s="1021"/>
      <c r="HH6" s="1021"/>
      <c r="HI6" s="1021"/>
      <c r="HJ6" s="1021"/>
      <c r="HK6" s="1021"/>
      <c r="HL6" s="1021"/>
      <c r="HM6" s="1021"/>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3.9" customHeight="1">
      <c r="A7" s="1038" t="str">
        <f>IF(A48&gt;0,"Finish!","")</f>
        <v/>
      </c>
      <c r="B7" s="5"/>
      <c r="C7" s="1"/>
      <c r="D7" s="5"/>
      <c r="E7" s="1"/>
      <c r="F7" s="1"/>
      <c r="G7" s="1"/>
      <c r="H7" s="1"/>
      <c r="I7" s="1"/>
      <c r="J7" s="811" t="s">
        <v>3169</v>
      </c>
      <c r="K7" s="1"/>
      <c r="L7" s="1"/>
      <c r="M7" s="1"/>
      <c r="N7" s="37"/>
      <c r="O7" s="37"/>
      <c r="P7" s="664"/>
      <c r="Q7" s="664"/>
      <c r="R7" s="665"/>
      <c r="S7" s="666" t="s">
        <v>3597</v>
      </c>
      <c r="T7" s="554"/>
      <c r="U7" s="555"/>
      <c r="V7" s="1020"/>
      <c r="W7" s="1020"/>
      <c r="X7" s="1020"/>
      <c r="Y7" s="1020"/>
      <c r="Z7" s="1020"/>
      <c r="AA7" s="1020"/>
      <c r="AB7" s="1020"/>
      <c r="AC7" s="1020"/>
      <c r="AD7" s="1020"/>
      <c r="AE7" s="1020"/>
      <c r="AF7" s="1020"/>
      <c r="AG7" s="1020"/>
      <c r="AH7" s="1020"/>
      <c r="AI7" s="1020"/>
      <c r="AJ7" s="1020"/>
      <c r="AK7" s="1020"/>
      <c r="AL7" s="1020"/>
      <c r="AM7" s="1020"/>
      <c r="AN7" s="1020"/>
      <c r="AO7" s="1020"/>
      <c r="AP7" s="1020"/>
      <c r="AQ7" s="1020"/>
      <c r="AR7" s="1020"/>
      <c r="AS7" s="1020"/>
      <c r="AT7" s="1020"/>
      <c r="AU7" s="1020"/>
      <c r="AV7" s="1020"/>
      <c r="AW7" s="1020"/>
      <c r="AX7" s="1020"/>
      <c r="AY7" s="1020"/>
      <c r="AZ7" s="1020"/>
      <c r="BA7" s="1020"/>
      <c r="BB7" s="1020"/>
      <c r="BC7" s="1020"/>
      <c r="BD7" s="1020"/>
      <c r="BE7" s="1020"/>
      <c r="BF7" s="1020"/>
      <c r="BG7" s="1020"/>
      <c r="BH7" s="1020"/>
      <c r="BI7" s="1020"/>
      <c r="BJ7" s="1020"/>
      <c r="BK7" s="1020"/>
      <c r="BL7" s="1020"/>
      <c r="BM7" s="1020"/>
      <c r="BN7" s="1020"/>
      <c r="BO7" s="1020"/>
      <c r="BP7" s="1020"/>
      <c r="BQ7" s="1020"/>
      <c r="BR7" s="1020"/>
      <c r="BS7" s="1020"/>
      <c r="BT7" s="1020"/>
      <c r="BU7" s="1020"/>
      <c r="BV7" s="1020"/>
      <c r="BW7" s="1020"/>
      <c r="BX7" s="1020"/>
      <c r="BY7" s="1020"/>
      <c r="BZ7" s="1020"/>
      <c r="CA7" s="1020"/>
      <c r="CB7" s="1020"/>
      <c r="CC7" s="1020"/>
      <c r="CD7" s="1021"/>
      <c r="CE7" s="1021"/>
      <c r="CF7" s="1021"/>
      <c r="CG7" s="1021"/>
      <c r="CH7" s="1021"/>
      <c r="CI7" s="1021"/>
      <c r="CJ7" s="1021"/>
      <c r="CK7" s="1021"/>
      <c r="CL7" s="1021"/>
      <c r="CM7" s="1021"/>
      <c r="CN7" s="1021"/>
      <c r="CO7" s="1021"/>
      <c r="CP7" s="1021"/>
      <c r="CQ7" s="1021"/>
      <c r="CR7" s="1021"/>
      <c r="CS7" s="1021"/>
      <c r="CT7" s="1021"/>
      <c r="CU7" s="1021"/>
      <c r="CV7" s="1021"/>
      <c r="CW7" s="1021"/>
      <c r="CX7" s="1021"/>
      <c r="CY7" s="1021"/>
      <c r="CZ7" s="1021"/>
      <c r="DA7" s="1021"/>
      <c r="DB7" s="1021"/>
      <c r="DC7" s="1021"/>
      <c r="DD7" s="1021"/>
      <c r="DE7" s="1021"/>
      <c r="DF7" s="1021"/>
      <c r="DG7" s="1021"/>
      <c r="DH7" s="1021"/>
      <c r="DI7" s="1021"/>
      <c r="DJ7" s="1021"/>
      <c r="DK7" s="1021"/>
      <c r="DL7" s="1021"/>
      <c r="DM7" s="1021"/>
      <c r="DN7" s="1021"/>
      <c r="DO7" s="1021"/>
      <c r="DP7" s="1021"/>
      <c r="DQ7" s="1021"/>
      <c r="DR7" s="1021"/>
      <c r="DS7" s="1021"/>
      <c r="DT7" s="1021"/>
      <c r="DU7" s="1021"/>
      <c r="DV7" s="1021"/>
      <c r="DW7" s="1021"/>
      <c r="DX7" s="1021"/>
      <c r="DY7" s="1021"/>
      <c r="DZ7" s="1021"/>
      <c r="EA7" s="1021"/>
      <c r="EB7" s="1021"/>
      <c r="EC7" s="1021"/>
      <c r="ED7" s="1021"/>
      <c r="EE7" s="1021"/>
      <c r="EF7" s="1021"/>
      <c r="EG7" s="1021"/>
      <c r="EH7" s="1021"/>
      <c r="EI7" s="1021"/>
      <c r="EJ7" s="1021"/>
      <c r="EK7" s="1021"/>
      <c r="EL7" s="1021"/>
      <c r="EM7" s="1021"/>
      <c r="EN7" s="1021"/>
      <c r="EO7" s="1021"/>
      <c r="EP7" s="1021"/>
      <c r="EQ7" s="1021"/>
      <c r="ER7" s="1021"/>
      <c r="ES7" s="1021"/>
      <c r="ET7" s="1021"/>
      <c r="EU7" s="1021"/>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021"/>
      <c r="GP7" s="1021"/>
      <c r="GQ7" s="1021"/>
      <c r="GR7" s="1021"/>
      <c r="GS7" s="1021"/>
      <c r="GT7" s="1021"/>
      <c r="GU7" s="1021"/>
      <c r="GV7" s="1021"/>
      <c r="GW7" s="1021"/>
      <c r="GX7" s="1021"/>
      <c r="GY7" s="1021"/>
      <c r="GZ7" s="1021"/>
      <c r="HA7" s="1021"/>
      <c r="HB7" s="1021"/>
      <c r="HC7" s="1021"/>
      <c r="HD7" s="1021"/>
      <c r="HE7" s="1021"/>
      <c r="HF7" s="1021"/>
      <c r="HG7" s="1021"/>
      <c r="HH7" s="1021"/>
      <c r="HI7" s="1021"/>
      <c r="HJ7" s="1021"/>
      <c r="HK7" s="1021"/>
      <c r="HL7" s="1021"/>
      <c r="HM7" s="1021"/>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3.9" customHeight="1">
      <c r="A8" s="1038"/>
      <c r="B8" s="198" t="s">
        <v>1926</v>
      </c>
      <c r="C8" s="811" t="s">
        <v>188</v>
      </c>
      <c r="D8" s="811" t="s">
        <v>711</v>
      </c>
      <c r="E8" s="811" t="s">
        <v>1924</v>
      </c>
      <c r="F8" s="811" t="s">
        <v>1924</v>
      </c>
      <c r="G8" s="811" t="s">
        <v>3145</v>
      </c>
      <c r="H8" s="811" t="s">
        <v>3143</v>
      </c>
      <c r="I8" s="811" t="s">
        <v>1190</v>
      </c>
      <c r="J8" s="811" t="s">
        <v>3170</v>
      </c>
      <c r="K8" s="1037" t="s">
        <v>152</v>
      </c>
      <c r="L8" s="1037"/>
      <c r="M8" s="811" t="s">
        <v>3121</v>
      </c>
      <c r="N8" s="811" t="s">
        <v>698</v>
      </c>
      <c r="O8" s="811" t="s">
        <v>417</v>
      </c>
      <c r="P8" s="1040" t="s">
        <v>1445</v>
      </c>
      <c r="Q8" s="1040"/>
      <c r="R8" s="812" t="s">
        <v>3596</v>
      </c>
      <c r="S8" s="812" t="s">
        <v>3598</v>
      </c>
      <c r="T8" s="556"/>
      <c r="U8" s="557"/>
      <c r="V8" s="1020"/>
      <c r="W8" s="1020"/>
      <c r="X8" s="1020"/>
      <c r="Y8" s="1020"/>
      <c r="Z8" s="1020"/>
      <c r="AA8" s="1020"/>
      <c r="AB8" s="1020"/>
      <c r="AC8" s="1020"/>
      <c r="AD8" s="1020"/>
      <c r="AE8" s="1020"/>
      <c r="AF8" s="1020"/>
      <c r="AG8" s="1020"/>
      <c r="AH8" s="1020"/>
      <c r="AI8" s="1020"/>
      <c r="AJ8" s="1020"/>
      <c r="AK8" s="1020"/>
      <c r="AL8" s="1020"/>
      <c r="AM8" s="1020"/>
      <c r="AN8" s="1020"/>
      <c r="AO8" s="1020"/>
      <c r="AP8" s="1020"/>
      <c r="AQ8" s="1020"/>
      <c r="AR8" s="1020"/>
      <c r="AS8" s="1020"/>
      <c r="AT8" s="1020"/>
      <c r="AU8" s="1020"/>
      <c r="AV8" s="1020"/>
      <c r="AW8" s="1020"/>
      <c r="AX8" s="1020"/>
      <c r="AY8" s="1020"/>
      <c r="AZ8" s="1020"/>
      <c r="BA8" s="1020"/>
      <c r="BB8" s="1020"/>
      <c r="BC8" s="1020"/>
      <c r="BD8" s="1020"/>
      <c r="BE8" s="1020"/>
      <c r="BF8" s="1020"/>
      <c r="BG8" s="1020"/>
      <c r="BH8" s="1020"/>
      <c r="BI8" s="1020"/>
      <c r="BJ8" s="1020"/>
      <c r="BK8" s="1020"/>
      <c r="BL8" s="1020"/>
      <c r="BM8" s="1020"/>
      <c r="BN8" s="1020"/>
      <c r="BO8" s="1020"/>
      <c r="BP8" s="1020"/>
      <c r="BQ8" s="1020"/>
      <c r="BR8" s="1020"/>
      <c r="BS8" s="1020"/>
      <c r="BT8" s="1020"/>
      <c r="BU8" s="1020"/>
      <c r="BV8" s="1020"/>
      <c r="BW8" s="1020"/>
      <c r="BX8" s="1020"/>
      <c r="BY8" s="1020"/>
      <c r="BZ8" s="1020"/>
      <c r="CA8" s="1020"/>
      <c r="CB8" s="1020"/>
      <c r="CC8" s="1020"/>
      <c r="CD8" s="1021"/>
      <c r="CE8" s="1021"/>
      <c r="CF8" s="1021"/>
      <c r="CG8" s="1021"/>
      <c r="CH8" s="1021"/>
      <c r="CI8" s="1021"/>
      <c r="CJ8" s="1021"/>
      <c r="CK8" s="1021"/>
      <c r="CL8" s="1021"/>
      <c r="CM8" s="1021"/>
      <c r="CN8" s="1021"/>
      <c r="CO8" s="1021"/>
      <c r="CP8" s="1021"/>
      <c r="CQ8" s="1021"/>
      <c r="CR8" s="1021"/>
      <c r="CS8" s="1021"/>
      <c r="CT8" s="1021"/>
      <c r="CU8" s="1021"/>
      <c r="CV8" s="1021"/>
      <c r="CW8" s="1021"/>
      <c r="CX8" s="1021"/>
      <c r="CY8" s="1021"/>
      <c r="CZ8" s="1021"/>
      <c r="DA8" s="1021"/>
      <c r="DB8" s="1021"/>
      <c r="DC8" s="1021"/>
      <c r="DD8" s="1021"/>
      <c r="DE8" s="1021"/>
      <c r="DF8" s="1021"/>
      <c r="DG8" s="1021"/>
      <c r="DH8" s="1021"/>
      <c r="DI8" s="1021"/>
      <c r="DJ8" s="1021"/>
      <c r="DK8" s="1021"/>
      <c r="DL8" s="1021"/>
      <c r="DM8" s="1021"/>
      <c r="DN8" s="1021"/>
      <c r="DO8" s="1021"/>
      <c r="DP8" s="1021"/>
      <c r="DQ8" s="1021"/>
      <c r="DR8" s="1021"/>
      <c r="DS8" s="1021"/>
      <c r="DT8" s="1021"/>
      <c r="DU8" s="1021"/>
      <c r="DV8" s="1021"/>
      <c r="DW8" s="1021"/>
      <c r="DX8" s="1021"/>
      <c r="DY8" s="1021"/>
      <c r="DZ8" s="1021"/>
      <c r="EA8" s="1021"/>
      <c r="EB8" s="1021"/>
      <c r="EC8" s="1021"/>
      <c r="ED8" s="1021"/>
      <c r="EE8" s="1021"/>
      <c r="EF8" s="1021"/>
      <c r="EG8" s="1021"/>
      <c r="EH8" s="1021"/>
      <c r="EI8" s="1021"/>
      <c r="EJ8" s="1021"/>
      <c r="EK8" s="1021"/>
      <c r="EL8" s="1021"/>
      <c r="EM8" s="1021"/>
      <c r="EN8" s="1021"/>
      <c r="EO8" s="1021"/>
      <c r="EP8" s="1021"/>
      <c r="EQ8" s="1021"/>
      <c r="ER8" s="1021"/>
      <c r="ES8" s="1021"/>
      <c r="ET8" s="1021"/>
      <c r="EU8" s="1021"/>
      <c r="EV8" s="1021" t="s">
        <v>1907</v>
      </c>
      <c r="EW8" s="635" t="s">
        <v>3206</v>
      </c>
      <c r="EX8" s="635" t="s">
        <v>3207</v>
      </c>
      <c r="EY8" s="635" t="s">
        <v>3208</v>
      </c>
      <c r="EZ8" s="635" t="s">
        <v>3209</v>
      </c>
      <c r="FA8" s="1021" t="s">
        <v>3278</v>
      </c>
      <c r="FB8" s="1021" t="s">
        <v>3278</v>
      </c>
      <c r="FC8" s="1021" t="s">
        <v>3278</v>
      </c>
      <c r="FD8" s="1021" t="s">
        <v>3278</v>
      </c>
      <c r="FE8" s="1021" t="s">
        <v>3278</v>
      </c>
      <c r="FF8" s="635" t="s">
        <v>618</v>
      </c>
      <c r="FG8" s="635" t="s">
        <v>3206</v>
      </c>
      <c r="FH8" s="635" t="s">
        <v>3207</v>
      </c>
      <c r="FI8" s="635" t="s">
        <v>3208</v>
      </c>
      <c r="FJ8" s="635" t="s">
        <v>3209</v>
      </c>
      <c r="FK8" s="1021" t="s">
        <v>3280</v>
      </c>
      <c r="FL8" s="1021" t="s">
        <v>3280</v>
      </c>
      <c r="FM8" s="1021" t="s">
        <v>3280</v>
      </c>
      <c r="FN8" s="1021" t="s">
        <v>3280</v>
      </c>
      <c r="FO8" s="1021" t="s">
        <v>3280</v>
      </c>
      <c r="FP8" s="1021" t="s">
        <v>392</v>
      </c>
      <c r="FQ8" s="1021" t="s">
        <v>392</v>
      </c>
      <c r="FR8" s="1021" t="s">
        <v>392</v>
      </c>
      <c r="FS8" s="1021" t="s">
        <v>392</v>
      </c>
      <c r="FT8" s="1021" t="s">
        <v>392</v>
      </c>
      <c r="FU8" s="1021" t="s">
        <v>393</v>
      </c>
      <c r="FV8" s="1021" t="s">
        <v>393</v>
      </c>
      <c r="FW8" s="1021" t="s">
        <v>393</v>
      </c>
      <c r="FX8" s="1021" t="s">
        <v>393</v>
      </c>
      <c r="FY8" s="1021" t="s">
        <v>393</v>
      </c>
      <c r="FZ8" s="1021" t="s">
        <v>394</v>
      </c>
      <c r="GA8" s="1021" t="s">
        <v>394</v>
      </c>
      <c r="GB8" s="1021" t="s">
        <v>394</v>
      </c>
      <c r="GC8" s="1021" t="s">
        <v>394</v>
      </c>
      <c r="GD8" s="1021" t="s">
        <v>394</v>
      </c>
      <c r="GE8" s="1021" t="s">
        <v>395</v>
      </c>
      <c r="GF8" s="1021" t="s">
        <v>395</v>
      </c>
      <c r="GG8" s="1021" t="s">
        <v>395</v>
      </c>
      <c r="GH8" s="1021" t="s">
        <v>395</v>
      </c>
      <c r="GI8" s="1021" t="s">
        <v>395</v>
      </c>
      <c r="GJ8" s="1021" t="s">
        <v>1906</v>
      </c>
      <c r="GK8" s="1021" t="s">
        <v>1906</v>
      </c>
      <c r="GL8" s="1021" t="s">
        <v>1906</v>
      </c>
      <c r="GM8" s="1021" t="s">
        <v>1906</v>
      </c>
      <c r="GN8" s="1021" t="s">
        <v>1906</v>
      </c>
      <c r="GO8" s="1021"/>
      <c r="GP8" s="1021"/>
      <c r="GQ8" s="1021"/>
      <c r="GR8" s="1021"/>
      <c r="GS8" s="1021"/>
      <c r="GT8" s="1021"/>
      <c r="GU8" s="1021"/>
      <c r="GV8" s="1021"/>
      <c r="GW8" s="1021"/>
      <c r="GX8" s="1021"/>
      <c r="GY8" s="1021"/>
      <c r="GZ8" s="1021"/>
      <c r="HA8" s="1021"/>
      <c r="HB8" s="1021"/>
      <c r="HC8" s="1021"/>
      <c r="HD8" s="1021"/>
      <c r="HE8" s="1021"/>
      <c r="HF8" s="1021"/>
      <c r="HG8" s="1021"/>
      <c r="HH8" s="1021"/>
      <c r="HI8" s="1021"/>
      <c r="HJ8" s="1021"/>
      <c r="HK8" s="1021"/>
      <c r="HL8" s="1021"/>
      <c r="HM8" s="1021"/>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3.9" customHeight="1">
      <c r="A9" s="1038"/>
      <c r="B9" s="198" t="s">
        <v>1729</v>
      </c>
      <c r="C9" s="811" t="s">
        <v>187</v>
      </c>
      <c r="D9" s="811" t="s">
        <v>189</v>
      </c>
      <c r="E9" s="811" t="s">
        <v>1925</v>
      </c>
      <c r="F9" s="811" t="s">
        <v>1703</v>
      </c>
      <c r="G9" s="811" t="s">
        <v>1704</v>
      </c>
      <c r="H9" s="811" t="s">
        <v>3144</v>
      </c>
      <c r="I9" s="811" t="s">
        <v>1191</v>
      </c>
      <c r="J9" s="625" t="s">
        <v>383</v>
      </c>
      <c r="K9" s="811" t="s">
        <v>1986</v>
      </c>
      <c r="L9" s="811" t="s">
        <v>705</v>
      </c>
      <c r="M9" s="811" t="s">
        <v>1924</v>
      </c>
      <c r="N9" s="811" t="s">
        <v>1729</v>
      </c>
      <c r="O9" s="811" t="s">
        <v>418</v>
      </c>
      <c r="P9" s="812" t="s">
        <v>1443</v>
      </c>
      <c r="Q9" s="812" t="s">
        <v>1444</v>
      </c>
      <c r="R9" s="812" t="s">
        <v>1926</v>
      </c>
      <c r="S9" s="812" t="s">
        <v>3599</v>
      </c>
      <c r="T9" s="915" t="s">
        <v>2548</v>
      </c>
      <c r="U9" s="915"/>
      <c r="V9" s="1020"/>
      <c r="W9" s="1020"/>
      <c r="X9" s="1020"/>
      <c r="Y9" s="1020"/>
      <c r="Z9" s="1020"/>
      <c r="AA9" s="1020"/>
      <c r="AB9" s="1020"/>
      <c r="AC9" s="1020"/>
      <c r="AD9" s="1020"/>
      <c r="AE9" s="1020"/>
      <c r="AF9" s="1020"/>
      <c r="AG9" s="1020"/>
      <c r="AH9" s="1020"/>
      <c r="AI9" s="1020"/>
      <c r="AJ9" s="1020"/>
      <c r="AK9" s="1020"/>
      <c r="AL9" s="1020"/>
      <c r="AM9" s="1020"/>
      <c r="AN9" s="1020"/>
      <c r="AO9" s="1020"/>
      <c r="AP9" s="1020"/>
      <c r="AQ9" s="1020"/>
      <c r="AR9" s="1020"/>
      <c r="AS9" s="1020"/>
      <c r="AT9" s="1020"/>
      <c r="AU9" s="1020"/>
      <c r="AV9" s="1020"/>
      <c r="AW9" s="1020"/>
      <c r="AX9" s="1020"/>
      <c r="AY9" s="1020"/>
      <c r="AZ9" s="1020"/>
      <c r="BA9" s="1020"/>
      <c r="BB9" s="1020"/>
      <c r="BC9" s="1020"/>
      <c r="BD9" s="1020"/>
      <c r="BE9" s="1020"/>
      <c r="BF9" s="1020"/>
      <c r="BG9" s="1020"/>
      <c r="BH9" s="1020"/>
      <c r="BI9" s="1020"/>
      <c r="BJ9" s="1020"/>
      <c r="BK9" s="1020"/>
      <c r="BL9" s="1020"/>
      <c r="BM9" s="1020"/>
      <c r="BN9" s="1020"/>
      <c r="BO9" s="1020"/>
      <c r="BP9" s="1020"/>
      <c r="BQ9" s="1020"/>
      <c r="BR9" s="1020"/>
      <c r="BS9" s="1020"/>
      <c r="BT9" s="1020"/>
      <c r="BU9" s="1020"/>
      <c r="BV9" s="1020"/>
      <c r="BW9" s="1020"/>
      <c r="BX9" s="1020"/>
      <c r="BY9" s="1020"/>
      <c r="BZ9" s="1020"/>
      <c r="CA9" s="1020"/>
      <c r="CB9" s="1020"/>
      <c r="CC9" s="1020"/>
      <c r="CD9" s="1021"/>
      <c r="CE9" s="1021"/>
      <c r="CF9" s="1021"/>
      <c r="CG9" s="1021"/>
      <c r="CH9" s="1021"/>
      <c r="CI9" s="1021"/>
      <c r="CJ9" s="1021"/>
      <c r="CK9" s="1021"/>
      <c r="CL9" s="1021"/>
      <c r="CM9" s="1021"/>
      <c r="CN9" s="1021"/>
      <c r="CO9" s="1021"/>
      <c r="CP9" s="1021"/>
      <c r="CQ9" s="1021"/>
      <c r="CR9" s="1021"/>
      <c r="CS9" s="1021"/>
      <c r="CT9" s="1021"/>
      <c r="CU9" s="1021"/>
      <c r="CV9" s="1021"/>
      <c r="CW9" s="1021"/>
      <c r="CX9" s="1021"/>
      <c r="CY9" s="1021"/>
      <c r="CZ9" s="1021"/>
      <c r="DA9" s="1021"/>
      <c r="DB9" s="1021"/>
      <c r="DC9" s="1021"/>
      <c r="DD9" s="1021"/>
      <c r="DE9" s="1021"/>
      <c r="DF9" s="1021"/>
      <c r="DG9" s="1021"/>
      <c r="DH9" s="1021"/>
      <c r="DI9" s="1021"/>
      <c r="DJ9" s="1021"/>
      <c r="DK9" s="1021"/>
      <c r="DL9" s="1021"/>
      <c r="DM9" s="1021"/>
      <c r="DN9" s="1021"/>
      <c r="DO9" s="1021"/>
      <c r="DP9" s="1021"/>
      <c r="DQ9" s="1021"/>
      <c r="DR9" s="1021"/>
      <c r="DS9" s="1021"/>
      <c r="DT9" s="1021"/>
      <c r="DU9" s="1021"/>
      <c r="DV9" s="1021"/>
      <c r="DW9" s="1021"/>
      <c r="DX9" s="1021"/>
      <c r="DY9" s="1021"/>
      <c r="DZ9" s="1021"/>
      <c r="EA9" s="1021"/>
      <c r="EB9" s="1021"/>
      <c r="EC9" s="1021"/>
      <c r="ED9" s="1021"/>
      <c r="EE9" s="1021"/>
      <c r="EF9" s="1021"/>
      <c r="EG9" s="1021"/>
      <c r="EH9" s="1021"/>
      <c r="EI9" s="1021"/>
      <c r="EJ9" s="1021"/>
      <c r="EK9" s="1021"/>
      <c r="EL9" s="1021"/>
      <c r="EM9" s="1021"/>
      <c r="EN9" s="1021"/>
      <c r="EO9" s="1021"/>
      <c r="EP9" s="1021"/>
      <c r="EQ9" s="1021"/>
      <c r="ER9" s="1021"/>
      <c r="ES9" s="1021"/>
      <c r="ET9" s="1021"/>
      <c r="EU9" s="1021"/>
      <c r="EV9" s="1021"/>
      <c r="EW9" s="635" t="s">
        <v>3277</v>
      </c>
      <c r="EX9" s="635" t="s">
        <v>3277</v>
      </c>
      <c r="EY9" s="635" t="s">
        <v>3277</v>
      </c>
      <c r="EZ9" s="635" t="s">
        <v>3277</v>
      </c>
      <c r="FA9" s="1021"/>
      <c r="FB9" s="1021"/>
      <c r="FC9" s="1021"/>
      <c r="FD9" s="1021"/>
      <c r="FE9" s="1021"/>
      <c r="FF9" s="635" t="s">
        <v>3279</v>
      </c>
      <c r="FG9" s="635" t="s">
        <v>3279</v>
      </c>
      <c r="FH9" s="635" t="s">
        <v>3279</v>
      </c>
      <c r="FI9" s="635" t="s">
        <v>3279</v>
      </c>
      <c r="FJ9" s="635" t="s">
        <v>3279</v>
      </c>
      <c r="FK9" s="1021"/>
      <c r="FL9" s="1021"/>
      <c r="FM9" s="1021"/>
      <c r="FN9" s="1021"/>
      <c r="FO9" s="1021"/>
      <c r="FP9" s="1021"/>
      <c r="FQ9" s="1021"/>
      <c r="FR9" s="1021"/>
      <c r="FS9" s="1021"/>
      <c r="FT9" s="1021"/>
      <c r="FU9" s="1021"/>
      <c r="FV9" s="1021"/>
      <c r="FW9" s="1021"/>
      <c r="FX9" s="1021"/>
      <c r="FY9" s="1021"/>
      <c r="FZ9" s="1021"/>
      <c r="GA9" s="1021"/>
      <c r="GB9" s="1021"/>
      <c r="GC9" s="1021"/>
      <c r="GD9" s="1021"/>
      <c r="GE9" s="1021"/>
      <c r="GF9" s="1021"/>
      <c r="GG9" s="1021"/>
      <c r="GH9" s="1021"/>
      <c r="GI9" s="1021"/>
      <c r="GJ9" s="1021"/>
      <c r="GK9" s="1021"/>
      <c r="GL9" s="1021"/>
      <c r="GM9" s="1021"/>
      <c r="GN9" s="1021"/>
      <c r="GO9" s="1021"/>
      <c r="GP9" s="1021"/>
      <c r="GQ9" s="1021"/>
      <c r="GR9" s="1021"/>
      <c r="GS9" s="1021"/>
      <c r="GT9" s="1021"/>
      <c r="GU9" s="1021"/>
      <c r="GV9" s="1021"/>
      <c r="GW9" s="1021"/>
      <c r="GX9" s="1021"/>
      <c r="GY9" s="1021"/>
      <c r="GZ9" s="1021"/>
      <c r="HA9" s="1021"/>
      <c r="HB9" s="1021"/>
      <c r="HC9" s="1021"/>
      <c r="HD9" s="1021"/>
      <c r="HE9" s="1021"/>
      <c r="HF9" s="1021"/>
      <c r="HG9" s="1021"/>
      <c r="HH9" s="1021"/>
      <c r="HI9" s="1021"/>
      <c r="HJ9" s="1021"/>
      <c r="HK9" s="1021"/>
      <c r="HL9" s="1021"/>
      <c r="HM9" s="1021"/>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15" customHeight="1">
      <c r="A10" s="130" t="str">
        <f>IF(AND(E10&gt;0,OR(B10="",C10="",D10="",F10="",G10="", H10="",M10="",N10="",O10="")),1,"")</f>
        <v/>
      </c>
      <c r="B10" s="1565" t="s">
        <v>124</v>
      </c>
      <c r="C10" s="1566">
        <v>1</v>
      </c>
      <c r="D10" s="1567">
        <v>1</v>
      </c>
      <c r="E10" s="1568">
        <v>3</v>
      </c>
      <c r="F10" s="1568">
        <v>653</v>
      </c>
      <c r="G10" s="1568">
        <v>622</v>
      </c>
      <c r="H10" s="1568">
        <v>562</v>
      </c>
      <c r="I10" s="1568">
        <v>137</v>
      </c>
      <c r="J10" s="1569" t="s">
        <v>4071</v>
      </c>
      <c r="K10" s="204">
        <f>MAX(0,H10-I10)</f>
        <v>425</v>
      </c>
      <c r="L10" s="204">
        <f t="shared" ref="L10:L47" si="0">MAX(0,E10*K10)</f>
        <v>1275</v>
      </c>
      <c r="M10" s="1570" t="s">
        <v>4063</v>
      </c>
      <c r="N10" s="1570" t="s">
        <v>3402</v>
      </c>
      <c r="O10" s="1570" t="s">
        <v>4065</v>
      </c>
      <c r="P10" s="559">
        <f>IF(H10="","",H10*12/0.3)</f>
        <v>22480</v>
      </c>
      <c r="Q10" s="560">
        <f>IF(H10="","",P10/($P$6*VLOOKUP(C10,'DCA Underwriting Assumptions'!$J$81:$K$86,2,FALSE)))</f>
        <v>0.45208647561588738</v>
      </c>
      <c r="R10" s="667"/>
      <c r="S10" s="560"/>
      <c r="T10" s="1511"/>
      <c r="U10" s="1512"/>
      <c r="V10" s="624" t="str">
        <f t="shared" ref="V10:V47" si="1">IF(AND(C10="Efficiency",B10="60% AMI",NOT(M10="Common")),E10,"")</f>
        <v/>
      </c>
      <c r="W10" s="624" t="str">
        <f t="shared" ref="W10:W47" si="2">IF(AND(C10=1,B10="60% AMI",NOT(M10="Common")),E10,"")</f>
        <v/>
      </c>
      <c r="X10" s="624" t="str">
        <f t="shared" ref="X10:X47" si="3">IF(AND(C10=2,B10="60% AMI",NOT(M10="Common")),E10,"")</f>
        <v/>
      </c>
      <c r="Y10" s="624" t="str">
        <f t="shared" ref="Y10:Y47" si="4">IF(AND(C10=3,B10="60% AMI",NOT(M10="Common")),E10,"")</f>
        <v/>
      </c>
      <c r="Z10" s="624" t="str">
        <f t="shared" ref="Z10:Z47" si="5">IF(AND(C10=4,B10="60% AMI",NOT(M10="Common")),E10,"")</f>
        <v/>
      </c>
      <c r="AA10" s="624" t="str">
        <f t="shared" ref="AA10:AA47" si="6">IF(AND(C10="Efficiency",B10="50% AMI",NOT(M10="Common")),E10,"")</f>
        <v/>
      </c>
      <c r="AB10" s="624">
        <f t="shared" ref="AB10:AB47" si="7">IF(AND(C10=1,B10="50% AMI",NOT(M10="Common")),E10,"")</f>
        <v>3</v>
      </c>
      <c r="AC10" s="624" t="str">
        <f t="shared" ref="AC10:AC47" si="8">IF(AND(C10=2,B10="50% AMI",NOT(M10="Common")),E10,"")</f>
        <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f>IF(OR(AND($C10=1,NOT($J10=""),NOT($J10=0),NOT($J10="PHA Oper Sub"),$B10="50% AMI",NOT($M10="Common")),AND($C10=1,NOT($J10=""),NOT($J10=0),NOT($J10="PHA Oper Sub"),$B10="HOME 50% AMI",NOT($M10="Common"))),$E10,"")</f>
        <v>3</v>
      </c>
      <c r="AW10" s="624" t="str">
        <f>IF(OR(AND($C10=2,NOT($J10=""),NOT($J10=0),NOT($J10="PHA Oper Sub"),$B10="50% AMI",NOT($M10="Common")),AND($C10=2,NOT($J10=""),NOT($J10=0),NOT($J10="PHA Oper Sub"),$B10="HOME 50% AMI",NOT($M10="Common"))),$E10,"")</f>
        <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t="str">
        <f>IF(OR(AND($C10="Efficiency",NOT($J10=""),NOT($J10=0),NOT($J10="PHA Oper Sub"),$B10="60% AMI",NOT($M10="Common")),AND($C10="Efficiency",NOT($J10=""),NOT($J10=0),NOT($J10="PHA Oper Sub"),$B10="HOME 60% AMI",NOT($M10="Common"))),$E10,"")</f>
        <v/>
      </c>
      <c r="BA10" s="624" t="str">
        <f>IF(OR(AND($C10=1,NOT($J10=""),NOT($J10=0),NOT($J10="PHA Oper Sub"),$B10="60% AMI",NOT($M10="Common")),AND($C10=1,NOT($J10=""),NOT($J10=0),NOT($J10="PHA Oper Sub"),$B10="HOME 60% AMI",NOT($M10="Common"))),$E10,"")</f>
        <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t="str">
        <f>IF(OR(AND($C10=1,$J10="PHA Oper Sub",$B10="50% AMI",NOT($M10="Common")),AND($C10=1,$J10="PHA Oper Sub",$B10="HOME 50% AMI",NOT($M10="Common"))),$E10,"")</f>
        <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t="str">
        <f t="shared" ref="BY10:BY47" si="26">IF(OR(AND(C10="Efficiency",B10="60% AMI",NOT(M10="Common")),AND(C10="Efficiency",B10="HOME 60% AMI",NOT(M10="Common"))),E10*F10,"")</f>
        <v/>
      </c>
      <c r="BZ10" s="624" t="str">
        <f t="shared" ref="BZ10:BZ47" si="27">IF(OR(AND(C10=1,B10="60% AMI",NOT(M10="Common")),AND(C10=1,B10="HOME 60% AMI",NOT(M10="Common"))),E10*F10,"")</f>
        <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t="str">
        <f t="shared" ref="CD10:CD47" si="31">IF(OR(AND(C10="Efficiency",B10="50% AMI",NOT(M10="Common")),AND(C10="Efficiency",B10="HOME 50% AMI",NOT(M10="Common"))),E10*F10,"")</f>
        <v/>
      </c>
      <c r="CE10" s="624">
        <f t="shared" ref="CE10:CE47" si="32">IF(OR(AND(C10=1,B10="50% AMI",NOT(M10="Common")),AND(C10=1,B10="HOME 50% AMI",NOT(M10="Common"))),E10*F10,"")</f>
        <v>1959</v>
      </c>
      <c r="CF10" s="624" t="str">
        <f t="shared" ref="CF10:CF47" si="33">IF(OR(AND(C10=2,B10="50% AMI",NOT(M10="Common")),AND(C10=2,B10="HOME 50% AMI",NOT(M10="Common"))),E10*F10,"")</f>
        <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t="str">
        <f t="shared" ref="CS10:CS47" si="46">IF(AND(C10="Efficiency",NOT(J10=""),NOT($J10=0),NOT(M10="Common")),E10*F10,"")</f>
        <v/>
      </c>
      <c r="CT10" s="624">
        <f t="shared" ref="CT10:CT47" si="47">IF(AND(C10=1,NOT(J10=""),NOT($J10=0),NOT(M10="Common")),E10*F10,"")</f>
        <v>1959</v>
      </c>
      <c r="CU10" s="624" t="str">
        <f t="shared" ref="CU10:CU47" si="48">IF(AND(C10=2,NOT(J10=""),NOT($J10=0),NOT(M10="Common")),E10*F10,"")</f>
        <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t="str">
        <f t="shared" ref="DD10:DD47" si="57">IF(AND($C10=1, $O10="New Construction",NOT($B10="Unrestricted"),NOT($B10="NSP 120% AMI"),NOT($B10="N/A-CS"),NOT($M10="Common")),$E10,"")</f>
        <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t="str">
        <f t="shared" ref="DR10:DR47" si="71">IF(AND($C10="Efficiency", $O10="Acquisition/Rehab",NOT($B10="Unrestricted"),NOT($B10="NSP 120% AMI"),NOT($B10="N/A-CS"),NOT($M10="Common")),$E10,"")</f>
        <v/>
      </c>
      <c r="DS10" s="624">
        <f t="shared" ref="DS10:DS47" si="72">IF(AND($C10=1, $O10="Acquisition/Rehab",NOT($B10="Unrestricted"),NOT($B10="NSP 120% AMI"),NOT($B10="N/A-CS"),NOT($M10="Common")),$E10,"")</f>
        <v>3</v>
      </c>
      <c r="DT10" s="624" t="str">
        <f t="shared" ref="DT10:DT47" si="73">IF(AND($C10=2, $O10="Acquisition/Rehab",NOT($B10="Unrestricted"),NOT($B10="NSP 120% AMI"),NOT($B10="N/A-CS"),NOT($M10="Common")),$E10,"")</f>
        <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t="str">
        <f t="shared" ref="EG10:EG47" si="86">IF(AND($C10="Efficiency", $O10="Rehabilitation",NOT($B10="Unrestricted"),NOT($B10="NSP 120% AMI"),NOT($B10="N/A-CS"),NOT($M10="Common")),$E10,"")</f>
        <v/>
      </c>
      <c r="EH10" s="624" t="str">
        <f t="shared" ref="EH10:EH47" si="87">IF(AND($C10=1, $O10="Rehabilitation",NOT($B10="Unrestricted"),NOT($B10="NSP 120% AMI"),NOT($B10="N/A-CS"),NOT($M10="Common")),$E10,"")</f>
        <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t="str">
        <f t="shared" ref="EV10:EV47" si="101">IF(AND($C10="Efficiency", NOT(OR($N10="SF Detached",$N10="Mfd Home",$N10="Duplex",$N10="Townhome"))),$E10,"")</f>
        <v/>
      </c>
      <c r="EW10" s="636">
        <f t="shared" ref="EW10:EW47" si="102">IF(AND($C10=1, NOT(OR($N10="SF Detached",$N10="Mfd Home",$N10="Duplex",$N10="Townhome"))),$E10,"")</f>
        <v>3</v>
      </c>
      <c r="EX10" s="636" t="str">
        <f t="shared" ref="EX10:EX47" si="103">IF(AND($C10=2, NOT(OR($N10="SF Detached",$N10="Mfd Home",$N10="Duplex",$N10="Townhome"))),$E10,"")</f>
        <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t="str">
        <f t="shared" ref="FQ10:FQ47" si="122">IF(AND($C10=1, $N10="Townhome"),$E10,"")</f>
        <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f t="shared" ref="FV10:FV47" si="127">IF(AND($C10=1, $N10="1-Story"),$E10,"")</f>
        <v>3</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t="str">
        <f t="shared" ref="GA10:GA47" si="132">IF(AND($C10=1, $N10="2-Story"),$E10,"")</f>
        <v/>
      </c>
      <c r="GB10" s="636" t="str">
        <f t="shared" ref="GB10:GB47" si="133">IF(AND($C10=2, $N10="2-Story"),$E10,"")</f>
        <v/>
      </c>
      <c r="GC10" s="636" t="str">
        <f t="shared" ref="GC10:GC47" si="134">IF(AND($C10=3, $N10="2-Story"),$E10,"")</f>
        <v/>
      </c>
      <c r="GD10" s="636" t="str">
        <f t="shared" ref="GD10:GD47" si="135">IF(AND($C10=4, $N10="2-Story"),$E10,"")</f>
        <v/>
      </c>
      <c r="GE10" s="636" t="str">
        <f t="shared" ref="GE10:GE47" si="136">IF(AND($C10="Efficiency", $N10="2-Story Walkup"),$E10,"")</f>
        <v/>
      </c>
      <c r="GF10" s="636" t="str">
        <f t="shared" ref="GF10:GF47" si="137">IF(AND($C10=1, $N10="2-Story Walkup"),$E10,"")</f>
        <v/>
      </c>
      <c r="GG10" s="636" t="str">
        <f t="shared" ref="GG10:GG47" si="138">IF(AND($C10=2, $N10="2-Story Walkup"),$E10,"")</f>
        <v/>
      </c>
      <c r="GH10" s="636" t="str">
        <f t="shared" ref="GH10:GH47" si="139">IF(AND($C10=3, $N10="2-Story Walkup"),$E10,"")</f>
        <v/>
      </c>
      <c r="GI10" s="636" t="str">
        <f t="shared" ref="GI10:GI47" si="140">IF(AND($C10=4, $N10="2-Story Walkup"),$E10,"")</f>
        <v/>
      </c>
      <c r="GJ10" s="636" t="str">
        <f t="shared" ref="GJ10:GJ47" si="141">IF(AND($C10="Efficiency", $N10="3+ Story"),$E10,"")</f>
        <v/>
      </c>
      <c r="GK10" s="636" t="str">
        <f t="shared" ref="GK10:GK47" si="142">IF(AND($C10=1, $N10="3+ Story"),$E10,"")</f>
        <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15" customHeight="1">
      <c r="A11" s="130" t="str">
        <f t="shared" ref="A11:A47" si="171">IF(AND(E11&gt;0,OR(B11="",C11="",D11="",F11="",G11="", H11="",M11="",N11="",O11="")),1,"")</f>
        <v/>
      </c>
      <c r="B11" s="1571" t="s">
        <v>124</v>
      </c>
      <c r="C11" s="1572">
        <v>2</v>
      </c>
      <c r="D11" s="1573">
        <v>1.5</v>
      </c>
      <c r="E11" s="1574">
        <v>5</v>
      </c>
      <c r="F11" s="1574">
        <v>985</v>
      </c>
      <c r="G11" s="1574">
        <v>746</v>
      </c>
      <c r="H11" s="1574">
        <v>652</v>
      </c>
      <c r="I11" s="1574">
        <v>162</v>
      </c>
      <c r="J11" s="1575" t="s">
        <v>4071</v>
      </c>
      <c r="K11" s="205">
        <f t="shared" ref="K11:K27" si="172">MAX(0,H11-I11)</f>
        <v>490</v>
      </c>
      <c r="L11" s="205">
        <f t="shared" si="0"/>
        <v>2450</v>
      </c>
      <c r="M11" s="1576" t="s">
        <v>4063</v>
      </c>
      <c r="N11" s="1576" t="s">
        <v>45</v>
      </c>
      <c r="O11" s="1576" t="s">
        <v>4065</v>
      </c>
      <c r="P11" s="559">
        <f>IF(H11="","",H11*12/0.3)</f>
        <v>26080</v>
      </c>
      <c r="Q11" s="560">
        <f>IF(H11="","",P11/($P$6*VLOOKUP(C11,'DCA Underwriting Assumptions'!$J$81:$K$86,2,FALSE)))</f>
        <v>0.43707055471761352</v>
      </c>
      <c r="R11" s="667"/>
      <c r="S11" s="560"/>
      <c r="T11" s="1513"/>
      <c r="U11" s="1514"/>
      <c r="V11" s="624" t="str">
        <f t="shared" si="1"/>
        <v/>
      </c>
      <c r="W11" s="624" t="str">
        <f t="shared" si="2"/>
        <v/>
      </c>
      <c r="X11" s="624" t="str">
        <f t="shared" si="3"/>
        <v/>
      </c>
      <c r="Y11" s="624" t="str">
        <f t="shared" si="4"/>
        <v/>
      </c>
      <c r="Z11" s="624" t="str">
        <f t="shared" si="5"/>
        <v/>
      </c>
      <c r="AA11" s="624" t="str">
        <f t="shared" si="6"/>
        <v/>
      </c>
      <c r="AB11" s="624" t="str">
        <f t="shared" si="7"/>
        <v/>
      </c>
      <c r="AC11" s="624">
        <f t="shared" si="8"/>
        <v>5</v>
      </c>
      <c r="AD11" s="624" t="str">
        <f t="shared" si="9"/>
        <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f t="shared" ref="AW11:AW47" si="180">IF(OR(AND($C11=2,NOT($J11=""),NOT($J11=0),NOT($J11="PHA Oper Sub"),$B11="50% AMI",NOT($M11="Common")),AND($C11=2,NOT($J11=""),NOT($J11=0),NOT($J11="PHA Oper Sub"),$B11="HOME 50% AMI",NOT($M11="Common"))),$E11,"")</f>
        <v>5</v>
      </c>
      <c r="AX11" s="624" t="str">
        <f t="shared" ref="AX11:AX47" si="181">IF(OR(AND($C11=3,NOT($J11=""),NOT($J11=0),NOT($J11="PHA Oper Sub"),$B11="50% AMI",NOT($M11="Common")),AND($C11=3,NOT($J11=""),NOT($J11=0),NOT($J11="PHA Oper Sub"),$B11="HOME 50% AMI",NOT($M11="Common"))),$E11,"")</f>
        <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t="str">
        <f t="shared" ref="BA11:BA47" si="184">IF(OR(AND($C11=1,NOT($J11=""),NOT($J11=0),NOT($J11="PHA Oper Sub"),$B11="60% AMI",NOT($M11="Common")),AND($C11=1,NOT($J11=""),NOT($J11=0),NOT($J11="PHA Oper Sub"),$B11="HOME 60% AMI",NOT($M11="Common"))),$E11,"")</f>
        <v/>
      </c>
      <c r="BB11" s="624" t="str">
        <f t="shared" ref="BB11:BB47" si="185">IF(OR(AND($C11=2,NOT($J11=""),NOT($J11=0),NOT($J11="PHA Oper Sub"),$B11="60% AMI",NOT($M11="Common")),AND($C11=2,NOT($J11=""),NOT($J11=0),NOT($J11="PHA Oper Sub"),$B11="HOME 60% AMI",NOT($M11="Common"))),$E11,"")</f>
        <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t="str">
        <f t="shared" ref="BL11:BL47" si="195">IF(OR(AND($C11=2,$J11="PHA Oper Sub",$B11="50% AMI",NOT($M11="Common")),AND($C11=2,$J11="PHA Oper Sub",$B11="HOME 50% AMI",NOT($M11="Common"))),$E11,"")</f>
        <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t="str">
        <f t="shared" ref="BP11:BP47" si="199">IF(OR(AND($C11=1,$J11="PHA Oper Sub",$B11="60% AMI",NOT($M11="Common")),AND($C11=1,$J11="PHA Oper Sub",$B11="HOME 60% AMI",NOT($M11="Common"))),$E11,"")</f>
        <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t="str">
        <f t="shared" si="26"/>
        <v/>
      </c>
      <c r="BZ11" s="624" t="str">
        <f t="shared" si="27"/>
        <v/>
      </c>
      <c r="CA11" s="624" t="str">
        <f t="shared" si="28"/>
        <v/>
      </c>
      <c r="CB11" s="624" t="str">
        <f t="shared" si="29"/>
        <v/>
      </c>
      <c r="CC11" s="624" t="str">
        <f t="shared" si="30"/>
        <v/>
      </c>
      <c r="CD11" s="624" t="str">
        <f t="shared" si="31"/>
        <v/>
      </c>
      <c r="CE11" s="624" t="str">
        <f t="shared" si="32"/>
        <v/>
      </c>
      <c r="CF11" s="624">
        <f t="shared" si="33"/>
        <v>4925</v>
      </c>
      <c r="CG11" s="624" t="str">
        <f t="shared" si="34"/>
        <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t="str">
        <f t="shared" si="47"/>
        <v/>
      </c>
      <c r="CU11" s="624">
        <f t="shared" si="48"/>
        <v>4925</v>
      </c>
      <c r="CV11" s="624" t="str">
        <f t="shared" si="49"/>
        <v/>
      </c>
      <c r="CW11" s="624" t="str">
        <f t="shared" si="50"/>
        <v/>
      </c>
      <c r="CX11" s="624" t="str">
        <f t="shared" si="51"/>
        <v/>
      </c>
      <c r="CY11" s="624" t="str">
        <f t="shared" si="52"/>
        <v/>
      </c>
      <c r="CZ11" s="624" t="str">
        <f t="shared" si="53"/>
        <v/>
      </c>
      <c r="DA11" s="624" t="str">
        <f t="shared" si="54"/>
        <v/>
      </c>
      <c r="DB11" s="624" t="str">
        <f t="shared" si="55"/>
        <v/>
      </c>
      <c r="DC11" s="624" t="str">
        <f t="shared" si="56"/>
        <v/>
      </c>
      <c r="DD11" s="624" t="str">
        <f t="shared" si="57"/>
        <v/>
      </c>
      <c r="DE11" s="624" t="str">
        <f t="shared" si="58"/>
        <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t="str">
        <f t="shared" si="71"/>
        <v/>
      </c>
      <c r="DS11" s="624" t="str">
        <f t="shared" si="72"/>
        <v/>
      </c>
      <c r="DT11" s="624">
        <f t="shared" si="73"/>
        <v>5</v>
      </c>
      <c r="DU11" s="624" t="str">
        <f t="shared" si="74"/>
        <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t="str">
        <f t="shared" si="86"/>
        <v/>
      </c>
      <c r="EH11" s="624" t="str">
        <f t="shared" si="87"/>
        <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t="str">
        <f t="shared" si="101"/>
        <v/>
      </c>
      <c r="EW11" s="636" t="str">
        <f t="shared" si="102"/>
        <v/>
      </c>
      <c r="EX11" s="636" t="str">
        <f t="shared" si="103"/>
        <v/>
      </c>
      <c r="EY11" s="636" t="str">
        <f t="shared" si="104"/>
        <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t="str">
        <f t="shared" si="122"/>
        <v/>
      </c>
      <c r="FR11" s="636">
        <f t="shared" si="123"/>
        <v>5</v>
      </c>
      <c r="FS11" s="636" t="str">
        <f t="shared" si="124"/>
        <v/>
      </c>
      <c r="FT11" s="636" t="str">
        <f t="shared" si="125"/>
        <v/>
      </c>
      <c r="FU11" s="636" t="str">
        <f t="shared" si="126"/>
        <v/>
      </c>
      <c r="FV11" s="636" t="str">
        <f t="shared" si="127"/>
        <v/>
      </c>
      <c r="FW11" s="636" t="str">
        <f t="shared" si="128"/>
        <v/>
      </c>
      <c r="FX11" s="636" t="str">
        <f t="shared" si="129"/>
        <v/>
      </c>
      <c r="FY11" s="636" t="str">
        <f t="shared" si="130"/>
        <v/>
      </c>
      <c r="FZ11" s="636" t="str">
        <f t="shared" si="131"/>
        <v/>
      </c>
      <c r="GA11" s="636" t="str">
        <f t="shared" si="132"/>
        <v/>
      </c>
      <c r="GB11" s="636" t="str">
        <f t="shared" si="133"/>
        <v/>
      </c>
      <c r="GC11" s="636" t="str">
        <f t="shared" si="134"/>
        <v/>
      </c>
      <c r="GD11" s="636" t="str">
        <f t="shared" si="135"/>
        <v/>
      </c>
      <c r="GE11" s="636" t="str">
        <f t="shared" si="136"/>
        <v/>
      </c>
      <c r="GF11" s="636" t="str">
        <f t="shared" si="137"/>
        <v/>
      </c>
      <c r="GG11" s="636" t="str">
        <f t="shared" si="138"/>
        <v/>
      </c>
      <c r="GH11" s="636" t="str">
        <f t="shared" si="139"/>
        <v/>
      </c>
      <c r="GI11" s="636" t="str">
        <f t="shared" si="140"/>
        <v/>
      </c>
      <c r="GJ11" s="636" t="str">
        <f t="shared" si="141"/>
        <v/>
      </c>
      <c r="GK11" s="636" t="str">
        <f t="shared" si="142"/>
        <v/>
      </c>
      <c r="GL11" s="636" t="str">
        <f t="shared" si="143"/>
        <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15" customHeight="1">
      <c r="A12" s="130" t="str">
        <f t="shared" si="171"/>
        <v/>
      </c>
      <c r="B12" s="1571" t="s">
        <v>1561</v>
      </c>
      <c r="C12" s="1572">
        <v>1</v>
      </c>
      <c r="D12" s="1573">
        <v>1</v>
      </c>
      <c r="E12" s="1574">
        <v>13</v>
      </c>
      <c r="F12" s="1574">
        <v>653</v>
      </c>
      <c r="G12" s="1574">
        <v>747</v>
      </c>
      <c r="H12" s="1574">
        <v>562</v>
      </c>
      <c r="I12" s="1574">
        <v>137</v>
      </c>
      <c r="J12" s="1575" t="s">
        <v>4071</v>
      </c>
      <c r="K12" s="205">
        <f t="shared" si="172"/>
        <v>425</v>
      </c>
      <c r="L12" s="205">
        <f t="shared" si="0"/>
        <v>5525</v>
      </c>
      <c r="M12" s="1576" t="s">
        <v>4063</v>
      </c>
      <c r="N12" s="1576" t="s">
        <v>3402</v>
      </c>
      <c r="O12" s="1576" t="s">
        <v>4065</v>
      </c>
      <c r="P12" s="559">
        <f>IF(H12="","",H12*12/0.3)</f>
        <v>22480</v>
      </c>
      <c r="Q12" s="560">
        <f>IF(H12="","",P12/($P$6*VLOOKUP(C12,'DCA Underwriting Assumptions'!$J$81:$K$86,2,FALSE)))</f>
        <v>0.45208647561588738</v>
      </c>
      <c r="R12" s="667"/>
      <c r="S12" s="560"/>
      <c r="T12" s="1513"/>
      <c r="U12" s="1514"/>
      <c r="V12" s="624" t="str">
        <f t="shared" si="1"/>
        <v/>
      </c>
      <c r="W12" s="624">
        <f t="shared" si="2"/>
        <v>13</v>
      </c>
      <c r="X12" s="624" t="str">
        <f t="shared" si="3"/>
        <v/>
      </c>
      <c r="Y12" s="624" t="str">
        <f t="shared" si="4"/>
        <v/>
      </c>
      <c r="Z12" s="624" t="str">
        <f t="shared" si="5"/>
        <v/>
      </c>
      <c r="AA12" s="624" t="str">
        <f t="shared" si="6"/>
        <v/>
      </c>
      <c r="AB12" s="624" t="str">
        <f t="shared" si="7"/>
        <v/>
      </c>
      <c r="AC12" s="624" t="str">
        <f t="shared" si="8"/>
        <v/>
      </c>
      <c r="AD12" s="624" t="str">
        <f t="shared" si="9"/>
        <v/>
      </c>
      <c r="AE12" s="624" t="str">
        <f t="shared" si="10"/>
        <v/>
      </c>
      <c r="AF12" s="624" t="str">
        <f t="shared" si="11"/>
        <v/>
      </c>
      <c r="AG12" s="624" t="str">
        <f t="shared" si="12"/>
        <v/>
      </c>
      <c r="AH12" s="624" t="str">
        <f t="shared" si="13"/>
        <v/>
      </c>
      <c r="AI12" s="624" t="str">
        <f t="shared" si="14"/>
        <v/>
      </c>
      <c r="AJ12" s="624" t="str">
        <f t="shared" si="15"/>
        <v/>
      </c>
      <c r="AK12" s="624" t="str">
        <f t="shared" si="16"/>
        <v/>
      </c>
      <c r="AL12" s="624" t="str">
        <f t="shared" si="17"/>
        <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t="str">
        <f t="shared" si="179"/>
        <v/>
      </c>
      <c r="AW12" s="624" t="str">
        <f t="shared" si="180"/>
        <v/>
      </c>
      <c r="AX12" s="624" t="str">
        <f t="shared" si="181"/>
        <v/>
      </c>
      <c r="AY12" s="624" t="str">
        <f t="shared" si="182"/>
        <v/>
      </c>
      <c r="AZ12" s="624" t="str">
        <f t="shared" si="183"/>
        <v/>
      </c>
      <c r="BA12" s="624">
        <f t="shared" si="184"/>
        <v>13</v>
      </c>
      <c r="BB12" s="624" t="str">
        <f t="shared" si="185"/>
        <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t="str">
        <f t="shared" si="195"/>
        <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f t="shared" si="27"/>
        <v>8489</v>
      </c>
      <c r="CA12" s="624" t="str">
        <f t="shared" si="28"/>
        <v/>
      </c>
      <c r="CB12" s="624" t="str">
        <f t="shared" si="29"/>
        <v/>
      </c>
      <c r="CC12" s="624" t="str">
        <f t="shared" si="30"/>
        <v/>
      </c>
      <c r="CD12" s="624" t="str">
        <f t="shared" si="31"/>
        <v/>
      </c>
      <c r="CE12" s="624" t="str">
        <f t="shared" si="32"/>
        <v/>
      </c>
      <c r="CF12" s="624" t="str">
        <f t="shared" si="33"/>
        <v/>
      </c>
      <c r="CG12" s="624" t="str">
        <f t="shared" si="34"/>
        <v/>
      </c>
      <c r="CH12" s="624" t="str">
        <f t="shared" si="35"/>
        <v/>
      </c>
      <c r="CI12" s="624" t="str">
        <f t="shared" si="36"/>
        <v/>
      </c>
      <c r="CJ12" s="624" t="str">
        <f t="shared" si="37"/>
        <v/>
      </c>
      <c r="CK12" s="624" t="str">
        <f t="shared" si="38"/>
        <v/>
      </c>
      <c r="CL12" s="624" t="str">
        <f t="shared" si="39"/>
        <v/>
      </c>
      <c r="CM12" s="624" t="str">
        <f t="shared" si="40"/>
        <v/>
      </c>
      <c r="CN12" s="624" t="str">
        <f t="shared" si="41"/>
        <v/>
      </c>
      <c r="CO12" s="624" t="str">
        <f t="shared" si="42"/>
        <v/>
      </c>
      <c r="CP12" s="624" t="str">
        <f t="shared" si="43"/>
        <v/>
      </c>
      <c r="CQ12" s="624" t="str">
        <f t="shared" si="44"/>
        <v/>
      </c>
      <c r="CR12" s="624" t="str">
        <f t="shared" si="45"/>
        <v/>
      </c>
      <c r="CS12" s="624" t="str">
        <f t="shared" si="46"/>
        <v/>
      </c>
      <c r="CT12" s="624">
        <f t="shared" si="47"/>
        <v>8489</v>
      </c>
      <c r="CU12" s="624" t="str">
        <f t="shared" si="48"/>
        <v/>
      </c>
      <c r="CV12" s="624" t="str">
        <f t="shared" si="49"/>
        <v/>
      </c>
      <c r="CW12" s="624" t="str">
        <f t="shared" si="50"/>
        <v/>
      </c>
      <c r="CX12" s="624" t="str">
        <f t="shared" si="51"/>
        <v/>
      </c>
      <c r="CY12" s="624" t="str">
        <f t="shared" si="52"/>
        <v/>
      </c>
      <c r="CZ12" s="624" t="str">
        <f t="shared" si="53"/>
        <v/>
      </c>
      <c r="DA12" s="624" t="str">
        <f t="shared" si="54"/>
        <v/>
      </c>
      <c r="DB12" s="624" t="str">
        <f t="shared" si="55"/>
        <v/>
      </c>
      <c r="DC12" s="624" t="str">
        <f t="shared" si="56"/>
        <v/>
      </c>
      <c r="DD12" s="624" t="str">
        <f t="shared" si="57"/>
        <v/>
      </c>
      <c r="DE12" s="624" t="str">
        <f t="shared" si="58"/>
        <v/>
      </c>
      <c r="DF12" s="624" t="str">
        <f t="shared" si="59"/>
        <v/>
      </c>
      <c r="DG12" s="624" t="str">
        <f t="shared" si="60"/>
        <v/>
      </c>
      <c r="DH12" s="624" t="str">
        <f t="shared" si="61"/>
        <v/>
      </c>
      <c r="DI12" s="624" t="str">
        <f t="shared" si="62"/>
        <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f t="shared" si="72"/>
        <v>13</v>
      </c>
      <c r="DT12" s="624" t="str">
        <f t="shared" si="73"/>
        <v/>
      </c>
      <c r="DU12" s="624" t="str">
        <f t="shared" si="74"/>
        <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t="str">
        <f t="shared" si="87"/>
        <v/>
      </c>
      <c r="EI12" s="624" t="str">
        <f t="shared" si="88"/>
        <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f t="shared" si="102"/>
        <v>13</v>
      </c>
      <c r="EX12" s="636" t="str">
        <f t="shared" si="103"/>
        <v/>
      </c>
      <c r="EY12" s="636" t="str">
        <f t="shared" si="104"/>
        <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t="str">
        <f t="shared" si="122"/>
        <v/>
      </c>
      <c r="FR12" s="636" t="str">
        <f t="shared" si="123"/>
        <v/>
      </c>
      <c r="FS12" s="636" t="str">
        <f t="shared" si="124"/>
        <v/>
      </c>
      <c r="FT12" s="636" t="str">
        <f t="shared" si="125"/>
        <v/>
      </c>
      <c r="FU12" s="636" t="str">
        <f t="shared" si="126"/>
        <v/>
      </c>
      <c r="FV12" s="636">
        <f t="shared" si="127"/>
        <v>13</v>
      </c>
      <c r="FW12" s="636" t="str">
        <f t="shared" si="128"/>
        <v/>
      </c>
      <c r="FX12" s="636" t="str">
        <f t="shared" si="129"/>
        <v/>
      </c>
      <c r="FY12" s="636" t="str">
        <f t="shared" si="130"/>
        <v/>
      </c>
      <c r="FZ12" s="636" t="str">
        <f t="shared" si="131"/>
        <v/>
      </c>
      <c r="GA12" s="636" t="str">
        <f t="shared" si="132"/>
        <v/>
      </c>
      <c r="GB12" s="636" t="str">
        <f t="shared" si="133"/>
        <v/>
      </c>
      <c r="GC12" s="636" t="str">
        <f t="shared" si="134"/>
        <v/>
      </c>
      <c r="GD12" s="636" t="str">
        <f t="shared" si="135"/>
        <v/>
      </c>
      <c r="GE12" s="636" t="str">
        <f t="shared" si="136"/>
        <v/>
      </c>
      <c r="GF12" s="636" t="str">
        <f t="shared" si="137"/>
        <v/>
      </c>
      <c r="GG12" s="636" t="str">
        <f t="shared" si="138"/>
        <v/>
      </c>
      <c r="GH12" s="636" t="str">
        <f t="shared" si="139"/>
        <v/>
      </c>
      <c r="GI12" s="636" t="str">
        <f t="shared" si="140"/>
        <v/>
      </c>
      <c r="GJ12" s="636" t="str">
        <f t="shared" si="141"/>
        <v/>
      </c>
      <c r="GK12" s="636" t="str">
        <f t="shared" si="142"/>
        <v/>
      </c>
      <c r="GL12" s="636" t="str">
        <f t="shared" si="143"/>
        <v/>
      </c>
      <c r="GM12" s="636" t="str">
        <f t="shared" si="144"/>
        <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15" customHeight="1">
      <c r="A13" s="130" t="str">
        <f t="shared" si="171"/>
        <v/>
      </c>
      <c r="B13" s="1571" t="s">
        <v>1561</v>
      </c>
      <c r="C13" s="1572">
        <v>2</v>
      </c>
      <c r="D13" s="1573">
        <v>1.5</v>
      </c>
      <c r="E13" s="1574">
        <v>27</v>
      </c>
      <c r="F13" s="1574">
        <v>985</v>
      </c>
      <c r="G13" s="1574">
        <v>895</v>
      </c>
      <c r="H13" s="1574">
        <v>652</v>
      </c>
      <c r="I13" s="1574">
        <v>162</v>
      </c>
      <c r="J13" s="1575" t="s">
        <v>4071</v>
      </c>
      <c r="K13" s="205">
        <f t="shared" si="172"/>
        <v>490</v>
      </c>
      <c r="L13" s="205">
        <f t="shared" si="0"/>
        <v>13230</v>
      </c>
      <c r="M13" s="1576" t="s">
        <v>4063</v>
      </c>
      <c r="N13" s="1576" t="s">
        <v>45</v>
      </c>
      <c r="O13" s="1576" t="s">
        <v>4065</v>
      </c>
      <c r="P13" s="559">
        <f>IF(H13="","",H13*12/0.3)</f>
        <v>26080</v>
      </c>
      <c r="Q13" s="560">
        <f>IF(H13="","",P13/($P$6*VLOOKUP(C13,'DCA Underwriting Assumptions'!$J$81:$K$86,2,FALSE)))</f>
        <v>0.43707055471761352</v>
      </c>
      <c r="R13" s="667"/>
      <c r="S13" s="560"/>
      <c r="T13" s="1513"/>
      <c r="U13" s="1514"/>
      <c r="V13" s="624" t="str">
        <f t="shared" si="1"/>
        <v/>
      </c>
      <c r="W13" s="624" t="str">
        <f t="shared" si="2"/>
        <v/>
      </c>
      <c r="X13" s="624">
        <f t="shared" si="3"/>
        <v>27</v>
      </c>
      <c r="Y13" s="624" t="str">
        <f t="shared" si="4"/>
        <v/>
      </c>
      <c r="Z13" s="624" t="str">
        <f t="shared" si="5"/>
        <v/>
      </c>
      <c r="AA13" s="624" t="str">
        <f t="shared" si="6"/>
        <v/>
      </c>
      <c r="AB13" s="624" t="str">
        <f t="shared" si="7"/>
        <v/>
      </c>
      <c r="AC13" s="624" t="str">
        <f t="shared" si="8"/>
        <v/>
      </c>
      <c r="AD13" s="624" t="str">
        <f t="shared" si="9"/>
        <v/>
      </c>
      <c r="AE13" s="624" t="str">
        <f t="shared" si="10"/>
        <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t="str">
        <f t="shared" si="184"/>
        <v/>
      </c>
      <c r="BB13" s="624">
        <f t="shared" si="185"/>
        <v>27</v>
      </c>
      <c r="BC13" s="624" t="str">
        <f t="shared" si="186"/>
        <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t="str">
        <f t="shared" si="196"/>
        <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t="str">
        <f t="shared" si="27"/>
        <v/>
      </c>
      <c r="CA13" s="624">
        <f t="shared" si="28"/>
        <v>26595</v>
      </c>
      <c r="CB13" s="624" t="str">
        <f t="shared" si="29"/>
        <v/>
      </c>
      <c r="CC13" s="624" t="str">
        <f t="shared" si="30"/>
        <v/>
      </c>
      <c r="CD13" s="624" t="str">
        <f t="shared" si="31"/>
        <v/>
      </c>
      <c r="CE13" s="624" t="str">
        <f t="shared" si="32"/>
        <v/>
      </c>
      <c r="CF13" s="624" t="str">
        <f t="shared" si="33"/>
        <v/>
      </c>
      <c r="CG13" s="624" t="str">
        <f t="shared" si="34"/>
        <v/>
      </c>
      <c r="CH13" s="624" t="str">
        <f t="shared" si="35"/>
        <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t="str">
        <f t="shared" si="47"/>
        <v/>
      </c>
      <c r="CU13" s="624">
        <f t="shared" si="48"/>
        <v>26595</v>
      </c>
      <c r="CV13" s="624" t="str">
        <f t="shared" si="49"/>
        <v/>
      </c>
      <c r="CW13" s="624" t="str">
        <f t="shared" si="50"/>
        <v/>
      </c>
      <c r="CX13" s="624" t="str">
        <f t="shared" si="51"/>
        <v/>
      </c>
      <c r="CY13" s="624" t="str">
        <f t="shared" si="52"/>
        <v/>
      </c>
      <c r="CZ13" s="624" t="str">
        <f t="shared" si="53"/>
        <v/>
      </c>
      <c r="DA13" s="624" t="str">
        <f t="shared" si="54"/>
        <v/>
      </c>
      <c r="DB13" s="624" t="str">
        <f t="shared" si="55"/>
        <v/>
      </c>
      <c r="DC13" s="624" t="str">
        <f t="shared" si="56"/>
        <v/>
      </c>
      <c r="DD13" s="624" t="str">
        <f t="shared" si="57"/>
        <v/>
      </c>
      <c r="DE13" s="624" t="str">
        <f t="shared" si="58"/>
        <v/>
      </c>
      <c r="DF13" s="624" t="str">
        <f t="shared" si="59"/>
        <v/>
      </c>
      <c r="DG13" s="624" t="str">
        <f t="shared" si="60"/>
        <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t="str">
        <f t="shared" si="72"/>
        <v/>
      </c>
      <c r="DT13" s="624">
        <f t="shared" si="73"/>
        <v>27</v>
      </c>
      <c r="DU13" s="624" t="str">
        <f t="shared" si="74"/>
        <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t="str">
        <f t="shared" si="102"/>
        <v/>
      </c>
      <c r="EX13" s="636" t="str">
        <f t="shared" si="103"/>
        <v/>
      </c>
      <c r="EY13" s="636" t="str">
        <f t="shared" si="104"/>
        <v/>
      </c>
      <c r="EZ13" s="636" t="str">
        <f t="shared" si="105"/>
        <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f t="shared" si="123"/>
        <v>27</v>
      </c>
      <c r="FS13" s="636" t="str">
        <f t="shared" si="124"/>
        <v/>
      </c>
      <c r="FT13" s="636" t="str">
        <f t="shared" si="125"/>
        <v/>
      </c>
      <c r="FU13" s="636" t="str">
        <f t="shared" si="126"/>
        <v/>
      </c>
      <c r="FV13" s="636" t="str">
        <f t="shared" si="127"/>
        <v/>
      </c>
      <c r="FW13" s="636" t="str">
        <f t="shared" si="128"/>
        <v/>
      </c>
      <c r="FX13" s="636" t="str">
        <f t="shared" si="129"/>
        <v/>
      </c>
      <c r="FY13" s="636" t="str">
        <f t="shared" si="130"/>
        <v/>
      </c>
      <c r="FZ13" s="636" t="str">
        <f t="shared" si="131"/>
        <v/>
      </c>
      <c r="GA13" s="636" t="str">
        <f t="shared" si="132"/>
        <v/>
      </c>
      <c r="GB13" s="636" t="str">
        <f t="shared" si="133"/>
        <v/>
      </c>
      <c r="GC13" s="636" t="str">
        <f t="shared" si="134"/>
        <v/>
      </c>
      <c r="GD13" s="636" t="str">
        <f t="shared" si="135"/>
        <v/>
      </c>
      <c r="GE13" s="636" t="str">
        <f t="shared" si="136"/>
        <v/>
      </c>
      <c r="GF13" s="636" t="str">
        <f t="shared" si="137"/>
        <v/>
      </c>
      <c r="GG13" s="636" t="str">
        <f t="shared" si="138"/>
        <v/>
      </c>
      <c r="GH13" s="636" t="str">
        <f t="shared" si="139"/>
        <v/>
      </c>
      <c r="GI13" s="636" t="str">
        <f t="shared" si="140"/>
        <v/>
      </c>
      <c r="GJ13" s="636" t="str">
        <f t="shared" si="141"/>
        <v/>
      </c>
      <c r="GK13" s="636" t="str">
        <f t="shared" si="142"/>
        <v/>
      </c>
      <c r="GL13" s="636" t="str">
        <f t="shared" si="143"/>
        <v/>
      </c>
      <c r="GM13" s="636" t="str">
        <f t="shared" si="144"/>
        <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15" customHeight="1">
      <c r="A14" s="130" t="str">
        <f t="shared" si="171"/>
        <v/>
      </c>
      <c r="B14" s="1571" t="s">
        <v>4069</v>
      </c>
      <c r="C14" s="1572">
        <v>2</v>
      </c>
      <c r="D14" s="1573">
        <v>1</v>
      </c>
      <c r="E14" s="1574">
        <v>1</v>
      </c>
      <c r="F14" s="1574">
        <v>990</v>
      </c>
      <c r="G14" s="1574">
        <v>0</v>
      </c>
      <c r="H14" s="1574">
        <v>0</v>
      </c>
      <c r="I14" s="1574">
        <v>0</v>
      </c>
      <c r="J14" s="1575"/>
      <c r="K14" s="205">
        <f t="shared" si="172"/>
        <v>0</v>
      </c>
      <c r="L14" s="205">
        <f t="shared" si="0"/>
        <v>0</v>
      </c>
      <c r="M14" s="1576" t="s">
        <v>4070</v>
      </c>
      <c r="N14" s="1576" t="s">
        <v>3402</v>
      </c>
      <c r="O14" s="1576" t="s">
        <v>3023</v>
      </c>
      <c r="P14" s="559">
        <f>IF(H14="","",H14*12/0.3)</f>
        <v>0</v>
      </c>
      <c r="Q14" s="560">
        <f>IF(H14="","",P14/($P$6*VLOOKUP(C14,'DCA Underwriting Assumptions'!$J$81:$K$86,2,FALSE)))</f>
        <v>0</v>
      </c>
      <c r="R14" s="667"/>
      <c r="S14" s="560"/>
      <c r="T14" s="1513"/>
      <c r="U14" s="1514"/>
      <c r="V14" s="624" t="str">
        <f t="shared" si="1"/>
        <v/>
      </c>
      <c r="W14" s="624" t="str">
        <f t="shared" si="2"/>
        <v/>
      </c>
      <c r="X14" s="624" t="str">
        <f t="shared" si="3"/>
        <v/>
      </c>
      <c r="Y14" s="624" t="str">
        <f t="shared" si="4"/>
        <v/>
      </c>
      <c r="Z14" s="624" t="str">
        <f t="shared" si="5"/>
        <v/>
      </c>
      <c r="AA14" s="624" t="str">
        <f t="shared" si="6"/>
        <v/>
      </c>
      <c r="AB14" s="624" t="str">
        <f t="shared" si="7"/>
        <v/>
      </c>
      <c r="AC14" s="624" t="str">
        <f t="shared" si="8"/>
        <v/>
      </c>
      <c r="AD14" s="624" t="str">
        <f t="shared" si="9"/>
        <v/>
      </c>
      <c r="AE14" s="624" t="str">
        <f t="shared" si="10"/>
        <v/>
      </c>
      <c r="AF14" s="624" t="str">
        <f t="shared" si="11"/>
        <v/>
      </c>
      <c r="AG14" s="624" t="str">
        <f t="shared" si="12"/>
        <v/>
      </c>
      <c r="AH14" s="624" t="str">
        <f t="shared" si="13"/>
        <v/>
      </c>
      <c r="AI14" s="624" t="str">
        <f t="shared" si="14"/>
        <v/>
      </c>
      <c r="AJ14" s="624" t="str">
        <f t="shared" si="15"/>
        <v/>
      </c>
      <c r="AK14" s="624" t="str">
        <f t="shared" si="16"/>
        <v/>
      </c>
      <c r="AL14" s="624" t="str">
        <f t="shared" si="17"/>
        <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t="str">
        <f t="shared" si="179"/>
        <v/>
      </c>
      <c r="AW14" s="624" t="str">
        <f t="shared" si="180"/>
        <v/>
      </c>
      <c r="AX14" s="624" t="str">
        <f t="shared" si="181"/>
        <v/>
      </c>
      <c r="AY14" s="624" t="str">
        <f t="shared" si="182"/>
        <v/>
      </c>
      <c r="AZ14" s="624" t="str">
        <f t="shared" si="183"/>
        <v/>
      </c>
      <c r="BA14" s="624" t="str">
        <f t="shared" si="184"/>
        <v/>
      </c>
      <c r="BB14" s="624" t="str">
        <f t="shared" si="185"/>
        <v/>
      </c>
      <c r="BC14" s="624" t="str">
        <f t="shared" si="186"/>
        <v/>
      </c>
      <c r="BD14" s="624" t="str">
        <f t="shared" si="187"/>
        <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t="str">
        <f t="shared" si="196"/>
        <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t="str">
        <f t="shared" si="22"/>
        <v/>
      </c>
      <c r="BV14" s="624">
        <f t="shared" si="23"/>
        <v>1</v>
      </c>
      <c r="BW14" s="624" t="str">
        <f t="shared" si="24"/>
        <v/>
      </c>
      <c r="BX14" s="624" t="str">
        <f t="shared" si="25"/>
        <v/>
      </c>
      <c r="BY14" s="624" t="str">
        <f t="shared" si="26"/>
        <v/>
      </c>
      <c r="BZ14" s="624" t="str">
        <f t="shared" si="27"/>
        <v/>
      </c>
      <c r="CA14" s="624" t="str">
        <f t="shared" si="28"/>
        <v/>
      </c>
      <c r="CB14" s="624" t="str">
        <f t="shared" si="29"/>
        <v/>
      </c>
      <c r="CC14" s="624" t="str">
        <f t="shared" si="30"/>
        <v/>
      </c>
      <c r="CD14" s="624" t="str">
        <f t="shared" si="31"/>
        <v/>
      </c>
      <c r="CE14" s="624" t="str">
        <f t="shared" si="32"/>
        <v/>
      </c>
      <c r="CF14" s="624" t="str">
        <f t="shared" si="33"/>
        <v/>
      </c>
      <c r="CG14" s="624" t="str">
        <f t="shared" si="34"/>
        <v/>
      </c>
      <c r="CH14" s="624" t="str">
        <f t="shared" si="35"/>
        <v/>
      </c>
      <c r="CI14" s="624" t="str">
        <f t="shared" si="36"/>
        <v/>
      </c>
      <c r="CJ14" s="624" t="str">
        <f t="shared" si="37"/>
        <v/>
      </c>
      <c r="CK14" s="624" t="str">
        <f t="shared" si="38"/>
        <v/>
      </c>
      <c r="CL14" s="624" t="str">
        <f t="shared" si="39"/>
        <v/>
      </c>
      <c r="CM14" s="624" t="str">
        <f t="shared" si="40"/>
        <v/>
      </c>
      <c r="CN14" s="624" t="str">
        <f t="shared" si="41"/>
        <v/>
      </c>
      <c r="CO14" s="624" t="str">
        <f t="shared" si="42"/>
        <v/>
      </c>
      <c r="CP14" s="624" t="str">
        <f t="shared" si="43"/>
        <v/>
      </c>
      <c r="CQ14" s="624" t="str">
        <f t="shared" si="44"/>
        <v/>
      </c>
      <c r="CR14" s="624" t="str">
        <f t="shared" si="45"/>
        <v/>
      </c>
      <c r="CS14" s="624" t="str">
        <f t="shared" si="46"/>
        <v/>
      </c>
      <c r="CT14" s="624" t="str">
        <f t="shared" si="47"/>
        <v/>
      </c>
      <c r="CU14" s="624" t="str">
        <f t="shared" si="48"/>
        <v/>
      </c>
      <c r="CV14" s="624" t="str">
        <f t="shared" si="49"/>
        <v/>
      </c>
      <c r="CW14" s="624" t="str">
        <f t="shared" si="50"/>
        <v/>
      </c>
      <c r="CX14" s="624" t="str">
        <f t="shared" si="51"/>
        <v/>
      </c>
      <c r="CY14" s="624" t="str">
        <f t="shared" si="52"/>
        <v/>
      </c>
      <c r="CZ14" s="624">
        <f t="shared" si="53"/>
        <v>990</v>
      </c>
      <c r="DA14" s="624" t="str">
        <f t="shared" si="54"/>
        <v/>
      </c>
      <c r="DB14" s="624" t="str">
        <f t="shared" si="55"/>
        <v/>
      </c>
      <c r="DC14" s="624" t="str">
        <f t="shared" si="56"/>
        <v/>
      </c>
      <c r="DD14" s="624" t="str">
        <f t="shared" si="57"/>
        <v/>
      </c>
      <c r="DE14" s="624" t="str">
        <f t="shared" si="58"/>
        <v/>
      </c>
      <c r="DF14" s="624" t="str">
        <f t="shared" si="59"/>
        <v/>
      </c>
      <c r="DG14" s="624" t="str">
        <f t="shared" si="60"/>
        <v/>
      </c>
      <c r="DH14" s="624" t="str">
        <f t="shared" si="61"/>
        <v/>
      </c>
      <c r="DI14" s="624" t="str">
        <f t="shared" si="62"/>
        <v/>
      </c>
      <c r="DJ14" s="624" t="str">
        <f t="shared" si="63"/>
        <v/>
      </c>
      <c r="DK14" s="624" t="str">
        <f t="shared" si="64"/>
        <v/>
      </c>
      <c r="DL14" s="624" t="str">
        <f t="shared" si="65"/>
        <v/>
      </c>
      <c r="DM14" s="624" t="str">
        <f t="shared" si="66"/>
        <v/>
      </c>
      <c r="DN14" s="624" t="str">
        <f t="shared" si="67"/>
        <v/>
      </c>
      <c r="DO14" s="624">
        <f t="shared" si="68"/>
        <v>1</v>
      </c>
      <c r="DP14" s="624" t="str">
        <f t="shared" si="69"/>
        <v/>
      </c>
      <c r="DQ14" s="624" t="str">
        <f t="shared" si="70"/>
        <v/>
      </c>
      <c r="DR14" s="624" t="str">
        <f t="shared" si="71"/>
        <v/>
      </c>
      <c r="DS14" s="624" t="str">
        <f t="shared" si="72"/>
        <v/>
      </c>
      <c r="DT14" s="624" t="str">
        <f t="shared" si="73"/>
        <v/>
      </c>
      <c r="DU14" s="624" t="str">
        <f t="shared" si="74"/>
        <v/>
      </c>
      <c r="DV14" s="624" t="str">
        <f t="shared" si="75"/>
        <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t="str">
        <f t="shared" si="87"/>
        <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t="str">
        <f t="shared" si="102"/>
        <v/>
      </c>
      <c r="EX14" s="636">
        <f t="shared" si="103"/>
        <v>1</v>
      </c>
      <c r="EY14" s="636" t="str">
        <f t="shared" si="104"/>
        <v/>
      </c>
      <c r="EZ14" s="636" t="str">
        <f t="shared" si="105"/>
        <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t="str">
        <f t="shared" si="124"/>
        <v/>
      </c>
      <c r="FT14" s="636" t="str">
        <f t="shared" si="125"/>
        <v/>
      </c>
      <c r="FU14" s="636" t="str">
        <f t="shared" si="126"/>
        <v/>
      </c>
      <c r="FV14" s="636" t="str">
        <f t="shared" si="127"/>
        <v/>
      </c>
      <c r="FW14" s="636">
        <f t="shared" si="128"/>
        <v>1</v>
      </c>
      <c r="FX14" s="636" t="str">
        <f t="shared" si="129"/>
        <v/>
      </c>
      <c r="FY14" s="636" t="str">
        <f t="shared" si="130"/>
        <v/>
      </c>
      <c r="FZ14" s="636" t="str">
        <f t="shared" si="131"/>
        <v/>
      </c>
      <c r="GA14" s="636" t="str">
        <f t="shared" si="132"/>
        <v/>
      </c>
      <c r="GB14" s="636" t="str">
        <f t="shared" si="133"/>
        <v/>
      </c>
      <c r="GC14" s="636" t="str">
        <f t="shared" si="134"/>
        <v/>
      </c>
      <c r="GD14" s="636" t="str">
        <f t="shared" si="135"/>
        <v/>
      </c>
      <c r="GE14" s="636" t="str">
        <f t="shared" si="136"/>
        <v/>
      </c>
      <c r="GF14" s="636" t="str">
        <f t="shared" si="137"/>
        <v/>
      </c>
      <c r="GG14" s="636" t="str">
        <f t="shared" si="138"/>
        <v/>
      </c>
      <c r="GH14" s="636" t="str">
        <f t="shared" si="139"/>
        <v/>
      </c>
      <c r="GI14" s="636" t="str">
        <f t="shared" si="140"/>
        <v/>
      </c>
      <c r="GJ14" s="636" t="str">
        <f t="shared" si="141"/>
        <v/>
      </c>
      <c r="GK14" s="636" t="str">
        <f t="shared" si="142"/>
        <v/>
      </c>
      <c r="GL14" s="636" t="str">
        <f t="shared" si="143"/>
        <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15" customHeight="1">
      <c r="A15" s="130" t="str">
        <f t="shared" si="171"/>
        <v/>
      </c>
      <c r="B15" s="1571"/>
      <c r="C15" s="1572"/>
      <c r="D15" s="1573"/>
      <c r="E15" s="1574"/>
      <c r="F15" s="1574"/>
      <c r="G15" s="1574"/>
      <c r="H15" s="1574"/>
      <c r="I15" s="1574"/>
      <c r="J15" s="1575"/>
      <c r="K15" s="205">
        <f t="shared" si="172"/>
        <v>0</v>
      </c>
      <c r="L15" s="205">
        <f t="shared" si="0"/>
        <v>0</v>
      </c>
      <c r="M15" s="1576"/>
      <c r="N15" s="1576"/>
      <c r="O15" s="1576"/>
      <c r="P15" s="559" t="str">
        <f t="shared" ref="P15:P47" si="203">IF(H15="","",H15*12/0.3)</f>
        <v/>
      </c>
      <c r="Q15" s="560" t="str">
        <f>IF(H15="","",P15/($P$6*VLOOKUP(C15,'DCA Underwriting Assumptions'!$J$81:$K$86,2,FALSE)))</f>
        <v/>
      </c>
      <c r="R15" s="667"/>
      <c r="S15" s="560"/>
      <c r="T15" s="1513"/>
      <c r="U15" s="1514"/>
      <c r="V15" s="624" t="str">
        <f t="shared" si="1"/>
        <v/>
      </c>
      <c r="W15" s="624" t="str">
        <f t="shared" si="2"/>
        <v/>
      </c>
      <c r="X15" s="624" t="str">
        <f t="shared" si="3"/>
        <v/>
      </c>
      <c r="Y15" s="624" t="str">
        <f t="shared" si="4"/>
        <v/>
      </c>
      <c r="Z15" s="624" t="str">
        <f t="shared" si="5"/>
        <v/>
      </c>
      <c r="AA15" s="624" t="str">
        <f t="shared" si="6"/>
        <v/>
      </c>
      <c r="AB15" s="624" t="str">
        <f t="shared" si="7"/>
        <v/>
      </c>
      <c r="AC15" s="624" t="str">
        <f t="shared" si="8"/>
        <v/>
      </c>
      <c r="AD15" s="624" t="str">
        <f t="shared" si="9"/>
        <v/>
      </c>
      <c r="AE15" s="624" t="str">
        <f t="shared" si="10"/>
        <v/>
      </c>
      <c r="AF15" s="624" t="str">
        <f t="shared" si="11"/>
        <v/>
      </c>
      <c r="AG15" s="624" t="str">
        <f t="shared" si="12"/>
        <v/>
      </c>
      <c r="AH15" s="624" t="str">
        <f t="shared" si="13"/>
        <v/>
      </c>
      <c r="AI15" s="624" t="str">
        <f t="shared" si="14"/>
        <v/>
      </c>
      <c r="AJ15" s="624" t="str">
        <f t="shared" si="15"/>
        <v/>
      </c>
      <c r="AK15" s="624" t="str">
        <f t="shared" si="16"/>
        <v/>
      </c>
      <c r="AL15" s="624" t="str">
        <f t="shared" si="17"/>
        <v/>
      </c>
      <c r="AM15" s="624" t="str">
        <f t="shared" si="18"/>
        <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t="str">
        <f t="shared" si="185"/>
        <v/>
      </c>
      <c r="BC15" s="624" t="str">
        <f t="shared" si="186"/>
        <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t="str">
        <f t="shared" si="197"/>
        <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t="str">
        <f t="shared" si="27"/>
        <v/>
      </c>
      <c r="CA15" s="624" t="str">
        <f t="shared" si="28"/>
        <v/>
      </c>
      <c r="CB15" s="624" t="str">
        <f t="shared" si="29"/>
        <v/>
      </c>
      <c r="CC15" s="624" t="str">
        <f t="shared" si="30"/>
        <v/>
      </c>
      <c r="CD15" s="624" t="str">
        <f t="shared" si="31"/>
        <v/>
      </c>
      <c r="CE15" s="624" t="str">
        <f t="shared" si="32"/>
        <v/>
      </c>
      <c r="CF15" s="624" t="str">
        <f t="shared" si="33"/>
        <v/>
      </c>
      <c r="CG15" s="624" t="str">
        <f t="shared" si="34"/>
        <v/>
      </c>
      <c r="CH15" s="624" t="str">
        <f t="shared" si="35"/>
        <v/>
      </c>
      <c r="CI15" s="624" t="str">
        <f t="shared" si="36"/>
        <v/>
      </c>
      <c r="CJ15" s="624" t="str">
        <f t="shared" si="37"/>
        <v/>
      </c>
      <c r="CK15" s="624" t="str">
        <f t="shared" si="38"/>
        <v/>
      </c>
      <c r="CL15" s="624" t="str">
        <f t="shared" si="39"/>
        <v/>
      </c>
      <c r="CM15" s="624" t="str">
        <f t="shared" si="40"/>
        <v/>
      </c>
      <c r="CN15" s="624" t="str">
        <f t="shared" si="41"/>
        <v/>
      </c>
      <c r="CO15" s="624" t="str">
        <f t="shared" si="42"/>
        <v/>
      </c>
      <c r="CP15" s="624" t="str">
        <f t="shared" si="43"/>
        <v/>
      </c>
      <c r="CQ15" s="624" t="str">
        <f t="shared" si="44"/>
        <v/>
      </c>
      <c r="CR15" s="624" t="str">
        <f t="shared" si="45"/>
        <v/>
      </c>
      <c r="CS15" s="624" t="str">
        <f t="shared" si="46"/>
        <v/>
      </c>
      <c r="CT15" s="624" t="str">
        <f t="shared" si="47"/>
        <v/>
      </c>
      <c r="CU15" s="624" t="str">
        <f t="shared" si="48"/>
        <v/>
      </c>
      <c r="CV15" s="624" t="str">
        <f t="shared" si="49"/>
        <v/>
      </c>
      <c r="CW15" s="624" t="str">
        <f t="shared" si="50"/>
        <v/>
      </c>
      <c r="CX15" s="624" t="str">
        <f t="shared" si="51"/>
        <v/>
      </c>
      <c r="CY15" s="624" t="str">
        <f t="shared" si="52"/>
        <v/>
      </c>
      <c r="CZ15" s="624" t="str">
        <f t="shared" si="53"/>
        <v/>
      </c>
      <c r="DA15" s="624" t="str">
        <f t="shared" si="54"/>
        <v/>
      </c>
      <c r="DB15" s="624" t="str">
        <f t="shared" si="55"/>
        <v/>
      </c>
      <c r="DC15" s="624" t="str">
        <f t="shared" si="56"/>
        <v/>
      </c>
      <c r="DD15" s="624" t="str">
        <f t="shared" si="57"/>
        <v/>
      </c>
      <c r="DE15" s="624" t="str">
        <f t="shared" si="58"/>
        <v/>
      </c>
      <c r="DF15" s="624" t="str">
        <f t="shared" si="59"/>
        <v/>
      </c>
      <c r="DG15" s="624" t="str">
        <f t="shared" si="60"/>
        <v/>
      </c>
      <c r="DH15" s="624" t="str">
        <f t="shared" si="61"/>
        <v/>
      </c>
      <c r="DI15" s="624" t="str">
        <f t="shared" si="62"/>
        <v/>
      </c>
      <c r="DJ15" s="624" t="str">
        <f t="shared" si="63"/>
        <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t="str">
        <f t="shared" si="72"/>
        <v/>
      </c>
      <c r="DT15" s="624" t="str">
        <f t="shared" si="73"/>
        <v/>
      </c>
      <c r="DU15" s="624" t="str">
        <f t="shared" si="74"/>
        <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t="str">
        <f t="shared" si="102"/>
        <v/>
      </c>
      <c r="EX15" s="636" t="str">
        <f t="shared" si="103"/>
        <v/>
      </c>
      <c r="EY15" s="636" t="str">
        <f t="shared" si="104"/>
        <v/>
      </c>
      <c r="EZ15" s="636" t="str">
        <f t="shared" si="105"/>
        <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t="str">
        <f t="shared" si="124"/>
        <v/>
      </c>
      <c r="FT15" s="636" t="str">
        <f t="shared" si="125"/>
        <v/>
      </c>
      <c r="FU15" s="636" t="str">
        <f t="shared" si="126"/>
        <v/>
      </c>
      <c r="FV15" s="636" t="str">
        <f t="shared" si="127"/>
        <v/>
      </c>
      <c r="FW15" s="636" t="str">
        <f t="shared" si="128"/>
        <v/>
      </c>
      <c r="FX15" s="636" t="str">
        <f t="shared" si="129"/>
        <v/>
      </c>
      <c r="FY15" s="636" t="str">
        <f t="shared" si="130"/>
        <v/>
      </c>
      <c r="FZ15" s="636" t="str">
        <f t="shared" si="131"/>
        <v/>
      </c>
      <c r="GA15" s="636" t="str">
        <f t="shared" si="132"/>
        <v/>
      </c>
      <c r="GB15" s="636" t="str">
        <f t="shared" si="133"/>
        <v/>
      </c>
      <c r="GC15" s="636" t="str">
        <f t="shared" si="134"/>
        <v/>
      </c>
      <c r="GD15" s="636" t="str">
        <f t="shared" si="135"/>
        <v/>
      </c>
      <c r="GE15" s="636" t="str">
        <f t="shared" si="136"/>
        <v/>
      </c>
      <c r="GF15" s="636" t="str">
        <f t="shared" si="137"/>
        <v/>
      </c>
      <c r="GG15" s="636" t="str">
        <f t="shared" si="138"/>
        <v/>
      </c>
      <c r="GH15" s="636" t="str">
        <f t="shared" si="139"/>
        <v/>
      </c>
      <c r="GI15" s="636" t="str">
        <f t="shared" si="140"/>
        <v/>
      </c>
      <c r="GJ15" s="636" t="str">
        <f t="shared" si="141"/>
        <v/>
      </c>
      <c r="GK15" s="636" t="str">
        <f t="shared" si="142"/>
        <v/>
      </c>
      <c r="GL15" s="636" t="str">
        <f t="shared" si="143"/>
        <v/>
      </c>
      <c r="GM15" s="636" t="str">
        <f t="shared" si="144"/>
        <v/>
      </c>
      <c r="GN15" s="636" t="str">
        <f t="shared" si="145"/>
        <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15" customHeight="1">
      <c r="A16" s="130" t="str">
        <f t="shared" si="171"/>
        <v/>
      </c>
      <c r="B16" s="1571"/>
      <c r="C16" s="1572"/>
      <c r="D16" s="1573"/>
      <c r="E16" s="1574"/>
      <c r="F16" s="1574"/>
      <c r="G16" s="1574"/>
      <c r="H16" s="1574"/>
      <c r="I16" s="1574"/>
      <c r="J16" s="1575"/>
      <c r="K16" s="205">
        <f t="shared" si="172"/>
        <v>0</v>
      </c>
      <c r="L16" s="205">
        <f t="shared" si="0"/>
        <v>0</v>
      </c>
      <c r="M16" s="1576"/>
      <c r="N16" s="1576"/>
      <c r="O16" s="1576"/>
      <c r="P16" s="559" t="str">
        <f t="shared" si="203"/>
        <v/>
      </c>
      <c r="Q16" s="560" t="str">
        <f>IF(H16="","",P16/($P$6*VLOOKUP(C16,'DCA Underwriting Assumptions'!$J$81:$K$86,2,FALSE)))</f>
        <v/>
      </c>
      <c r="R16" s="667"/>
      <c r="S16" s="560"/>
      <c r="T16" s="1513"/>
      <c r="U16" s="1514"/>
      <c r="V16" s="624" t="str">
        <f t="shared" si="1"/>
        <v/>
      </c>
      <c r="W16" s="624" t="str">
        <f t="shared" si="2"/>
        <v/>
      </c>
      <c r="X16" s="624" t="str">
        <f t="shared" si="3"/>
        <v/>
      </c>
      <c r="Y16" s="624" t="str">
        <f t="shared" si="4"/>
        <v/>
      </c>
      <c r="Z16" s="624" t="str">
        <f t="shared" si="5"/>
        <v/>
      </c>
      <c r="AA16" s="624" t="str">
        <f t="shared" si="6"/>
        <v/>
      </c>
      <c r="AB16" s="624" t="str">
        <f t="shared" si="7"/>
        <v/>
      </c>
      <c r="AC16" s="624" t="str">
        <f t="shared" si="8"/>
        <v/>
      </c>
      <c r="AD16" s="624" t="str">
        <f t="shared" si="9"/>
        <v/>
      </c>
      <c r="AE16" s="624" t="str">
        <f t="shared" si="10"/>
        <v/>
      </c>
      <c r="AF16" s="624" t="str">
        <f t="shared" si="11"/>
        <v/>
      </c>
      <c r="AG16" s="624" t="str">
        <f t="shared" si="12"/>
        <v/>
      </c>
      <c r="AH16" s="624" t="str">
        <f t="shared" si="13"/>
        <v/>
      </c>
      <c r="AI16" s="624" t="str">
        <f t="shared" si="14"/>
        <v/>
      </c>
      <c r="AJ16" s="624" t="str">
        <f t="shared" si="15"/>
        <v/>
      </c>
      <c r="AK16" s="624" t="str">
        <f t="shared" si="16"/>
        <v/>
      </c>
      <c r="AL16" s="624" t="str">
        <f t="shared" si="17"/>
        <v/>
      </c>
      <c r="AM16" s="624" t="str">
        <f t="shared" si="18"/>
        <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t="str">
        <f t="shared" si="185"/>
        <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t="str">
        <f t="shared" si="23"/>
        <v/>
      </c>
      <c r="BW16" s="624" t="str">
        <f t="shared" si="24"/>
        <v/>
      </c>
      <c r="BX16" s="624" t="str">
        <f t="shared" si="25"/>
        <v/>
      </c>
      <c r="BY16" s="624" t="str">
        <f t="shared" si="26"/>
        <v/>
      </c>
      <c r="BZ16" s="624" t="str">
        <f t="shared" si="27"/>
        <v/>
      </c>
      <c r="CA16" s="624" t="str">
        <f t="shared" si="28"/>
        <v/>
      </c>
      <c r="CB16" s="624" t="str">
        <f t="shared" si="29"/>
        <v/>
      </c>
      <c r="CC16" s="624" t="str">
        <f t="shared" si="30"/>
        <v/>
      </c>
      <c r="CD16" s="624" t="str">
        <f t="shared" si="31"/>
        <v/>
      </c>
      <c r="CE16" s="624" t="str">
        <f t="shared" si="32"/>
        <v/>
      </c>
      <c r="CF16" s="624" t="str">
        <f t="shared" si="33"/>
        <v/>
      </c>
      <c r="CG16" s="624" t="str">
        <f t="shared" si="34"/>
        <v/>
      </c>
      <c r="CH16" s="624" t="str">
        <f t="shared" si="35"/>
        <v/>
      </c>
      <c r="CI16" s="624" t="str">
        <f t="shared" si="36"/>
        <v/>
      </c>
      <c r="CJ16" s="624" t="str">
        <f t="shared" si="37"/>
        <v/>
      </c>
      <c r="CK16" s="624" t="str">
        <f t="shared" si="38"/>
        <v/>
      </c>
      <c r="CL16" s="624" t="str">
        <f t="shared" si="39"/>
        <v/>
      </c>
      <c r="CM16" s="624" t="str">
        <f t="shared" si="40"/>
        <v/>
      </c>
      <c r="CN16" s="624" t="str">
        <f t="shared" si="41"/>
        <v/>
      </c>
      <c r="CO16" s="624" t="str">
        <f t="shared" si="42"/>
        <v/>
      </c>
      <c r="CP16" s="624" t="str">
        <f t="shared" si="43"/>
        <v/>
      </c>
      <c r="CQ16" s="624" t="str">
        <f t="shared" si="44"/>
        <v/>
      </c>
      <c r="CR16" s="624" t="str">
        <f t="shared" si="45"/>
        <v/>
      </c>
      <c r="CS16" s="624" t="str">
        <f t="shared" si="46"/>
        <v/>
      </c>
      <c r="CT16" s="624" t="str">
        <f t="shared" si="47"/>
        <v/>
      </c>
      <c r="CU16" s="624" t="str">
        <f t="shared" si="48"/>
        <v/>
      </c>
      <c r="CV16" s="624" t="str">
        <f t="shared" si="49"/>
        <v/>
      </c>
      <c r="CW16" s="624" t="str">
        <f t="shared" si="50"/>
        <v/>
      </c>
      <c r="CX16" s="624" t="str">
        <f t="shared" si="51"/>
        <v/>
      </c>
      <c r="CY16" s="624" t="str">
        <f t="shared" si="52"/>
        <v/>
      </c>
      <c r="CZ16" s="624" t="str">
        <f t="shared" si="53"/>
        <v/>
      </c>
      <c r="DA16" s="624" t="str">
        <f t="shared" si="54"/>
        <v/>
      </c>
      <c r="DB16" s="624" t="str">
        <f t="shared" si="55"/>
        <v/>
      </c>
      <c r="DC16" s="624" t="str">
        <f t="shared" si="56"/>
        <v/>
      </c>
      <c r="DD16" s="624" t="str">
        <f t="shared" si="57"/>
        <v/>
      </c>
      <c r="DE16" s="624" t="str">
        <f t="shared" si="58"/>
        <v/>
      </c>
      <c r="DF16" s="624" t="str">
        <f t="shared" si="59"/>
        <v/>
      </c>
      <c r="DG16" s="624" t="str">
        <f t="shared" si="60"/>
        <v/>
      </c>
      <c r="DH16" s="624" t="str">
        <f t="shared" si="61"/>
        <v/>
      </c>
      <c r="DI16" s="624" t="str">
        <f t="shared" si="62"/>
        <v/>
      </c>
      <c r="DJ16" s="624" t="str">
        <f t="shared" si="63"/>
        <v/>
      </c>
      <c r="DK16" s="624" t="str">
        <f t="shared" si="64"/>
        <v/>
      </c>
      <c r="DL16" s="624" t="str">
        <f t="shared" si="65"/>
        <v/>
      </c>
      <c r="DM16" s="624" t="str">
        <f t="shared" si="66"/>
        <v/>
      </c>
      <c r="DN16" s="624" t="str">
        <f t="shared" si="67"/>
        <v/>
      </c>
      <c r="DO16" s="624" t="str">
        <f t="shared" si="68"/>
        <v/>
      </c>
      <c r="DP16" s="624" t="str">
        <f t="shared" si="69"/>
        <v/>
      </c>
      <c r="DQ16" s="624" t="str">
        <f t="shared" si="70"/>
        <v/>
      </c>
      <c r="DR16" s="624" t="str">
        <f t="shared" si="71"/>
        <v/>
      </c>
      <c r="DS16" s="624" t="str">
        <f t="shared" si="72"/>
        <v/>
      </c>
      <c r="DT16" s="624" t="str">
        <f t="shared" si="73"/>
        <v/>
      </c>
      <c r="DU16" s="624" t="str">
        <f t="shared" si="74"/>
        <v/>
      </c>
      <c r="DV16" s="624" t="str">
        <f t="shared" si="75"/>
        <v/>
      </c>
      <c r="DW16" s="624" t="str">
        <f t="shared" si="76"/>
        <v/>
      </c>
      <c r="DX16" s="624" t="str">
        <f t="shared" si="77"/>
        <v/>
      </c>
      <c r="DY16" s="624" t="str">
        <f t="shared" si="78"/>
        <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t="str">
        <f t="shared" si="102"/>
        <v/>
      </c>
      <c r="EX16" s="636" t="str">
        <f t="shared" si="103"/>
        <v/>
      </c>
      <c r="EY16" s="636" t="str">
        <f t="shared" si="104"/>
        <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t="str">
        <f t="shared" si="122"/>
        <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t="str">
        <f t="shared" si="133"/>
        <v/>
      </c>
      <c r="GC16" s="636" t="str">
        <f t="shared" si="134"/>
        <v/>
      </c>
      <c r="GD16" s="636" t="str">
        <f t="shared" si="135"/>
        <v/>
      </c>
      <c r="GE16" s="636" t="str">
        <f t="shared" si="136"/>
        <v/>
      </c>
      <c r="GF16" s="636" t="str">
        <f t="shared" si="137"/>
        <v/>
      </c>
      <c r="GG16" s="636" t="str">
        <f t="shared" si="138"/>
        <v/>
      </c>
      <c r="GH16" s="636" t="str">
        <f t="shared" si="139"/>
        <v/>
      </c>
      <c r="GI16" s="636" t="str">
        <f t="shared" si="140"/>
        <v/>
      </c>
      <c r="GJ16" s="636" t="str">
        <f t="shared" si="141"/>
        <v/>
      </c>
      <c r="GK16" s="636" t="str">
        <f t="shared" si="142"/>
        <v/>
      </c>
      <c r="GL16" s="636" t="str">
        <f t="shared" si="143"/>
        <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15" customHeight="1">
      <c r="A17" s="130" t="str">
        <f t="shared" si="171"/>
        <v/>
      </c>
      <c r="B17" s="1571"/>
      <c r="C17" s="1572"/>
      <c r="D17" s="1573"/>
      <c r="E17" s="1574"/>
      <c r="F17" s="1574"/>
      <c r="G17" s="1574"/>
      <c r="H17" s="1574"/>
      <c r="I17" s="1574"/>
      <c r="J17" s="1575"/>
      <c r="K17" s="205">
        <f t="shared" si="172"/>
        <v>0</v>
      </c>
      <c r="L17" s="205">
        <f t="shared" si="0"/>
        <v>0</v>
      </c>
      <c r="M17" s="1576"/>
      <c r="N17" s="1576"/>
      <c r="O17" s="1576"/>
      <c r="P17" s="559" t="str">
        <f t="shared" si="203"/>
        <v/>
      </c>
      <c r="Q17" s="560" t="str">
        <f>IF(H17="","",P17/($P$6*VLOOKUP(C17,'DCA Underwriting Assumptions'!$J$81:$K$86,2,FALSE)))</f>
        <v/>
      </c>
      <c r="R17" s="667"/>
      <c r="S17" s="560"/>
      <c r="T17" s="1513"/>
      <c r="U17" s="1514"/>
      <c r="V17" s="624" t="str">
        <f t="shared" si="1"/>
        <v/>
      </c>
      <c r="W17" s="624" t="str">
        <f t="shared" si="2"/>
        <v/>
      </c>
      <c r="X17" s="624" t="str">
        <f t="shared" si="3"/>
        <v/>
      </c>
      <c r="Y17" s="624" t="str">
        <f t="shared" si="4"/>
        <v/>
      </c>
      <c r="Z17" s="624" t="str">
        <f t="shared" si="5"/>
        <v/>
      </c>
      <c r="AA17" s="624" t="str">
        <f t="shared" si="6"/>
        <v/>
      </c>
      <c r="AB17" s="624" t="str">
        <f t="shared" si="7"/>
        <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t="str">
        <f t="shared" si="17"/>
        <v/>
      </c>
      <c r="AM17" s="624" t="str">
        <f t="shared" si="18"/>
        <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t="str">
        <f t="shared" si="179"/>
        <v/>
      </c>
      <c r="AW17" s="624" t="str">
        <f t="shared" si="180"/>
        <v/>
      </c>
      <c r="AX17" s="624" t="str">
        <f t="shared" si="181"/>
        <v/>
      </c>
      <c r="AY17" s="624" t="str">
        <f t="shared" si="182"/>
        <v/>
      </c>
      <c r="AZ17" s="624" t="str">
        <f t="shared" si="183"/>
        <v/>
      </c>
      <c r="BA17" s="624" t="str">
        <f t="shared" si="184"/>
        <v/>
      </c>
      <c r="BB17" s="624" t="str">
        <f t="shared" si="185"/>
        <v/>
      </c>
      <c r="BC17" s="624" t="str">
        <f t="shared" si="186"/>
        <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t="str">
        <f t="shared" si="27"/>
        <v/>
      </c>
      <c r="CA17" s="624" t="str">
        <f t="shared" si="28"/>
        <v/>
      </c>
      <c r="CB17" s="624" t="str">
        <f t="shared" si="29"/>
        <v/>
      </c>
      <c r="CC17" s="624" t="str">
        <f t="shared" si="30"/>
        <v/>
      </c>
      <c r="CD17" s="624" t="str">
        <f t="shared" si="31"/>
        <v/>
      </c>
      <c r="CE17" s="624" t="str">
        <f t="shared" si="32"/>
        <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t="str">
        <f t="shared" si="42"/>
        <v/>
      </c>
      <c r="CP17" s="624" t="str">
        <f t="shared" si="43"/>
        <v/>
      </c>
      <c r="CQ17" s="624" t="str">
        <f t="shared" si="44"/>
        <v/>
      </c>
      <c r="CR17" s="624" t="str">
        <f t="shared" si="45"/>
        <v/>
      </c>
      <c r="CS17" s="624" t="str">
        <f t="shared" si="46"/>
        <v/>
      </c>
      <c r="CT17" s="624" t="str">
        <f t="shared" si="47"/>
        <v/>
      </c>
      <c r="CU17" s="624" t="str">
        <f t="shared" si="48"/>
        <v/>
      </c>
      <c r="CV17" s="624" t="str">
        <f t="shared" si="49"/>
        <v/>
      </c>
      <c r="CW17" s="624" t="str">
        <f t="shared" si="50"/>
        <v/>
      </c>
      <c r="CX17" s="624" t="str">
        <f t="shared" si="51"/>
        <v/>
      </c>
      <c r="CY17" s="624" t="str">
        <f t="shared" si="52"/>
        <v/>
      </c>
      <c r="CZ17" s="624" t="str">
        <f t="shared" si="53"/>
        <v/>
      </c>
      <c r="DA17" s="624" t="str">
        <f t="shared" si="54"/>
        <v/>
      </c>
      <c r="DB17" s="624" t="str">
        <f t="shared" si="55"/>
        <v/>
      </c>
      <c r="DC17" s="624" t="str">
        <f t="shared" si="56"/>
        <v/>
      </c>
      <c r="DD17" s="624" t="str">
        <f t="shared" si="57"/>
        <v/>
      </c>
      <c r="DE17" s="624" t="str">
        <f t="shared" si="58"/>
        <v/>
      </c>
      <c r="DF17" s="624" t="str">
        <f t="shared" si="59"/>
        <v/>
      </c>
      <c r="DG17" s="624" t="str">
        <f t="shared" si="60"/>
        <v/>
      </c>
      <c r="DH17" s="624" t="str">
        <f t="shared" si="61"/>
        <v/>
      </c>
      <c r="DI17" s="624" t="str">
        <f t="shared" si="62"/>
        <v/>
      </c>
      <c r="DJ17" s="624" t="str">
        <f t="shared" si="63"/>
        <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t="str">
        <f t="shared" si="72"/>
        <v/>
      </c>
      <c r="DT17" s="624" t="str">
        <f t="shared" si="73"/>
        <v/>
      </c>
      <c r="DU17" s="624" t="str">
        <f t="shared" si="74"/>
        <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t="str">
        <f t="shared" si="102"/>
        <v/>
      </c>
      <c r="EX17" s="636" t="str">
        <f t="shared" si="103"/>
        <v/>
      </c>
      <c r="EY17" s="636" t="str">
        <f t="shared" si="104"/>
        <v/>
      </c>
      <c r="EZ17" s="636" t="str">
        <f t="shared" si="105"/>
        <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t="str">
        <f t="shared" si="123"/>
        <v/>
      </c>
      <c r="FS17" s="636" t="str">
        <f t="shared" si="124"/>
        <v/>
      </c>
      <c r="FT17" s="636" t="str">
        <f t="shared" si="125"/>
        <v/>
      </c>
      <c r="FU17" s="636" t="str">
        <f t="shared" si="126"/>
        <v/>
      </c>
      <c r="FV17" s="636" t="str">
        <f t="shared" si="127"/>
        <v/>
      </c>
      <c r="FW17" s="636" t="str">
        <f t="shared" si="128"/>
        <v/>
      </c>
      <c r="FX17" s="636" t="str">
        <f t="shared" si="129"/>
        <v/>
      </c>
      <c r="FY17" s="636" t="str">
        <f t="shared" si="130"/>
        <v/>
      </c>
      <c r="FZ17" s="636" t="str">
        <f t="shared" si="131"/>
        <v/>
      </c>
      <c r="GA17" s="636" t="str">
        <f t="shared" si="132"/>
        <v/>
      </c>
      <c r="GB17" s="636" t="str">
        <f t="shared" si="133"/>
        <v/>
      </c>
      <c r="GC17" s="636" t="str">
        <f t="shared" si="134"/>
        <v/>
      </c>
      <c r="GD17" s="636" t="str">
        <f t="shared" si="135"/>
        <v/>
      </c>
      <c r="GE17" s="636" t="str">
        <f t="shared" si="136"/>
        <v/>
      </c>
      <c r="GF17" s="636" t="str">
        <f t="shared" si="137"/>
        <v/>
      </c>
      <c r="GG17" s="636" t="str">
        <f t="shared" si="138"/>
        <v/>
      </c>
      <c r="GH17" s="636" t="str">
        <f t="shared" si="139"/>
        <v/>
      </c>
      <c r="GI17" s="636" t="str">
        <f t="shared" si="140"/>
        <v/>
      </c>
      <c r="GJ17" s="636" t="str">
        <f t="shared" si="141"/>
        <v/>
      </c>
      <c r="GK17" s="636" t="str">
        <f t="shared" si="142"/>
        <v/>
      </c>
      <c r="GL17" s="636" t="str">
        <f t="shared" si="143"/>
        <v/>
      </c>
      <c r="GM17" s="636" t="str">
        <f t="shared" si="144"/>
        <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15" customHeight="1">
      <c r="A18" s="130" t="str">
        <f t="shared" si="171"/>
        <v/>
      </c>
      <c r="B18" s="1571"/>
      <c r="C18" s="1572"/>
      <c r="D18" s="1573"/>
      <c r="E18" s="1574"/>
      <c r="F18" s="1574"/>
      <c r="G18" s="1574"/>
      <c r="H18" s="1574"/>
      <c r="I18" s="1574"/>
      <c r="J18" s="1575"/>
      <c r="K18" s="205">
        <f t="shared" si="172"/>
        <v>0</v>
      </c>
      <c r="L18" s="205">
        <f t="shared" si="0"/>
        <v>0</v>
      </c>
      <c r="M18" s="1576"/>
      <c r="N18" s="1576"/>
      <c r="O18" s="1576"/>
      <c r="P18" s="559" t="str">
        <f t="shared" si="203"/>
        <v/>
      </c>
      <c r="Q18" s="560" t="str">
        <f>IF(H18="","",P18/($P$6*VLOOKUP(C18,'DCA Underwriting Assumptions'!$J$81:$K$86,2,FALSE)))</f>
        <v/>
      </c>
      <c r="R18" s="667"/>
      <c r="S18" s="560"/>
      <c r="T18" s="1513"/>
      <c r="U18" s="1514"/>
      <c r="V18" s="624" t="str">
        <f t="shared" si="1"/>
        <v/>
      </c>
      <c r="W18" s="624" t="str">
        <f t="shared" si="2"/>
        <v/>
      </c>
      <c r="X18" s="624" t="str">
        <f t="shared" si="3"/>
        <v/>
      </c>
      <c r="Y18" s="624" t="str">
        <f t="shared" si="4"/>
        <v/>
      </c>
      <c r="Z18" s="624" t="str">
        <f t="shared" si="5"/>
        <v/>
      </c>
      <c r="AA18" s="624" t="str">
        <f t="shared" si="6"/>
        <v/>
      </c>
      <c r="AB18" s="624" t="str">
        <f t="shared" si="7"/>
        <v/>
      </c>
      <c r="AC18" s="624" t="str">
        <f t="shared" si="8"/>
        <v/>
      </c>
      <c r="AD18" s="624" t="str">
        <f t="shared" si="9"/>
        <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t="str">
        <f t="shared" si="18"/>
        <v/>
      </c>
      <c r="AN18" s="624" t="str">
        <f t="shared" si="19"/>
        <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t="str">
        <f t="shared" si="186"/>
        <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t="str">
        <f t="shared" si="23"/>
        <v/>
      </c>
      <c r="BW18" s="624" t="str">
        <f t="shared" si="24"/>
        <v/>
      </c>
      <c r="BX18" s="624" t="str">
        <f t="shared" si="25"/>
        <v/>
      </c>
      <c r="BY18" s="624" t="str">
        <f t="shared" si="26"/>
        <v/>
      </c>
      <c r="BZ18" s="624" t="str">
        <f t="shared" si="27"/>
        <v/>
      </c>
      <c r="CA18" s="624" t="str">
        <f t="shared" si="28"/>
        <v/>
      </c>
      <c r="CB18" s="624" t="str">
        <f t="shared" si="29"/>
        <v/>
      </c>
      <c r="CC18" s="624" t="str">
        <f t="shared" si="30"/>
        <v/>
      </c>
      <c r="CD18" s="624" t="str">
        <f t="shared" si="31"/>
        <v/>
      </c>
      <c r="CE18" s="624" t="str">
        <f t="shared" si="32"/>
        <v/>
      </c>
      <c r="CF18" s="624" t="str">
        <f t="shared" si="33"/>
        <v/>
      </c>
      <c r="CG18" s="624" t="str">
        <f t="shared" si="34"/>
        <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t="str">
        <f t="shared" si="43"/>
        <v/>
      </c>
      <c r="CQ18" s="624" t="str">
        <f t="shared" si="44"/>
        <v/>
      </c>
      <c r="CR18" s="624" t="str">
        <f t="shared" si="45"/>
        <v/>
      </c>
      <c r="CS18" s="624" t="str">
        <f t="shared" si="46"/>
        <v/>
      </c>
      <c r="CT18" s="624" t="str">
        <f t="shared" si="47"/>
        <v/>
      </c>
      <c r="CU18" s="624" t="str">
        <f t="shared" si="48"/>
        <v/>
      </c>
      <c r="CV18" s="624" t="str">
        <f t="shared" si="49"/>
        <v/>
      </c>
      <c r="CW18" s="624" t="str">
        <f t="shared" si="50"/>
        <v/>
      </c>
      <c r="CX18" s="624" t="str">
        <f t="shared" si="51"/>
        <v/>
      </c>
      <c r="CY18" s="624" t="str">
        <f t="shared" si="52"/>
        <v/>
      </c>
      <c r="CZ18" s="624" t="str">
        <f t="shared" si="53"/>
        <v/>
      </c>
      <c r="DA18" s="624" t="str">
        <f t="shared" si="54"/>
        <v/>
      </c>
      <c r="DB18" s="624" t="str">
        <f t="shared" si="55"/>
        <v/>
      </c>
      <c r="DC18" s="624" t="str">
        <f t="shared" si="56"/>
        <v/>
      </c>
      <c r="DD18" s="624" t="str">
        <f t="shared" si="57"/>
        <v/>
      </c>
      <c r="DE18" s="624" t="str">
        <f t="shared" si="58"/>
        <v/>
      </c>
      <c r="DF18" s="624" t="str">
        <f t="shared" si="59"/>
        <v/>
      </c>
      <c r="DG18" s="624" t="str">
        <f t="shared" si="60"/>
        <v/>
      </c>
      <c r="DH18" s="624" t="str">
        <f t="shared" si="61"/>
        <v/>
      </c>
      <c r="DI18" s="624" t="str">
        <f t="shared" si="62"/>
        <v/>
      </c>
      <c r="DJ18" s="624" t="str">
        <f t="shared" si="63"/>
        <v/>
      </c>
      <c r="DK18" s="624" t="str">
        <f t="shared" si="64"/>
        <v/>
      </c>
      <c r="DL18" s="624" t="str">
        <f t="shared" si="65"/>
        <v/>
      </c>
      <c r="DM18" s="624" t="str">
        <f t="shared" si="66"/>
        <v/>
      </c>
      <c r="DN18" s="624" t="str">
        <f t="shared" si="67"/>
        <v/>
      </c>
      <c r="DO18" s="624" t="str">
        <f t="shared" si="68"/>
        <v/>
      </c>
      <c r="DP18" s="624" t="str">
        <f t="shared" si="69"/>
        <v/>
      </c>
      <c r="DQ18" s="624" t="str">
        <f t="shared" si="70"/>
        <v/>
      </c>
      <c r="DR18" s="624" t="str">
        <f t="shared" si="71"/>
        <v/>
      </c>
      <c r="DS18" s="624" t="str">
        <f t="shared" si="72"/>
        <v/>
      </c>
      <c r="DT18" s="624" t="str">
        <f t="shared" si="73"/>
        <v/>
      </c>
      <c r="DU18" s="624" t="str">
        <f t="shared" si="74"/>
        <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t="str">
        <f t="shared" si="88"/>
        <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t="str">
        <f t="shared" si="102"/>
        <v/>
      </c>
      <c r="EX18" s="636" t="str">
        <f t="shared" si="103"/>
        <v/>
      </c>
      <c r="EY18" s="636" t="str">
        <f t="shared" si="104"/>
        <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t="str">
        <f t="shared" si="123"/>
        <v/>
      </c>
      <c r="FS18" s="636" t="str">
        <f t="shared" si="124"/>
        <v/>
      </c>
      <c r="FT18" s="636" t="str">
        <f t="shared" si="125"/>
        <v/>
      </c>
      <c r="FU18" s="636" t="str">
        <f t="shared" si="126"/>
        <v/>
      </c>
      <c r="FV18" s="636" t="str">
        <f t="shared" si="127"/>
        <v/>
      </c>
      <c r="FW18" s="636" t="str">
        <f t="shared" si="128"/>
        <v/>
      </c>
      <c r="FX18" s="636" t="str">
        <f t="shared" si="129"/>
        <v/>
      </c>
      <c r="FY18" s="636" t="str">
        <f t="shared" si="130"/>
        <v/>
      </c>
      <c r="FZ18" s="636" t="str">
        <f t="shared" si="131"/>
        <v/>
      </c>
      <c r="GA18" s="636" t="str">
        <f t="shared" si="132"/>
        <v/>
      </c>
      <c r="GB18" s="636" t="str">
        <f t="shared" si="133"/>
        <v/>
      </c>
      <c r="GC18" s="636" t="str">
        <f t="shared" si="134"/>
        <v/>
      </c>
      <c r="GD18" s="636" t="str">
        <f t="shared" si="135"/>
        <v/>
      </c>
      <c r="GE18" s="636" t="str">
        <f t="shared" si="136"/>
        <v/>
      </c>
      <c r="GF18" s="636" t="str">
        <f t="shared" si="137"/>
        <v/>
      </c>
      <c r="GG18" s="636" t="str">
        <f t="shared" si="138"/>
        <v/>
      </c>
      <c r="GH18" s="636" t="str">
        <f t="shared" si="139"/>
        <v/>
      </c>
      <c r="GI18" s="636" t="str">
        <f t="shared" si="140"/>
        <v/>
      </c>
      <c r="GJ18" s="636" t="str">
        <f t="shared" si="141"/>
        <v/>
      </c>
      <c r="GK18" s="636" t="str">
        <f t="shared" si="142"/>
        <v/>
      </c>
      <c r="GL18" s="636" t="str">
        <f t="shared" si="143"/>
        <v/>
      </c>
      <c r="GM18" s="636" t="str">
        <f t="shared" si="144"/>
        <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15" customHeight="1">
      <c r="A19" s="130" t="str">
        <f t="shared" si="171"/>
        <v/>
      </c>
      <c r="B19" s="1571"/>
      <c r="C19" s="1572"/>
      <c r="D19" s="1573"/>
      <c r="E19" s="1574"/>
      <c r="F19" s="1574"/>
      <c r="G19" s="1574"/>
      <c r="H19" s="1574"/>
      <c r="I19" s="1574"/>
      <c r="J19" s="1575"/>
      <c r="K19" s="205">
        <f t="shared" si="172"/>
        <v>0</v>
      </c>
      <c r="L19" s="205">
        <f t="shared" si="0"/>
        <v>0</v>
      </c>
      <c r="M19" s="1576"/>
      <c r="N19" s="1576"/>
      <c r="O19" s="1576"/>
      <c r="P19" s="559" t="str">
        <f t="shared" si="203"/>
        <v/>
      </c>
      <c r="Q19" s="560" t="str">
        <f>IF(H19="","",P19/($P$6*VLOOKUP(C19,'DCA Underwriting Assumptions'!$J$81:$K$86,2,FALSE)))</f>
        <v/>
      </c>
      <c r="R19" s="667"/>
      <c r="S19" s="560"/>
      <c r="T19" s="1513"/>
      <c r="U19" s="1514"/>
      <c r="V19" s="624" t="str">
        <f t="shared" si="1"/>
        <v/>
      </c>
      <c r="W19" s="624" t="str">
        <f t="shared" si="2"/>
        <v/>
      </c>
      <c r="X19" s="624" t="str">
        <f t="shared" si="3"/>
        <v/>
      </c>
      <c r="Y19" s="624" t="str">
        <f t="shared" si="4"/>
        <v/>
      </c>
      <c r="Z19" s="624" t="str">
        <f t="shared" si="5"/>
        <v/>
      </c>
      <c r="AA19" s="624" t="str">
        <f t="shared" si="6"/>
        <v/>
      </c>
      <c r="AB19" s="624" t="str">
        <f t="shared" si="7"/>
        <v/>
      </c>
      <c r="AC19" s="624" t="str">
        <f t="shared" si="8"/>
        <v/>
      </c>
      <c r="AD19" s="624" t="str">
        <f t="shared" si="9"/>
        <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t="str">
        <f t="shared" si="19"/>
        <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t="str">
        <f t="shared" si="184"/>
        <v/>
      </c>
      <c r="BB19" s="624" t="str">
        <f t="shared" si="185"/>
        <v/>
      </c>
      <c r="BC19" s="624" t="str">
        <f t="shared" si="186"/>
        <v/>
      </c>
      <c r="BD19" s="624" t="str">
        <f t="shared" si="187"/>
        <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t="str">
        <f t="shared" si="23"/>
        <v/>
      </c>
      <c r="BW19" s="624" t="str">
        <f t="shared" si="24"/>
        <v/>
      </c>
      <c r="BX19" s="624" t="str">
        <f t="shared" si="25"/>
        <v/>
      </c>
      <c r="BY19" s="624" t="str">
        <f t="shared" si="26"/>
        <v/>
      </c>
      <c r="BZ19" s="624" t="str">
        <f t="shared" si="27"/>
        <v/>
      </c>
      <c r="CA19" s="624" t="str">
        <f t="shared" si="28"/>
        <v/>
      </c>
      <c r="CB19" s="624" t="str">
        <f t="shared" si="29"/>
        <v/>
      </c>
      <c r="CC19" s="624" t="str">
        <f t="shared" si="30"/>
        <v/>
      </c>
      <c r="CD19" s="624" t="str">
        <f t="shared" si="31"/>
        <v/>
      </c>
      <c r="CE19" s="624" t="str">
        <f t="shared" si="32"/>
        <v/>
      </c>
      <c r="CF19" s="624" t="str">
        <f t="shared" si="33"/>
        <v/>
      </c>
      <c r="CG19" s="624" t="str">
        <f t="shared" si="34"/>
        <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t="str">
        <f t="shared" si="44"/>
        <v/>
      </c>
      <c r="CR19" s="624" t="str">
        <f t="shared" si="45"/>
        <v/>
      </c>
      <c r="CS19" s="624" t="str">
        <f t="shared" si="46"/>
        <v/>
      </c>
      <c r="CT19" s="624" t="str">
        <f t="shared" si="47"/>
        <v/>
      </c>
      <c r="CU19" s="624" t="str">
        <f t="shared" si="48"/>
        <v/>
      </c>
      <c r="CV19" s="624" t="str">
        <f t="shared" si="49"/>
        <v/>
      </c>
      <c r="CW19" s="624" t="str">
        <f t="shared" si="50"/>
        <v/>
      </c>
      <c r="CX19" s="624" t="str">
        <f t="shared" si="51"/>
        <v/>
      </c>
      <c r="CY19" s="624" t="str">
        <f t="shared" si="52"/>
        <v/>
      </c>
      <c r="CZ19" s="624" t="str">
        <f t="shared" si="53"/>
        <v/>
      </c>
      <c r="DA19" s="624" t="str">
        <f t="shared" si="54"/>
        <v/>
      </c>
      <c r="DB19" s="624" t="str">
        <f t="shared" si="55"/>
        <v/>
      </c>
      <c r="DC19" s="624" t="str">
        <f t="shared" si="56"/>
        <v/>
      </c>
      <c r="DD19" s="624" t="str">
        <f t="shared" si="57"/>
        <v/>
      </c>
      <c r="DE19" s="624" t="str">
        <f t="shared" si="58"/>
        <v/>
      </c>
      <c r="DF19" s="624" t="str">
        <f t="shared" si="59"/>
        <v/>
      </c>
      <c r="DG19" s="624" t="str">
        <f t="shared" si="60"/>
        <v/>
      </c>
      <c r="DH19" s="624" t="str">
        <f t="shared" si="61"/>
        <v/>
      </c>
      <c r="DI19" s="624" t="str">
        <f t="shared" si="62"/>
        <v/>
      </c>
      <c r="DJ19" s="624" t="str">
        <f t="shared" si="63"/>
        <v/>
      </c>
      <c r="DK19" s="624" t="str">
        <f t="shared" si="64"/>
        <v/>
      </c>
      <c r="DL19" s="624" t="str">
        <f t="shared" si="65"/>
        <v/>
      </c>
      <c r="DM19" s="624" t="str">
        <f t="shared" si="66"/>
        <v/>
      </c>
      <c r="DN19" s="624" t="str">
        <f t="shared" si="67"/>
        <v/>
      </c>
      <c r="DO19" s="624" t="str">
        <f t="shared" si="68"/>
        <v/>
      </c>
      <c r="DP19" s="624" t="str">
        <f t="shared" si="69"/>
        <v/>
      </c>
      <c r="DQ19" s="624" t="str">
        <f t="shared" si="70"/>
        <v/>
      </c>
      <c r="DR19" s="624" t="str">
        <f t="shared" si="71"/>
        <v/>
      </c>
      <c r="DS19" s="624" t="str">
        <f t="shared" si="72"/>
        <v/>
      </c>
      <c r="DT19" s="624" t="str">
        <f t="shared" si="73"/>
        <v/>
      </c>
      <c r="DU19" s="624" t="str">
        <f t="shared" si="74"/>
        <v/>
      </c>
      <c r="DV19" s="624" t="str">
        <f t="shared" si="75"/>
        <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t="str">
        <f t="shared" si="102"/>
        <v/>
      </c>
      <c r="EX19" s="636" t="str">
        <f t="shared" si="103"/>
        <v/>
      </c>
      <c r="EY19" s="636" t="str">
        <f t="shared" si="104"/>
        <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t="str">
        <f t="shared" si="125"/>
        <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t="str">
        <f t="shared" si="134"/>
        <v/>
      </c>
      <c r="GD19" s="636" t="str">
        <f t="shared" si="135"/>
        <v/>
      </c>
      <c r="GE19" s="636" t="str">
        <f t="shared" si="136"/>
        <v/>
      </c>
      <c r="GF19" s="636" t="str">
        <f t="shared" si="137"/>
        <v/>
      </c>
      <c r="GG19" s="636" t="str">
        <f t="shared" si="138"/>
        <v/>
      </c>
      <c r="GH19" s="636" t="str">
        <f t="shared" si="139"/>
        <v/>
      </c>
      <c r="GI19" s="636" t="str">
        <f t="shared" si="140"/>
        <v/>
      </c>
      <c r="GJ19" s="636" t="str">
        <f t="shared" si="141"/>
        <v/>
      </c>
      <c r="GK19" s="636" t="str">
        <f t="shared" si="142"/>
        <v/>
      </c>
      <c r="GL19" s="636" t="str">
        <f t="shared" si="143"/>
        <v/>
      </c>
      <c r="GM19" s="636" t="str">
        <f t="shared" si="144"/>
        <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15" customHeight="1">
      <c r="A20" s="130" t="str">
        <f t="shared" si="171"/>
        <v/>
      </c>
      <c r="B20" s="1571" t="s">
        <v>2465</v>
      </c>
      <c r="C20" s="1572"/>
      <c r="D20" s="1573"/>
      <c r="E20" s="1574"/>
      <c r="F20" s="1574"/>
      <c r="G20" s="1574"/>
      <c r="H20" s="1574"/>
      <c r="I20" s="1574"/>
      <c r="J20" s="1575"/>
      <c r="K20" s="205">
        <f t="shared" si="172"/>
        <v>0</v>
      </c>
      <c r="L20" s="205">
        <f t="shared" si="0"/>
        <v>0</v>
      </c>
      <c r="M20" s="1576"/>
      <c r="N20" s="1576"/>
      <c r="O20" s="1576"/>
      <c r="P20" s="559" t="str">
        <f t="shared" si="203"/>
        <v/>
      </c>
      <c r="Q20" s="560" t="str">
        <f>IF(H20="","",P20/($P$6*VLOOKUP(C20,'DCA Underwriting Assumptions'!$J$81:$K$86,2,FALSE)))</f>
        <v/>
      </c>
      <c r="R20" s="667"/>
      <c r="S20" s="560"/>
      <c r="T20" s="1513"/>
      <c r="U20" s="1514"/>
      <c r="V20" s="624" t="str">
        <f t="shared" si="1"/>
        <v/>
      </c>
      <c r="W20" s="624" t="str">
        <f t="shared" si="2"/>
        <v/>
      </c>
      <c r="X20" s="624" t="str">
        <f t="shared" si="3"/>
        <v/>
      </c>
      <c r="Y20" s="624" t="str">
        <f t="shared" si="4"/>
        <v/>
      </c>
      <c r="Z20" s="624" t="str">
        <f t="shared" si="5"/>
        <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t="str">
        <f t="shared" si="17"/>
        <v/>
      </c>
      <c r="AM20" s="624" t="str">
        <f t="shared" si="18"/>
        <v/>
      </c>
      <c r="AN20" s="624" t="str">
        <f t="shared" si="19"/>
        <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t="str">
        <f t="shared" si="187"/>
        <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t="str">
        <f t="shared" si="27"/>
        <v/>
      </c>
      <c r="CA20" s="624" t="str">
        <f t="shared" si="28"/>
        <v/>
      </c>
      <c r="CB20" s="624" t="str">
        <f t="shared" si="29"/>
        <v/>
      </c>
      <c r="CC20" s="624" t="str">
        <f t="shared" si="30"/>
        <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t="str">
        <f t="shared" si="42"/>
        <v/>
      </c>
      <c r="CP20" s="624" t="str">
        <f t="shared" si="43"/>
        <v/>
      </c>
      <c r="CQ20" s="624" t="str">
        <f t="shared" si="44"/>
        <v/>
      </c>
      <c r="CR20" s="624" t="str">
        <f t="shared" si="45"/>
        <v/>
      </c>
      <c r="CS20" s="624" t="str">
        <f t="shared" si="46"/>
        <v/>
      </c>
      <c r="CT20" s="624" t="str">
        <f t="shared" si="47"/>
        <v/>
      </c>
      <c r="CU20" s="624" t="str">
        <f t="shared" si="48"/>
        <v/>
      </c>
      <c r="CV20" s="624" t="str">
        <f t="shared" si="49"/>
        <v/>
      </c>
      <c r="CW20" s="624" t="str">
        <f t="shared" si="50"/>
        <v/>
      </c>
      <c r="CX20" s="624" t="str">
        <f t="shared" si="51"/>
        <v/>
      </c>
      <c r="CY20" s="624" t="str">
        <f t="shared" si="52"/>
        <v/>
      </c>
      <c r="CZ20" s="624" t="str">
        <f t="shared" si="53"/>
        <v/>
      </c>
      <c r="DA20" s="624" t="str">
        <f t="shared" si="54"/>
        <v/>
      </c>
      <c r="DB20" s="624" t="str">
        <f t="shared" si="55"/>
        <v/>
      </c>
      <c r="DC20" s="624" t="str">
        <f t="shared" si="56"/>
        <v/>
      </c>
      <c r="DD20" s="624" t="str">
        <f t="shared" si="57"/>
        <v/>
      </c>
      <c r="DE20" s="624" t="str">
        <f t="shared" si="58"/>
        <v/>
      </c>
      <c r="DF20" s="624" t="str">
        <f t="shared" si="59"/>
        <v/>
      </c>
      <c r="DG20" s="624" t="str">
        <f t="shared" si="60"/>
        <v/>
      </c>
      <c r="DH20" s="624" t="str">
        <f t="shared" si="61"/>
        <v/>
      </c>
      <c r="DI20" s="624" t="str">
        <f t="shared" si="62"/>
        <v/>
      </c>
      <c r="DJ20" s="624" t="str">
        <f t="shared" si="63"/>
        <v/>
      </c>
      <c r="DK20" s="624" t="str">
        <f t="shared" si="64"/>
        <v/>
      </c>
      <c r="DL20" s="624" t="str">
        <f t="shared" si="65"/>
        <v/>
      </c>
      <c r="DM20" s="624" t="str">
        <f t="shared" si="66"/>
        <v/>
      </c>
      <c r="DN20" s="624" t="str">
        <f t="shared" si="67"/>
        <v/>
      </c>
      <c r="DO20" s="624" t="str">
        <f t="shared" si="68"/>
        <v/>
      </c>
      <c r="DP20" s="624" t="str">
        <f t="shared" si="69"/>
        <v/>
      </c>
      <c r="DQ20" s="624" t="str">
        <f t="shared" si="70"/>
        <v/>
      </c>
      <c r="DR20" s="624" t="str">
        <f t="shared" si="71"/>
        <v/>
      </c>
      <c r="DS20" s="624" t="str">
        <f t="shared" si="72"/>
        <v/>
      </c>
      <c r="DT20" s="624" t="str">
        <f t="shared" si="73"/>
        <v/>
      </c>
      <c r="DU20" s="624" t="str">
        <f t="shared" si="74"/>
        <v/>
      </c>
      <c r="DV20" s="624" t="str">
        <f t="shared" si="75"/>
        <v/>
      </c>
      <c r="DW20" s="624" t="str">
        <f t="shared" si="76"/>
        <v/>
      </c>
      <c r="DX20" s="624" t="str">
        <f t="shared" si="77"/>
        <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t="str">
        <f t="shared" si="102"/>
        <v/>
      </c>
      <c r="EX20" s="636" t="str">
        <f t="shared" si="103"/>
        <v/>
      </c>
      <c r="EY20" s="636" t="str">
        <f t="shared" si="104"/>
        <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t="str">
        <f t="shared" si="124"/>
        <v/>
      </c>
      <c r="FT20" s="636" t="str">
        <f t="shared" si="125"/>
        <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t="str">
        <f t="shared" si="134"/>
        <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t="str">
        <f t="shared" si="142"/>
        <v/>
      </c>
      <c r="GL20" s="636" t="str">
        <f t="shared" si="143"/>
        <v/>
      </c>
      <c r="GM20" s="636" t="str">
        <f t="shared" si="144"/>
        <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15" customHeight="1">
      <c r="A21" s="130" t="str">
        <f t="shared" si="171"/>
        <v/>
      </c>
      <c r="B21" s="1571" t="s">
        <v>2465</v>
      </c>
      <c r="C21" s="1572"/>
      <c r="D21" s="1573"/>
      <c r="E21" s="1574"/>
      <c r="F21" s="1574"/>
      <c r="G21" s="1574"/>
      <c r="H21" s="1574"/>
      <c r="I21" s="1574"/>
      <c r="J21" s="1575"/>
      <c r="K21" s="205">
        <f t="shared" si="172"/>
        <v>0</v>
      </c>
      <c r="L21" s="205">
        <f t="shared" si="0"/>
        <v>0</v>
      </c>
      <c r="M21" s="1576"/>
      <c r="N21" s="1576"/>
      <c r="O21" s="1576"/>
      <c r="P21" s="559" t="str">
        <f t="shared" si="203"/>
        <v/>
      </c>
      <c r="Q21" s="560" t="str">
        <f>IF(H21="","",P21/($P$6*VLOOKUP(C21,'DCA Underwriting Assumptions'!$J$81:$K$86,2,FALSE)))</f>
        <v/>
      </c>
      <c r="R21" s="667"/>
      <c r="S21" s="560"/>
      <c r="T21" s="1513"/>
      <c r="U21" s="1514"/>
      <c r="V21" s="624" t="str">
        <f t="shared" si="1"/>
        <v/>
      </c>
      <c r="W21" s="624" t="str">
        <f t="shared" si="2"/>
        <v/>
      </c>
      <c r="X21" s="624" t="str">
        <f t="shared" si="3"/>
        <v/>
      </c>
      <c r="Y21" s="624" t="str">
        <f t="shared" si="4"/>
        <v/>
      </c>
      <c r="Z21" s="624" t="str">
        <f t="shared" si="5"/>
        <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t="str">
        <f t="shared" si="18"/>
        <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t="str">
        <f t="shared" si="27"/>
        <v/>
      </c>
      <c r="CA21" s="624" t="str">
        <f t="shared" si="28"/>
        <v/>
      </c>
      <c r="CB21" s="624" t="str">
        <f t="shared" si="29"/>
        <v/>
      </c>
      <c r="CC21" s="624" t="str">
        <f t="shared" si="30"/>
        <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t="str">
        <f t="shared" si="43"/>
        <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t="str">
        <f t="shared" si="58"/>
        <v/>
      </c>
      <c r="DF21" s="624" t="str">
        <f t="shared" si="59"/>
        <v/>
      </c>
      <c r="DG21" s="624" t="str">
        <f t="shared" si="60"/>
        <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t="str">
        <f t="shared" si="72"/>
        <v/>
      </c>
      <c r="DT21" s="624" t="str">
        <f t="shared" si="73"/>
        <v/>
      </c>
      <c r="DU21" s="624" t="str">
        <f t="shared" si="74"/>
        <v/>
      </c>
      <c r="DV21" s="624" t="str">
        <f t="shared" si="75"/>
        <v/>
      </c>
      <c r="DW21" s="624" t="str">
        <f t="shared" si="76"/>
        <v/>
      </c>
      <c r="DX21" s="624" t="str">
        <f t="shared" si="77"/>
        <v/>
      </c>
      <c r="DY21" s="624" t="str">
        <f t="shared" si="78"/>
        <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t="str">
        <f t="shared" si="102"/>
        <v/>
      </c>
      <c r="EX21" s="636" t="str">
        <f t="shared" si="103"/>
        <v/>
      </c>
      <c r="EY21" s="636" t="str">
        <f t="shared" si="104"/>
        <v/>
      </c>
      <c r="EZ21" s="636" t="str">
        <f t="shared" si="105"/>
        <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t="str">
        <f t="shared" si="123"/>
        <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t="str">
        <f t="shared" si="142"/>
        <v/>
      </c>
      <c r="GL21" s="636" t="str">
        <f t="shared" si="143"/>
        <v/>
      </c>
      <c r="GM21" s="636" t="str">
        <f t="shared" si="144"/>
        <v/>
      </c>
      <c r="GN21" s="636" t="str">
        <f t="shared" si="145"/>
        <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15" customHeight="1">
      <c r="A22" s="130" t="str">
        <f t="shared" si="171"/>
        <v/>
      </c>
      <c r="B22" s="1571" t="s">
        <v>2465</v>
      </c>
      <c r="C22" s="1572"/>
      <c r="D22" s="1573"/>
      <c r="E22" s="1574"/>
      <c r="F22" s="1574"/>
      <c r="G22" s="1574"/>
      <c r="H22" s="1574"/>
      <c r="I22" s="1574"/>
      <c r="J22" s="1575"/>
      <c r="K22" s="205">
        <f t="shared" si="172"/>
        <v>0</v>
      </c>
      <c r="L22" s="205">
        <f t="shared" si="0"/>
        <v>0</v>
      </c>
      <c r="M22" s="1576"/>
      <c r="N22" s="1576"/>
      <c r="O22" s="1576"/>
      <c r="P22" s="559" t="str">
        <f t="shared" si="203"/>
        <v/>
      </c>
      <c r="Q22" s="560" t="str">
        <f>IF(H22="","",P22/($P$6*VLOOKUP(C22,'DCA Underwriting Assumptions'!$J$81:$K$86,2,FALSE)))</f>
        <v/>
      </c>
      <c r="R22" s="667"/>
      <c r="S22" s="560"/>
      <c r="T22" s="1513"/>
      <c r="U22" s="1514"/>
      <c r="V22" s="624" t="str">
        <f t="shared" si="1"/>
        <v/>
      </c>
      <c r="W22" s="624" t="str">
        <f t="shared" si="2"/>
        <v/>
      </c>
      <c r="X22" s="624" t="str">
        <f t="shared" si="3"/>
        <v/>
      </c>
      <c r="Y22" s="624" t="str">
        <f t="shared" si="4"/>
        <v/>
      </c>
      <c r="Z22" s="624" t="str">
        <f t="shared" si="5"/>
        <v/>
      </c>
      <c r="AA22" s="624" t="str">
        <f t="shared" si="6"/>
        <v/>
      </c>
      <c r="AB22" s="624" t="str">
        <f t="shared" si="7"/>
        <v/>
      </c>
      <c r="AC22" s="624" t="str">
        <f t="shared" si="8"/>
        <v/>
      </c>
      <c r="AD22" s="624" t="str">
        <f t="shared" si="9"/>
        <v/>
      </c>
      <c r="AE22" s="624" t="str">
        <f t="shared" si="10"/>
        <v/>
      </c>
      <c r="AF22" s="624" t="str">
        <f t="shared" si="11"/>
        <v/>
      </c>
      <c r="AG22" s="624" t="str">
        <f t="shared" si="12"/>
        <v/>
      </c>
      <c r="AH22" s="624" t="str">
        <f t="shared" si="13"/>
        <v/>
      </c>
      <c r="AI22" s="624" t="str">
        <f t="shared" si="14"/>
        <v/>
      </c>
      <c r="AJ22" s="624" t="str">
        <f t="shared" si="15"/>
        <v/>
      </c>
      <c r="AK22" s="624" t="str">
        <f t="shared" si="16"/>
        <v/>
      </c>
      <c r="AL22" s="624" t="str">
        <f t="shared" si="17"/>
        <v/>
      </c>
      <c r="AM22" s="624" t="str">
        <f t="shared" si="18"/>
        <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t="str">
        <f t="shared" si="27"/>
        <v/>
      </c>
      <c r="CA22" s="624" t="str">
        <f t="shared" si="28"/>
        <v/>
      </c>
      <c r="CB22" s="624" t="str">
        <f t="shared" si="29"/>
        <v/>
      </c>
      <c r="CC22" s="624" t="str">
        <f t="shared" si="30"/>
        <v/>
      </c>
      <c r="CD22" s="624" t="str">
        <f t="shared" si="31"/>
        <v/>
      </c>
      <c r="CE22" s="624" t="str">
        <f t="shared" si="32"/>
        <v/>
      </c>
      <c r="CF22" s="624" t="str">
        <f t="shared" si="33"/>
        <v/>
      </c>
      <c r="CG22" s="624" t="str">
        <f t="shared" si="34"/>
        <v/>
      </c>
      <c r="CH22" s="624" t="str">
        <f t="shared" si="35"/>
        <v/>
      </c>
      <c r="CI22" s="624" t="str">
        <f t="shared" si="36"/>
        <v/>
      </c>
      <c r="CJ22" s="624" t="str">
        <f t="shared" si="37"/>
        <v/>
      </c>
      <c r="CK22" s="624" t="str">
        <f t="shared" si="38"/>
        <v/>
      </c>
      <c r="CL22" s="624" t="str">
        <f t="shared" si="39"/>
        <v/>
      </c>
      <c r="CM22" s="624" t="str">
        <f t="shared" si="40"/>
        <v/>
      </c>
      <c r="CN22" s="624" t="str">
        <f t="shared" si="41"/>
        <v/>
      </c>
      <c r="CO22" s="624" t="str">
        <f t="shared" si="42"/>
        <v/>
      </c>
      <c r="CP22" s="624" t="str">
        <f t="shared" si="43"/>
        <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t="str">
        <f t="shared" si="58"/>
        <v/>
      </c>
      <c r="DF22" s="624" t="str">
        <f t="shared" si="59"/>
        <v/>
      </c>
      <c r="DG22" s="624" t="str">
        <f t="shared" si="60"/>
        <v/>
      </c>
      <c r="DH22" s="624" t="str">
        <f t="shared" si="61"/>
        <v/>
      </c>
      <c r="DI22" s="624" t="str">
        <f t="shared" si="62"/>
        <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t="str">
        <f t="shared" si="72"/>
        <v/>
      </c>
      <c r="DT22" s="624" t="str">
        <f t="shared" si="73"/>
        <v/>
      </c>
      <c r="DU22" s="624" t="str">
        <f t="shared" si="74"/>
        <v/>
      </c>
      <c r="DV22" s="624" t="str">
        <f t="shared" si="75"/>
        <v/>
      </c>
      <c r="DW22" s="624" t="str">
        <f t="shared" si="76"/>
        <v/>
      </c>
      <c r="DX22" s="624" t="str">
        <f t="shared" si="77"/>
        <v/>
      </c>
      <c r="DY22" s="624" t="str">
        <f t="shared" si="78"/>
        <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t="str">
        <f t="shared" si="102"/>
        <v/>
      </c>
      <c r="EX22" s="636" t="str">
        <f t="shared" si="103"/>
        <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t="str">
        <f t="shared" si="120"/>
        <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t="str">
        <f t="shared" si="142"/>
        <v/>
      </c>
      <c r="GL22" s="636" t="str">
        <f t="shared" si="143"/>
        <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15" customHeight="1">
      <c r="A23" s="130" t="str">
        <f t="shared" si="171"/>
        <v/>
      </c>
      <c r="B23" s="1571" t="s">
        <v>2465</v>
      </c>
      <c r="C23" s="1572"/>
      <c r="D23" s="1573"/>
      <c r="E23" s="1574"/>
      <c r="F23" s="1574"/>
      <c r="G23" s="1574"/>
      <c r="H23" s="1574"/>
      <c r="I23" s="1574"/>
      <c r="J23" s="1575"/>
      <c r="K23" s="205">
        <f t="shared" si="172"/>
        <v>0</v>
      </c>
      <c r="L23" s="205">
        <f t="shared" si="0"/>
        <v>0</v>
      </c>
      <c r="M23" s="1576"/>
      <c r="N23" s="1576"/>
      <c r="O23" s="1576"/>
      <c r="P23" s="559" t="str">
        <f t="shared" si="203"/>
        <v/>
      </c>
      <c r="Q23" s="560" t="str">
        <f>IF(H23="","",P23/($P$6*VLOOKUP(C23,'DCA Underwriting Assumptions'!$J$81:$K$86,2,FALSE)))</f>
        <v/>
      </c>
      <c r="R23" s="667"/>
      <c r="S23" s="560"/>
      <c r="T23" s="1513"/>
      <c r="U23" s="1514"/>
      <c r="V23" s="624" t="str">
        <f t="shared" si="1"/>
        <v/>
      </c>
      <c r="W23" s="624" t="str">
        <f t="shared" si="2"/>
        <v/>
      </c>
      <c r="X23" s="624" t="str">
        <f t="shared" si="3"/>
        <v/>
      </c>
      <c r="Y23" s="624" t="str">
        <f t="shared" si="4"/>
        <v/>
      </c>
      <c r="Z23" s="624" t="str">
        <f t="shared" si="5"/>
        <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t="str">
        <f t="shared" si="18"/>
        <v/>
      </c>
      <c r="AN23" s="624" t="str">
        <f t="shared" si="19"/>
        <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t="str">
        <f t="shared" si="27"/>
        <v/>
      </c>
      <c r="CA23" s="624" t="str">
        <f t="shared" si="28"/>
        <v/>
      </c>
      <c r="CB23" s="624" t="str">
        <f t="shared" si="29"/>
        <v/>
      </c>
      <c r="CC23" s="624" t="str">
        <f t="shared" si="30"/>
        <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t="str">
        <f t="shared" si="43"/>
        <v/>
      </c>
      <c r="CQ23" s="624" t="str">
        <f t="shared" si="44"/>
        <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t="str">
        <f t="shared" si="58"/>
        <v/>
      </c>
      <c r="DF23" s="624" t="str">
        <f t="shared" si="59"/>
        <v/>
      </c>
      <c r="DG23" s="624" t="str">
        <f t="shared" si="60"/>
        <v/>
      </c>
      <c r="DH23" s="624" t="str">
        <f t="shared" si="61"/>
        <v/>
      </c>
      <c r="DI23" s="624" t="str">
        <f t="shared" si="62"/>
        <v/>
      </c>
      <c r="DJ23" s="624" t="str">
        <f t="shared" si="63"/>
        <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t="str">
        <f t="shared" si="72"/>
        <v/>
      </c>
      <c r="DT23" s="624" t="str">
        <f t="shared" si="73"/>
        <v/>
      </c>
      <c r="DU23" s="624" t="str">
        <f t="shared" si="74"/>
        <v/>
      </c>
      <c r="DV23" s="624" t="str">
        <f t="shared" si="75"/>
        <v/>
      </c>
      <c r="DW23" s="624" t="str">
        <f t="shared" si="76"/>
        <v/>
      </c>
      <c r="DX23" s="624" t="str">
        <f t="shared" si="77"/>
        <v/>
      </c>
      <c r="DY23" s="624" t="str">
        <f t="shared" si="78"/>
        <v/>
      </c>
      <c r="DZ23" s="624" t="str">
        <f t="shared" si="79"/>
        <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t="str">
        <f t="shared" si="102"/>
        <v/>
      </c>
      <c r="EX23" s="636" t="str">
        <f t="shared" si="103"/>
        <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t="str">
        <f t="shared" si="120"/>
        <v/>
      </c>
      <c r="FP23" s="636" t="str">
        <f t="shared" si="121"/>
        <v/>
      </c>
      <c r="FQ23" s="636" t="str">
        <f t="shared" si="122"/>
        <v/>
      </c>
      <c r="FR23" s="636" t="str">
        <f t="shared" si="123"/>
        <v/>
      </c>
      <c r="FS23" s="636" t="str">
        <f t="shared" si="124"/>
        <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t="str">
        <f t="shared" si="142"/>
        <v/>
      </c>
      <c r="GL23" s="636" t="str">
        <f t="shared" si="143"/>
        <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15" customHeight="1">
      <c r="A24" s="130" t="str">
        <f t="shared" si="171"/>
        <v/>
      </c>
      <c r="B24" s="1571" t="s">
        <v>2465</v>
      </c>
      <c r="C24" s="1572"/>
      <c r="D24" s="1573"/>
      <c r="E24" s="1574"/>
      <c r="F24" s="1574"/>
      <c r="G24" s="1574"/>
      <c r="H24" s="1574"/>
      <c r="I24" s="1574"/>
      <c r="J24" s="1575"/>
      <c r="K24" s="205">
        <f t="shared" si="172"/>
        <v>0</v>
      </c>
      <c r="L24" s="205">
        <f t="shared" si="0"/>
        <v>0</v>
      </c>
      <c r="M24" s="1576"/>
      <c r="N24" s="1576"/>
      <c r="O24" s="1576"/>
      <c r="P24" s="559" t="str">
        <f t="shared" si="203"/>
        <v/>
      </c>
      <c r="Q24" s="560" t="str">
        <f>IF(H24="","",P24/($P$6*VLOOKUP(C24,'DCA Underwriting Assumptions'!$J$81:$K$86,2,FALSE)))</f>
        <v/>
      </c>
      <c r="R24" s="667"/>
      <c r="S24" s="560"/>
      <c r="T24" s="1513"/>
      <c r="U24" s="1514"/>
      <c r="V24" s="624" t="str">
        <f t="shared" si="1"/>
        <v/>
      </c>
      <c r="W24" s="624" t="str">
        <f t="shared" si="2"/>
        <v/>
      </c>
      <c r="X24" s="624" t="str">
        <f t="shared" si="3"/>
        <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t="str">
        <f t="shared" si="18"/>
        <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t="str">
        <f t="shared" si="27"/>
        <v/>
      </c>
      <c r="CA24" s="624" t="str">
        <f t="shared" si="28"/>
        <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t="str">
        <f t="shared" si="43"/>
        <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t="str">
        <f t="shared" si="63"/>
        <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t="str">
        <f t="shared" si="72"/>
        <v/>
      </c>
      <c r="DT24" s="624" t="str">
        <f t="shared" si="73"/>
        <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t="str">
        <f t="shared" si="102"/>
        <v/>
      </c>
      <c r="EX24" s="636" t="str">
        <f t="shared" si="103"/>
        <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t="str">
        <f t="shared" si="142"/>
        <v/>
      </c>
      <c r="GL24" s="636" t="str">
        <f t="shared" si="143"/>
        <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15" customHeight="1">
      <c r="A25" s="130" t="str">
        <f t="shared" si="171"/>
        <v/>
      </c>
      <c r="B25" s="1571" t="s">
        <v>2465</v>
      </c>
      <c r="C25" s="1572"/>
      <c r="D25" s="1573"/>
      <c r="E25" s="1574"/>
      <c r="F25" s="1574"/>
      <c r="G25" s="1574"/>
      <c r="H25" s="1574"/>
      <c r="I25" s="1574"/>
      <c r="J25" s="1575"/>
      <c r="K25" s="205">
        <f t="shared" si="172"/>
        <v>0</v>
      </c>
      <c r="L25" s="205">
        <f t="shared" si="0"/>
        <v>0</v>
      </c>
      <c r="M25" s="1576"/>
      <c r="N25" s="1576"/>
      <c r="O25" s="1576"/>
      <c r="P25" s="559" t="str">
        <f t="shared" si="203"/>
        <v/>
      </c>
      <c r="Q25" s="560" t="str">
        <f>IF(H25="","",P25/($P$6*VLOOKUP(C25,'DCA Underwriting Assumptions'!$J$81:$K$86,2,FALSE)))</f>
        <v/>
      </c>
      <c r="R25" s="667"/>
      <c r="S25" s="560"/>
      <c r="T25" s="1513"/>
      <c r="U25" s="1514"/>
      <c r="V25" s="624" t="str">
        <f t="shared" si="1"/>
        <v/>
      </c>
      <c r="W25" s="624" t="str">
        <f t="shared" si="2"/>
        <v/>
      </c>
      <c r="X25" s="624" t="str">
        <f t="shared" si="3"/>
        <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t="str">
        <f t="shared" si="18"/>
        <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t="str">
        <f t="shared" si="27"/>
        <v/>
      </c>
      <c r="CA25" s="624" t="str">
        <f t="shared" si="28"/>
        <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t="str">
        <f t="shared" si="43"/>
        <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t="str">
        <f t="shared" si="63"/>
        <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t="str">
        <f t="shared" si="72"/>
        <v/>
      </c>
      <c r="DT25" s="624" t="str">
        <f t="shared" si="73"/>
        <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t="str">
        <f t="shared" si="102"/>
        <v/>
      </c>
      <c r="EX25" s="636" t="str">
        <f t="shared" si="103"/>
        <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t="str">
        <f t="shared" si="123"/>
        <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t="str">
        <f t="shared" si="142"/>
        <v/>
      </c>
      <c r="GL25" s="636" t="str">
        <f t="shared" si="143"/>
        <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15" customHeight="1">
      <c r="A26" s="130" t="str">
        <f t="shared" si="171"/>
        <v/>
      </c>
      <c r="B26" s="1571" t="s">
        <v>2465</v>
      </c>
      <c r="C26" s="1572"/>
      <c r="D26" s="1573"/>
      <c r="E26" s="1574"/>
      <c r="F26" s="1574"/>
      <c r="G26" s="1574"/>
      <c r="H26" s="1574"/>
      <c r="I26" s="1574"/>
      <c r="J26" s="1575"/>
      <c r="K26" s="205">
        <f t="shared" si="172"/>
        <v>0</v>
      </c>
      <c r="L26" s="205">
        <f t="shared" si="0"/>
        <v>0</v>
      </c>
      <c r="M26" s="1576"/>
      <c r="N26" s="1576"/>
      <c r="O26" s="1576"/>
      <c r="P26" s="559" t="str">
        <f t="shared" si="203"/>
        <v/>
      </c>
      <c r="Q26" s="560" t="str">
        <f>IF(H26="","",P26/($P$6*VLOOKUP(C26,'DCA Underwriting Assumptions'!$J$81:$K$86,2,FALSE)))</f>
        <v/>
      </c>
      <c r="R26" s="667"/>
      <c r="S26" s="560"/>
      <c r="T26" s="1513"/>
      <c r="U26" s="1514"/>
      <c r="V26" s="624" t="str">
        <f t="shared" si="1"/>
        <v/>
      </c>
      <c r="W26" s="624" t="str">
        <f t="shared" si="2"/>
        <v/>
      </c>
      <c r="X26" s="624" t="str">
        <f t="shared" si="3"/>
        <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t="str">
        <f t="shared" si="19"/>
        <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t="str">
        <f t="shared" si="27"/>
        <v/>
      </c>
      <c r="CA26" s="624" t="str">
        <f t="shared" si="28"/>
        <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t="str">
        <f t="shared" si="44"/>
        <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t="str">
        <f t="shared" si="64"/>
        <v/>
      </c>
      <c r="DL26" s="624" t="str">
        <f t="shared" si="65"/>
        <v/>
      </c>
      <c r="DM26" s="624" t="str">
        <f t="shared" si="66"/>
        <v/>
      </c>
      <c r="DN26" s="624" t="str">
        <f t="shared" si="67"/>
        <v/>
      </c>
      <c r="DO26" s="624" t="str">
        <f t="shared" si="68"/>
        <v/>
      </c>
      <c r="DP26" s="624" t="str">
        <f t="shared" si="69"/>
        <v/>
      </c>
      <c r="DQ26" s="624" t="str">
        <f t="shared" si="70"/>
        <v/>
      </c>
      <c r="DR26" s="624" t="str">
        <f t="shared" si="71"/>
        <v/>
      </c>
      <c r="DS26" s="624" t="str">
        <f t="shared" si="72"/>
        <v/>
      </c>
      <c r="DT26" s="624" t="str">
        <f t="shared" si="73"/>
        <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t="str">
        <f t="shared" si="102"/>
        <v/>
      </c>
      <c r="EX26" s="636" t="str">
        <f t="shared" si="103"/>
        <v/>
      </c>
      <c r="EY26" s="636" t="str">
        <f t="shared" si="104"/>
        <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t="str">
        <f t="shared" si="142"/>
        <v/>
      </c>
      <c r="GL26" s="636" t="str">
        <f t="shared" si="143"/>
        <v/>
      </c>
      <c r="GM26" s="636" t="str">
        <f t="shared" si="144"/>
        <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15" customHeight="1">
      <c r="A27" s="130" t="str">
        <f t="shared" si="171"/>
        <v/>
      </c>
      <c r="B27" s="1571" t="s">
        <v>2465</v>
      </c>
      <c r="C27" s="1572"/>
      <c r="D27" s="1573"/>
      <c r="E27" s="1574"/>
      <c r="F27" s="1574"/>
      <c r="G27" s="1574"/>
      <c r="H27" s="1574"/>
      <c r="I27" s="1574"/>
      <c r="J27" s="1575"/>
      <c r="K27" s="205">
        <f t="shared" si="172"/>
        <v>0</v>
      </c>
      <c r="L27" s="205">
        <f t="shared" si="0"/>
        <v>0</v>
      </c>
      <c r="M27" s="1576"/>
      <c r="N27" s="1576"/>
      <c r="O27" s="1576"/>
      <c r="P27" s="559" t="str">
        <f t="shared" si="203"/>
        <v/>
      </c>
      <c r="Q27" s="560" t="str">
        <f>IF(H27="","",P27/($P$6*VLOOKUP(C27,'DCA Underwriting Assumptions'!$J$81:$K$86,2,FALSE)))</f>
        <v/>
      </c>
      <c r="R27" s="667"/>
      <c r="S27" s="560"/>
      <c r="T27" s="1513"/>
      <c r="U27" s="1514"/>
      <c r="V27" s="624" t="str">
        <f t="shared" si="1"/>
        <v/>
      </c>
      <c r="W27" s="624" t="str">
        <f t="shared" si="2"/>
        <v/>
      </c>
      <c r="X27" s="624" t="str">
        <f t="shared" si="3"/>
        <v/>
      </c>
      <c r="Y27" s="624" t="str">
        <f t="shared" si="4"/>
        <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t="str">
        <f t="shared" si="19"/>
        <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t="str">
        <f t="shared" si="27"/>
        <v/>
      </c>
      <c r="CA27" s="624" t="str">
        <f t="shared" si="28"/>
        <v/>
      </c>
      <c r="CB27" s="624" t="str">
        <f t="shared" si="29"/>
        <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t="str">
        <f t="shared" si="44"/>
        <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t="str">
        <f t="shared" si="64"/>
        <v/>
      </c>
      <c r="DL27" s="624" t="str">
        <f t="shared" si="65"/>
        <v/>
      </c>
      <c r="DM27" s="624" t="str">
        <f t="shared" si="66"/>
        <v/>
      </c>
      <c r="DN27" s="624" t="str">
        <f t="shared" si="67"/>
        <v/>
      </c>
      <c r="DO27" s="624" t="str">
        <f t="shared" si="68"/>
        <v/>
      </c>
      <c r="DP27" s="624" t="str">
        <f t="shared" si="69"/>
        <v/>
      </c>
      <c r="DQ27" s="624" t="str">
        <f t="shared" si="70"/>
        <v/>
      </c>
      <c r="DR27" s="624" t="str">
        <f t="shared" si="71"/>
        <v/>
      </c>
      <c r="DS27" s="624" t="str">
        <f t="shared" si="72"/>
        <v/>
      </c>
      <c r="DT27" s="624" t="str">
        <f t="shared" si="73"/>
        <v/>
      </c>
      <c r="DU27" s="624" t="str">
        <f t="shared" si="74"/>
        <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t="str">
        <f t="shared" si="102"/>
        <v/>
      </c>
      <c r="EX27" s="636" t="str">
        <f t="shared" si="103"/>
        <v/>
      </c>
      <c r="EY27" s="636" t="str">
        <f t="shared" si="104"/>
        <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t="str">
        <f t="shared" si="124"/>
        <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t="str">
        <f t="shared" si="142"/>
        <v/>
      </c>
      <c r="GL27" s="636" t="str">
        <f t="shared" si="143"/>
        <v/>
      </c>
      <c r="GM27" s="636" t="str">
        <f t="shared" si="144"/>
        <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15" customHeight="1">
      <c r="A28" s="130" t="str">
        <f t="shared" si="171"/>
        <v/>
      </c>
      <c r="B28" s="1571" t="s">
        <v>2465</v>
      </c>
      <c r="C28" s="1572"/>
      <c r="D28" s="1573"/>
      <c r="E28" s="1574"/>
      <c r="F28" s="1574"/>
      <c r="G28" s="1574"/>
      <c r="H28" s="1574"/>
      <c r="I28" s="1574"/>
      <c r="J28" s="1575"/>
      <c r="K28" s="205">
        <f>MAX(0,H28-I28)</f>
        <v>0</v>
      </c>
      <c r="L28" s="205">
        <f t="shared" si="0"/>
        <v>0</v>
      </c>
      <c r="M28" s="1576"/>
      <c r="N28" s="1576"/>
      <c r="O28" s="1576"/>
      <c r="P28" s="559" t="str">
        <f t="shared" si="203"/>
        <v/>
      </c>
      <c r="Q28" s="560" t="str">
        <f>IF(H28="","",P28/($P$6*VLOOKUP(C28,'DCA Underwriting Assumptions'!$J$81:$K$86,2,FALSE)))</f>
        <v/>
      </c>
      <c r="R28" s="667"/>
      <c r="S28" s="560"/>
      <c r="T28" s="1513"/>
      <c r="U28" s="1514"/>
      <c r="V28" s="624" t="str">
        <f t="shared" si="1"/>
        <v/>
      </c>
      <c r="W28" s="624" t="str">
        <f t="shared" si="2"/>
        <v/>
      </c>
      <c r="X28" s="624" t="str">
        <f t="shared" si="3"/>
        <v/>
      </c>
      <c r="Y28" s="624" t="str">
        <f t="shared" si="4"/>
        <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t="str">
        <f t="shared" si="20"/>
        <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t="str">
        <f t="shared" si="27"/>
        <v/>
      </c>
      <c r="CA28" s="624" t="str">
        <f t="shared" si="28"/>
        <v/>
      </c>
      <c r="CB28" s="624" t="str">
        <f t="shared" si="29"/>
        <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t="str">
        <f t="shared" si="45"/>
        <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t="str">
        <f t="shared" si="65"/>
        <v/>
      </c>
      <c r="DM28" s="624" t="str">
        <f t="shared" si="66"/>
        <v/>
      </c>
      <c r="DN28" s="624" t="str">
        <f t="shared" si="67"/>
        <v/>
      </c>
      <c r="DO28" s="624" t="str">
        <f t="shared" si="68"/>
        <v/>
      </c>
      <c r="DP28" s="624" t="str">
        <f t="shared" si="69"/>
        <v/>
      </c>
      <c r="DQ28" s="624" t="str">
        <f t="shared" si="70"/>
        <v/>
      </c>
      <c r="DR28" s="624" t="str">
        <f t="shared" si="71"/>
        <v/>
      </c>
      <c r="DS28" s="624" t="str">
        <f t="shared" si="72"/>
        <v/>
      </c>
      <c r="DT28" s="624" t="str">
        <f t="shared" si="73"/>
        <v/>
      </c>
      <c r="DU28" s="624" t="str">
        <f t="shared" si="74"/>
        <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t="str">
        <f t="shared" si="102"/>
        <v/>
      </c>
      <c r="EX28" s="636" t="str">
        <f t="shared" si="103"/>
        <v/>
      </c>
      <c r="EY28" s="636" t="str">
        <f t="shared" si="104"/>
        <v/>
      </c>
      <c r="EZ28" s="636" t="str">
        <f t="shared" si="105"/>
        <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t="str">
        <f t="shared" si="124"/>
        <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t="str">
        <f t="shared" si="142"/>
        <v/>
      </c>
      <c r="GL28" s="636" t="str">
        <f t="shared" si="143"/>
        <v/>
      </c>
      <c r="GM28" s="636" t="str">
        <f t="shared" si="144"/>
        <v/>
      </c>
      <c r="GN28" s="636" t="str">
        <f t="shared" si="145"/>
        <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15" customHeight="1">
      <c r="A29" s="130" t="str">
        <f t="shared" si="171"/>
        <v/>
      </c>
      <c r="B29" s="1571" t="s">
        <v>2465</v>
      </c>
      <c r="C29" s="1572"/>
      <c r="D29" s="1573"/>
      <c r="E29" s="1574"/>
      <c r="F29" s="1574"/>
      <c r="G29" s="1574"/>
      <c r="H29" s="1574"/>
      <c r="I29" s="1574"/>
      <c r="J29" s="1575"/>
      <c r="K29" s="205">
        <f t="shared" ref="K29:K47" si="204">MAX(0,H29-I29)</f>
        <v>0</v>
      </c>
      <c r="L29" s="205">
        <f t="shared" si="0"/>
        <v>0</v>
      </c>
      <c r="M29" s="1576"/>
      <c r="N29" s="1576"/>
      <c r="O29" s="1576"/>
      <c r="P29" s="559" t="str">
        <f t="shared" si="203"/>
        <v/>
      </c>
      <c r="Q29" s="560" t="str">
        <f>IF(H29="","",P29/($P$6*VLOOKUP(C29,'DCA Underwriting Assumptions'!$J$81:$K$86,2,FALSE)))</f>
        <v/>
      </c>
      <c r="R29" s="667"/>
      <c r="S29" s="560"/>
      <c r="T29" s="1513"/>
      <c r="U29" s="1514"/>
      <c r="V29" s="624" t="str">
        <f t="shared" si="1"/>
        <v/>
      </c>
      <c r="W29" s="624" t="str">
        <f t="shared" si="2"/>
        <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t="str">
        <f t="shared" si="27"/>
        <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t="str">
        <f t="shared" si="72"/>
        <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t="str">
        <f t="shared" si="102"/>
        <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t="str">
        <f t="shared" si="142"/>
        <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15" customHeight="1">
      <c r="A30" s="130" t="str">
        <f t="shared" si="171"/>
        <v/>
      </c>
      <c r="B30" s="1571" t="s">
        <v>2465</v>
      </c>
      <c r="C30" s="1572"/>
      <c r="D30" s="1573"/>
      <c r="E30" s="1574"/>
      <c r="F30" s="1574"/>
      <c r="G30" s="1574"/>
      <c r="H30" s="1574"/>
      <c r="I30" s="1574"/>
      <c r="J30" s="1575"/>
      <c r="K30" s="205">
        <f t="shared" si="204"/>
        <v>0</v>
      </c>
      <c r="L30" s="205">
        <f t="shared" si="0"/>
        <v>0</v>
      </c>
      <c r="M30" s="1576"/>
      <c r="N30" s="1576"/>
      <c r="O30" s="1576"/>
      <c r="P30" s="559" t="str">
        <f t="shared" si="203"/>
        <v/>
      </c>
      <c r="Q30" s="560" t="str">
        <f>IF(H30="","",P30/($P$6*VLOOKUP(C30,'DCA Underwriting Assumptions'!$J$81:$K$86,2,FALSE)))</f>
        <v/>
      </c>
      <c r="R30" s="667"/>
      <c r="S30" s="560"/>
      <c r="T30" s="1513"/>
      <c r="U30" s="1514"/>
      <c r="V30" s="624" t="str">
        <f t="shared" si="1"/>
        <v/>
      </c>
      <c r="W30" s="624" t="str">
        <f t="shared" si="2"/>
        <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t="str">
        <f t="shared" si="17"/>
        <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t="str">
        <f t="shared" si="27"/>
        <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t="str">
        <f t="shared" si="42"/>
        <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t="str">
        <f t="shared" si="72"/>
        <v/>
      </c>
      <c r="DT30" s="624" t="str">
        <f t="shared" si="73"/>
        <v/>
      </c>
      <c r="DU30" s="624" t="str">
        <f t="shared" si="74"/>
        <v/>
      </c>
      <c r="DV30" s="624" t="str">
        <f t="shared" si="75"/>
        <v/>
      </c>
      <c r="DW30" s="624" t="str">
        <f t="shared" si="76"/>
        <v/>
      </c>
      <c r="DX30" s="624" t="str">
        <f t="shared" si="77"/>
        <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t="str">
        <f t="shared" si="102"/>
        <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t="str">
        <f t="shared" si="142"/>
        <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15" customHeight="1">
      <c r="A31" s="130" t="str">
        <f t="shared" si="171"/>
        <v/>
      </c>
      <c r="B31" s="1571" t="s">
        <v>2465</v>
      </c>
      <c r="C31" s="1572"/>
      <c r="D31" s="1573"/>
      <c r="E31" s="1574"/>
      <c r="F31" s="1574"/>
      <c r="G31" s="1574"/>
      <c r="H31" s="1574"/>
      <c r="I31" s="1574"/>
      <c r="J31" s="1575"/>
      <c r="K31" s="205">
        <f t="shared" si="204"/>
        <v>0</v>
      </c>
      <c r="L31" s="205">
        <f t="shared" si="0"/>
        <v>0</v>
      </c>
      <c r="M31" s="1576"/>
      <c r="N31" s="1576"/>
      <c r="O31" s="1576"/>
      <c r="P31" s="559" t="str">
        <f t="shared" si="203"/>
        <v/>
      </c>
      <c r="Q31" s="560" t="str">
        <f>IF(H31="","",P31/($P$6*VLOOKUP(C31,'DCA Underwriting Assumptions'!$J$81:$K$86,2,FALSE)))</f>
        <v/>
      </c>
      <c r="R31" s="667"/>
      <c r="S31" s="560"/>
      <c r="T31" s="1513"/>
      <c r="U31" s="1514"/>
      <c r="V31" s="624" t="str">
        <f t="shared" si="1"/>
        <v/>
      </c>
      <c r="W31" s="624" t="str">
        <f t="shared" si="2"/>
        <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t="str">
        <f t="shared" si="18"/>
        <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t="str">
        <f t="shared" si="27"/>
        <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t="str">
        <f t="shared" si="43"/>
        <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t="str">
        <f t="shared" si="72"/>
        <v/>
      </c>
      <c r="DT31" s="624" t="str">
        <f t="shared" si="73"/>
        <v/>
      </c>
      <c r="DU31" s="624" t="str">
        <f t="shared" si="74"/>
        <v/>
      </c>
      <c r="DV31" s="624" t="str">
        <f t="shared" si="75"/>
        <v/>
      </c>
      <c r="DW31" s="624" t="str">
        <f t="shared" si="76"/>
        <v/>
      </c>
      <c r="DX31" s="624" t="str">
        <f t="shared" si="77"/>
        <v/>
      </c>
      <c r="DY31" s="624" t="str">
        <f t="shared" si="78"/>
        <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t="str">
        <f t="shared" si="102"/>
        <v/>
      </c>
      <c r="EX31" s="636" t="str">
        <f t="shared" si="103"/>
        <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t="str">
        <f t="shared" si="142"/>
        <v/>
      </c>
      <c r="GL31" s="636" t="str">
        <f t="shared" si="143"/>
        <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15" customHeight="1">
      <c r="A32" s="130" t="str">
        <f t="shared" si="171"/>
        <v/>
      </c>
      <c r="B32" s="1571" t="s">
        <v>2465</v>
      </c>
      <c r="C32" s="1572"/>
      <c r="D32" s="1573"/>
      <c r="E32" s="1574"/>
      <c r="F32" s="1574"/>
      <c r="G32" s="1574"/>
      <c r="H32" s="1574"/>
      <c r="I32" s="1574"/>
      <c r="J32" s="1575"/>
      <c r="K32" s="205">
        <f t="shared" si="204"/>
        <v>0</v>
      </c>
      <c r="L32" s="205">
        <f t="shared" si="0"/>
        <v>0</v>
      </c>
      <c r="M32" s="1576"/>
      <c r="N32" s="1576"/>
      <c r="O32" s="1576"/>
      <c r="P32" s="559" t="str">
        <f t="shared" si="203"/>
        <v/>
      </c>
      <c r="Q32" s="560" t="str">
        <f>IF(H32="","",P32/($P$6*VLOOKUP(C32,'DCA Underwriting Assumptions'!$J$81:$K$86,2,FALSE)))</f>
        <v/>
      </c>
      <c r="R32" s="667"/>
      <c r="S32" s="560"/>
      <c r="T32" s="1513"/>
      <c r="U32" s="1514"/>
      <c r="V32" s="624" t="str">
        <f t="shared" si="1"/>
        <v/>
      </c>
      <c r="W32" s="624" t="str">
        <f t="shared" si="2"/>
        <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t="str">
        <f t="shared" si="18"/>
        <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t="str">
        <f t="shared" si="27"/>
        <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t="str">
        <f t="shared" si="43"/>
        <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t="str">
        <f t="shared" si="72"/>
        <v/>
      </c>
      <c r="DT32" s="624" t="str">
        <f t="shared" si="73"/>
        <v/>
      </c>
      <c r="DU32" s="624" t="str">
        <f t="shared" si="74"/>
        <v/>
      </c>
      <c r="DV32" s="624" t="str">
        <f t="shared" si="75"/>
        <v/>
      </c>
      <c r="DW32" s="624" t="str">
        <f t="shared" si="76"/>
        <v/>
      </c>
      <c r="DX32" s="624" t="str">
        <f t="shared" si="77"/>
        <v/>
      </c>
      <c r="DY32" s="624" t="str">
        <f t="shared" si="78"/>
        <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t="str">
        <f t="shared" si="102"/>
        <v/>
      </c>
      <c r="EX32" s="636" t="str">
        <f t="shared" si="103"/>
        <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t="str">
        <f t="shared" si="142"/>
        <v/>
      </c>
      <c r="GL32" s="636" t="str">
        <f t="shared" si="143"/>
        <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15" customHeight="1">
      <c r="A33" s="130" t="str">
        <f t="shared" si="171"/>
        <v/>
      </c>
      <c r="B33" s="1571" t="s">
        <v>2465</v>
      </c>
      <c r="C33" s="1572"/>
      <c r="D33" s="1573"/>
      <c r="E33" s="1574"/>
      <c r="F33" s="1574"/>
      <c r="G33" s="1574"/>
      <c r="H33" s="1574"/>
      <c r="I33" s="1574"/>
      <c r="J33" s="1575"/>
      <c r="K33" s="205">
        <f t="shared" si="204"/>
        <v>0</v>
      </c>
      <c r="L33" s="205">
        <f t="shared" si="0"/>
        <v>0</v>
      </c>
      <c r="M33" s="1576"/>
      <c r="N33" s="1576"/>
      <c r="O33" s="1576"/>
      <c r="P33" s="559" t="str">
        <f t="shared" si="203"/>
        <v/>
      </c>
      <c r="Q33" s="560" t="str">
        <f>IF(H33="","",P33/($P$6*VLOOKUP(C33,'DCA Underwriting Assumptions'!$J$81:$K$86,2,FALSE)))</f>
        <v/>
      </c>
      <c r="R33" s="667"/>
      <c r="S33" s="560"/>
      <c r="T33" s="1513"/>
      <c r="U33" s="1514"/>
      <c r="V33" s="624" t="str">
        <f t="shared" si="1"/>
        <v/>
      </c>
      <c r="W33" s="624" t="str">
        <f t="shared" si="2"/>
        <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t="str">
        <f t="shared" si="18"/>
        <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t="str">
        <f t="shared" si="27"/>
        <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t="str">
        <f t="shared" si="43"/>
        <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t="str">
        <f t="shared" si="72"/>
        <v/>
      </c>
      <c r="DT33" s="624" t="str">
        <f t="shared" si="73"/>
        <v/>
      </c>
      <c r="DU33" s="624" t="str">
        <f t="shared" si="74"/>
        <v/>
      </c>
      <c r="DV33" s="624" t="str">
        <f t="shared" si="75"/>
        <v/>
      </c>
      <c r="DW33" s="624" t="str">
        <f t="shared" si="76"/>
        <v/>
      </c>
      <c r="DX33" s="624" t="str">
        <f t="shared" si="77"/>
        <v/>
      </c>
      <c r="DY33" s="624" t="str">
        <f t="shared" si="78"/>
        <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t="str">
        <f t="shared" si="102"/>
        <v/>
      </c>
      <c r="EX33" s="636" t="str">
        <f t="shared" si="103"/>
        <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t="str">
        <f t="shared" si="142"/>
        <v/>
      </c>
      <c r="GL33" s="636" t="str">
        <f t="shared" si="143"/>
        <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15" customHeight="1">
      <c r="A34" s="130" t="str">
        <f t="shared" si="171"/>
        <v/>
      </c>
      <c r="B34" s="1571" t="s">
        <v>2465</v>
      </c>
      <c r="C34" s="1572"/>
      <c r="D34" s="1573"/>
      <c r="E34" s="1574"/>
      <c r="F34" s="1574"/>
      <c r="G34" s="1574"/>
      <c r="H34" s="1574"/>
      <c r="I34" s="1574"/>
      <c r="J34" s="1575"/>
      <c r="K34" s="205">
        <f t="shared" si="204"/>
        <v>0</v>
      </c>
      <c r="L34" s="205">
        <f t="shared" si="0"/>
        <v>0</v>
      </c>
      <c r="M34" s="1576"/>
      <c r="N34" s="1576"/>
      <c r="O34" s="1576"/>
      <c r="P34" s="559" t="str">
        <f t="shared" si="203"/>
        <v/>
      </c>
      <c r="Q34" s="560" t="str">
        <f>IF(H34="","",P34/($P$6*VLOOKUP(C34,'DCA Underwriting Assumptions'!$J$81:$K$86,2,FALSE)))</f>
        <v/>
      </c>
      <c r="R34" s="667"/>
      <c r="S34" s="560"/>
      <c r="T34" s="1513"/>
      <c r="U34" s="1514"/>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t="str">
        <f t="shared" si="18"/>
        <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t="str">
        <f t="shared" si="43"/>
        <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t="str">
        <f t="shared" si="78"/>
        <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t="str">
        <f t="shared" si="103"/>
        <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t="str">
        <f t="shared" si="143"/>
        <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15" customHeight="1">
      <c r="A35" s="130" t="str">
        <f t="shared" si="171"/>
        <v/>
      </c>
      <c r="B35" s="1571" t="s">
        <v>2465</v>
      </c>
      <c r="C35" s="1572"/>
      <c r="D35" s="1573"/>
      <c r="E35" s="1574"/>
      <c r="F35" s="1574"/>
      <c r="G35" s="1574"/>
      <c r="H35" s="1574"/>
      <c r="I35" s="1574"/>
      <c r="J35" s="1575"/>
      <c r="K35" s="205">
        <f t="shared" si="204"/>
        <v>0</v>
      </c>
      <c r="L35" s="205">
        <f t="shared" si="0"/>
        <v>0</v>
      </c>
      <c r="M35" s="1576"/>
      <c r="N35" s="1576"/>
      <c r="O35" s="1576"/>
      <c r="P35" s="559" t="str">
        <f t="shared" si="203"/>
        <v/>
      </c>
      <c r="Q35" s="560" t="str">
        <f>IF(H35="","",P35/($P$6*VLOOKUP(C35,'DCA Underwriting Assumptions'!$J$81:$K$86,2,FALSE)))</f>
        <v/>
      </c>
      <c r="R35" s="667"/>
      <c r="S35" s="560"/>
      <c r="T35" s="1513"/>
      <c r="U35" s="1514"/>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t="str">
        <f t="shared" si="18"/>
        <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t="str">
        <f t="shared" si="43"/>
        <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t="str">
        <f t="shared" si="78"/>
        <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t="str">
        <f t="shared" si="103"/>
        <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t="str">
        <f t="shared" si="143"/>
        <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15" customHeight="1">
      <c r="A36" s="130" t="str">
        <f t="shared" si="171"/>
        <v/>
      </c>
      <c r="B36" s="1571" t="s">
        <v>2465</v>
      </c>
      <c r="C36" s="1572"/>
      <c r="D36" s="1573"/>
      <c r="E36" s="1574"/>
      <c r="F36" s="1574"/>
      <c r="G36" s="1574"/>
      <c r="H36" s="1574"/>
      <c r="I36" s="1574"/>
      <c r="J36" s="1575"/>
      <c r="K36" s="205">
        <f t="shared" si="204"/>
        <v>0</v>
      </c>
      <c r="L36" s="205">
        <f t="shared" si="0"/>
        <v>0</v>
      </c>
      <c r="M36" s="1576"/>
      <c r="N36" s="1576"/>
      <c r="O36" s="1576"/>
      <c r="P36" s="559" t="str">
        <f t="shared" si="203"/>
        <v/>
      </c>
      <c r="Q36" s="560" t="str">
        <f>IF(H36="","",P36/($P$6*VLOOKUP(C36,'DCA Underwriting Assumptions'!$J$81:$K$86,2,FALSE)))</f>
        <v/>
      </c>
      <c r="R36" s="667"/>
      <c r="S36" s="560"/>
      <c r="T36" s="1513"/>
      <c r="U36" s="1514"/>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t="str">
        <f t="shared" si="18"/>
        <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t="str">
        <f t="shared" si="43"/>
        <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t="str">
        <f t="shared" si="78"/>
        <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t="str">
        <f t="shared" si="103"/>
        <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t="str">
        <f t="shared" si="143"/>
        <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15" customHeight="1">
      <c r="A37" s="130" t="str">
        <f t="shared" si="171"/>
        <v/>
      </c>
      <c r="B37" s="1571" t="s">
        <v>2465</v>
      </c>
      <c r="C37" s="1572"/>
      <c r="D37" s="1573"/>
      <c r="E37" s="1574"/>
      <c r="F37" s="1574"/>
      <c r="G37" s="1574"/>
      <c r="H37" s="1574"/>
      <c r="I37" s="1574"/>
      <c r="J37" s="1575"/>
      <c r="K37" s="205">
        <f t="shared" si="204"/>
        <v>0</v>
      </c>
      <c r="L37" s="205">
        <f t="shared" si="0"/>
        <v>0</v>
      </c>
      <c r="M37" s="1576"/>
      <c r="N37" s="1576"/>
      <c r="O37" s="1576"/>
      <c r="P37" s="559" t="str">
        <f t="shared" si="203"/>
        <v/>
      </c>
      <c r="Q37" s="560" t="str">
        <f>IF(H37="","",P37/($P$6*VLOOKUP(C37,'DCA Underwriting Assumptions'!$J$81:$K$86,2,FALSE)))</f>
        <v/>
      </c>
      <c r="R37" s="667"/>
      <c r="S37" s="560"/>
      <c r="T37" s="1513"/>
      <c r="U37" s="1514"/>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t="str">
        <f t="shared" si="19"/>
        <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t="str">
        <f t="shared" si="44"/>
        <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t="str">
        <f t="shared" si="79"/>
        <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t="str">
        <f t="shared" si="104"/>
        <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t="str">
        <f t="shared" si="144"/>
        <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15" customHeight="1">
      <c r="A38" s="130" t="str">
        <f t="shared" si="171"/>
        <v/>
      </c>
      <c r="B38" s="1571" t="s">
        <v>2465</v>
      </c>
      <c r="C38" s="1572"/>
      <c r="D38" s="1573"/>
      <c r="E38" s="1574"/>
      <c r="F38" s="1574"/>
      <c r="G38" s="1574"/>
      <c r="H38" s="1574"/>
      <c r="I38" s="1574"/>
      <c r="J38" s="1575"/>
      <c r="K38" s="205">
        <f>MAX(0,H38-I38)</f>
        <v>0</v>
      </c>
      <c r="L38" s="205">
        <f t="shared" si="0"/>
        <v>0</v>
      </c>
      <c r="M38" s="1576"/>
      <c r="N38" s="1576"/>
      <c r="O38" s="1576"/>
      <c r="P38" s="559" t="str">
        <f t="shared" si="203"/>
        <v/>
      </c>
      <c r="Q38" s="560" t="str">
        <f>IF(H38="","",P38/($P$6*VLOOKUP(C38,'DCA Underwriting Assumptions'!$J$81:$K$86,2,FALSE)))</f>
        <v/>
      </c>
      <c r="R38" s="667"/>
      <c r="S38" s="560"/>
      <c r="T38" s="1513"/>
      <c r="U38" s="1514"/>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t="str">
        <f t="shared" si="19"/>
        <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t="str">
        <f t="shared" si="44"/>
        <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t="str">
        <f t="shared" si="79"/>
        <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t="str">
        <f t="shared" si="124"/>
        <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15" customHeight="1">
      <c r="A39" s="130" t="str">
        <f t="shared" si="171"/>
        <v/>
      </c>
      <c r="B39" s="1571" t="s">
        <v>2465</v>
      </c>
      <c r="C39" s="1572"/>
      <c r="D39" s="1573"/>
      <c r="E39" s="1574"/>
      <c r="F39" s="1574"/>
      <c r="G39" s="1574"/>
      <c r="H39" s="1574"/>
      <c r="I39" s="1574"/>
      <c r="J39" s="1575"/>
      <c r="K39" s="205">
        <f t="shared" ref="K39:K46" si="205">MAX(0,H39-I39)</f>
        <v>0</v>
      </c>
      <c r="L39" s="205">
        <f t="shared" si="0"/>
        <v>0</v>
      </c>
      <c r="M39" s="1576"/>
      <c r="N39" s="1576"/>
      <c r="O39" s="1576"/>
      <c r="P39" s="559" t="str">
        <f t="shared" si="203"/>
        <v/>
      </c>
      <c r="Q39" s="560" t="str">
        <f>IF(H39="","",P39/($P$6*VLOOKUP(C39,'DCA Underwriting Assumptions'!$J$81:$K$86,2,FALSE)))</f>
        <v/>
      </c>
      <c r="R39" s="667"/>
      <c r="S39" s="560"/>
      <c r="T39" s="1513"/>
      <c r="U39" s="1514"/>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t="str">
        <f t="shared" si="19"/>
        <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t="str">
        <f t="shared" si="44"/>
        <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t="str">
        <f t="shared" si="79"/>
        <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t="str">
        <f t="shared" si="124"/>
        <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15" customHeight="1">
      <c r="A40" s="130" t="str">
        <f t="shared" si="171"/>
        <v/>
      </c>
      <c r="B40" s="1571" t="s">
        <v>2465</v>
      </c>
      <c r="C40" s="1572"/>
      <c r="D40" s="1573"/>
      <c r="E40" s="1574"/>
      <c r="F40" s="1574"/>
      <c r="G40" s="1574"/>
      <c r="H40" s="1574"/>
      <c r="I40" s="1574"/>
      <c r="J40" s="1575"/>
      <c r="K40" s="205">
        <f t="shared" si="205"/>
        <v>0</v>
      </c>
      <c r="L40" s="205">
        <f t="shared" si="0"/>
        <v>0</v>
      </c>
      <c r="M40" s="1576"/>
      <c r="N40" s="1576"/>
      <c r="O40" s="1576"/>
      <c r="P40" s="559" t="str">
        <f t="shared" si="203"/>
        <v/>
      </c>
      <c r="Q40" s="560" t="str">
        <f>IF(H40="","",P40/($P$6*VLOOKUP(C40,'DCA Underwriting Assumptions'!$J$81:$K$86,2,FALSE)))</f>
        <v/>
      </c>
      <c r="R40" s="667"/>
      <c r="S40" s="560"/>
      <c r="T40" s="1513"/>
      <c r="U40" s="1514"/>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t="str">
        <f t="shared" si="20"/>
        <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t="str">
        <f t="shared" si="45"/>
        <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t="str">
        <f t="shared" si="105"/>
        <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15" customHeight="1">
      <c r="A41" s="130" t="str">
        <f t="shared" si="171"/>
        <v/>
      </c>
      <c r="B41" s="1571" t="s">
        <v>2465</v>
      </c>
      <c r="C41" s="1572"/>
      <c r="D41" s="1573"/>
      <c r="E41" s="1574"/>
      <c r="F41" s="1574"/>
      <c r="G41" s="1574"/>
      <c r="H41" s="1574"/>
      <c r="I41" s="1574"/>
      <c r="J41" s="1575"/>
      <c r="K41" s="205">
        <f t="shared" si="205"/>
        <v>0</v>
      </c>
      <c r="L41" s="205">
        <f t="shared" si="0"/>
        <v>0</v>
      </c>
      <c r="M41" s="1576"/>
      <c r="N41" s="1576"/>
      <c r="O41" s="1576"/>
      <c r="P41" s="559" t="str">
        <f t="shared" si="203"/>
        <v/>
      </c>
      <c r="Q41" s="560" t="str">
        <f>IF(H41="","",P41/($P$6*VLOOKUP(C41,'DCA Underwriting Assumptions'!$J$81:$K$86,2,FALSE)))</f>
        <v/>
      </c>
      <c r="R41" s="667"/>
      <c r="S41" s="560"/>
      <c r="T41" s="1513"/>
      <c r="U41" s="1514"/>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15" customHeight="1">
      <c r="A42" s="130" t="str">
        <f t="shared" si="171"/>
        <v/>
      </c>
      <c r="B42" s="1571" t="s">
        <v>2465</v>
      </c>
      <c r="C42" s="1572"/>
      <c r="D42" s="1573"/>
      <c r="E42" s="1574"/>
      <c r="F42" s="1574"/>
      <c r="G42" s="1574"/>
      <c r="H42" s="1574"/>
      <c r="I42" s="1574"/>
      <c r="J42" s="1575"/>
      <c r="K42" s="205">
        <f t="shared" si="205"/>
        <v>0</v>
      </c>
      <c r="L42" s="205">
        <f t="shared" si="0"/>
        <v>0</v>
      </c>
      <c r="M42" s="1576"/>
      <c r="N42" s="1576"/>
      <c r="O42" s="1576"/>
      <c r="P42" s="559" t="str">
        <f t="shared" si="203"/>
        <v/>
      </c>
      <c r="Q42" s="560" t="str">
        <f>IF(H42="","",P42/($P$6*VLOOKUP(C42,'DCA Underwriting Assumptions'!$J$81:$K$86,2,FALSE)))</f>
        <v/>
      </c>
      <c r="R42" s="667"/>
      <c r="S42" s="560"/>
      <c r="T42" s="1513"/>
      <c r="U42" s="1514"/>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15" customHeight="1">
      <c r="A43" s="130" t="str">
        <f t="shared" si="171"/>
        <v/>
      </c>
      <c r="B43" s="1571" t="s">
        <v>2465</v>
      </c>
      <c r="C43" s="1572"/>
      <c r="D43" s="1573"/>
      <c r="E43" s="1574"/>
      <c r="F43" s="1574"/>
      <c r="G43" s="1574"/>
      <c r="H43" s="1574"/>
      <c r="I43" s="1574"/>
      <c r="J43" s="1575"/>
      <c r="K43" s="205">
        <f t="shared" si="205"/>
        <v>0</v>
      </c>
      <c r="L43" s="205">
        <f t="shared" si="0"/>
        <v>0</v>
      </c>
      <c r="M43" s="1576"/>
      <c r="N43" s="1576"/>
      <c r="O43" s="1576"/>
      <c r="P43" s="559" t="str">
        <f t="shared" si="203"/>
        <v/>
      </c>
      <c r="Q43" s="560" t="str">
        <f>IF(H43="","",P43/($P$6*VLOOKUP(C43,'DCA Underwriting Assumptions'!$J$81:$K$86,2,FALSE)))</f>
        <v/>
      </c>
      <c r="R43" s="667"/>
      <c r="S43" s="560"/>
      <c r="T43" s="1513"/>
      <c r="U43" s="1514"/>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15" customHeight="1">
      <c r="A44" s="130" t="str">
        <f t="shared" si="171"/>
        <v/>
      </c>
      <c r="B44" s="1571" t="s">
        <v>2465</v>
      </c>
      <c r="C44" s="1572"/>
      <c r="D44" s="1573"/>
      <c r="E44" s="1574"/>
      <c r="F44" s="1574"/>
      <c r="G44" s="1574"/>
      <c r="H44" s="1574"/>
      <c r="I44" s="1574"/>
      <c r="J44" s="1575"/>
      <c r="K44" s="205">
        <f t="shared" si="205"/>
        <v>0</v>
      </c>
      <c r="L44" s="205">
        <f t="shared" si="0"/>
        <v>0</v>
      </c>
      <c r="M44" s="1576"/>
      <c r="N44" s="1576"/>
      <c r="O44" s="1576"/>
      <c r="P44" s="559" t="str">
        <f t="shared" si="203"/>
        <v/>
      </c>
      <c r="Q44" s="560" t="str">
        <f>IF(H44="","",P44/($P$6*VLOOKUP(C44,'DCA Underwriting Assumptions'!$J$81:$K$86,2,FALSE)))</f>
        <v/>
      </c>
      <c r="R44" s="667"/>
      <c r="S44" s="560"/>
      <c r="T44" s="1513"/>
      <c r="U44" s="1514"/>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15" customHeight="1">
      <c r="A45" s="130" t="str">
        <f t="shared" si="171"/>
        <v/>
      </c>
      <c r="B45" s="1571" t="s">
        <v>2465</v>
      </c>
      <c r="C45" s="1572"/>
      <c r="D45" s="1573"/>
      <c r="E45" s="1574"/>
      <c r="F45" s="1574"/>
      <c r="G45" s="1574"/>
      <c r="H45" s="1574"/>
      <c r="I45" s="1574"/>
      <c r="J45" s="1575"/>
      <c r="K45" s="205">
        <f t="shared" si="205"/>
        <v>0</v>
      </c>
      <c r="L45" s="205">
        <f t="shared" si="0"/>
        <v>0</v>
      </c>
      <c r="M45" s="1576"/>
      <c r="N45" s="1576"/>
      <c r="O45" s="1576"/>
      <c r="P45" s="559" t="str">
        <f t="shared" si="203"/>
        <v/>
      </c>
      <c r="Q45" s="560" t="str">
        <f>IF(H45="","",P45/($P$6*VLOOKUP(C45,'DCA Underwriting Assumptions'!$J$81:$K$86,2,FALSE)))</f>
        <v/>
      </c>
      <c r="R45" s="667"/>
      <c r="S45" s="560"/>
      <c r="T45" s="1513"/>
      <c r="U45" s="1514"/>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15" customHeight="1">
      <c r="A46" s="130" t="str">
        <f t="shared" si="171"/>
        <v/>
      </c>
      <c r="B46" s="1571" t="s">
        <v>2465</v>
      </c>
      <c r="C46" s="1572"/>
      <c r="D46" s="1573"/>
      <c r="E46" s="1574"/>
      <c r="F46" s="1574"/>
      <c r="G46" s="1574"/>
      <c r="H46" s="1574"/>
      <c r="I46" s="1574"/>
      <c r="J46" s="1575"/>
      <c r="K46" s="205">
        <f t="shared" si="205"/>
        <v>0</v>
      </c>
      <c r="L46" s="205">
        <f t="shared" si="0"/>
        <v>0</v>
      </c>
      <c r="M46" s="1576"/>
      <c r="N46" s="1576"/>
      <c r="O46" s="1576"/>
      <c r="P46" s="559" t="str">
        <f t="shared" si="203"/>
        <v/>
      </c>
      <c r="Q46" s="560" t="str">
        <f>IF(H46="","",P46/($P$6*VLOOKUP(C46,'DCA Underwriting Assumptions'!$J$81:$K$86,2,FALSE)))</f>
        <v/>
      </c>
      <c r="R46" s="667"/>
      <c r="S46" s="560"/>
      <c r="T46" s="1513"/>
      <c r="U46" s="1514"/>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15" customHeight="1">
      <c r="A47" s="130" t="str">
        <f t="shared" si="171"/>
        <v/>
      </c>
      <c r="B47" s="1577" t="s">
        <v>2465</v>
      </c>
      <c r="C47" s="1578"/>
      <c r="D47" s="1579"/>
      <c r="E47" s="1580"/>
      <c r="F47" s="1580"/>
      <c r="G47" s="1580"/>
      <c r="H47" s="1580"/>
      <c r="I47" s="1580"/>
      <c r="J47" s="1581"/>
      <c r="K47" s="206">
        <f t="shared" si="204"/>
        <v>0</v>
      </c>
      <c r="L47" s="206">
        <f t="shared" si="0"/>
        <v>0</v>
      </c>
      <c r="M47" s="1582"/>
      <c r="N47" s="1582"/>
      <c r="O47" s="1582"/>
      <c r="P47" s="559" t="str">
        <f t="shared" si="203"/>
        <v/>
      </c>
      <c r="Q47" s="560" t="str">
        <f>IF(H47="","",P47/($P$6*VLOOKUP(C47,'DCA Underwriting Assumptions'!$J$81:$K$86,2,FALSE)))</f>
        <v/>
      </c>
      <c r="R47" s="667"/>
      <c r="S47" s="560"/>
      <c r="T47" s="1516"/>
      <c r="U47" s="1517"/>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0</v>
      </c>
      <c r="B48" s="93"/>
      <c r="C48" s="1"/>
      <c r="D48" s="17" t="s">
        <v>1419</v>
      </c>
      <c r="E48" s="153">
        <f>SUM(E10:E47)</f>
        <v>49</v>
      </c>
      <c r="F48" s="154">
        <f>(E10*F10+E11*F11+E12*F12+E13*F13+E14*F14+E15*F15+E16*F16+E17*F17+E18*F18+E19*F19+E20*F20+E21*F21+E22*F22+E23*F23+E24*F24+E25*F25+E26*F26+E27*F27+E28*F28+E29*F29+E30*F30+E31*F31+E32*F32+E33*F33+E34*F34+E35*F35+E36*F36+E37*F37+E38*F38+E39*F39+E40*F40+E41*F41+E42*F42+E43*F43+E44*F44+E45*F45+E46*F46+E47*F47)</f>
        <v>42958</v>
      </c>
      <c r="G48" s="145"/>
      <c r="H48" s="146"/>
      <c r="I48" s="146"/>
      <c r="J48" s="146"/>
      <c r="K48" s="15" t="s">
        <v>1735</v>
      </c>
      <c r="L48" s="152">
        <f>SUM(L10:L47)</f>
        <v>22480</v>
      </c>
      <c r="M48" s="1"/>
      <c r="N48" s="40"/>
      <c r="O48" s="1"/>
      <c r="P48" s="562"/>
      <c r="Q48" s="562"/>
      <c r="R48" s="562"/>
      <c r="S48" s="562"/>
      <c r="T48" s="561"/>
      <c r="U48" s="563"/>
      <c r="V48" s="638">
        <f t="shared" ref="V48:CK48" si="206">SUM(V10:V47)</f>
        <v>0</v>
      </c>
      <c r="W48" s="638">
        <f t="shared" si="206"/>
        <v>13</v>
      </c>
      <c r="X48" s="638">
        <f t="shared" si="206"/>
        <v>27</v>
      </c>
      <c r="Y48" s="638">
        <f t="shared" si="206"/>
        <v>0</v>
      </c>
      <c r="Z48" s="638">
        <f t="shared" si="206"/>
        <v>0</v>
      </c>
      <c r="AA48" s="638">
        <f t="shared" si="206"/>
        <v>0</v>
      </c>
      <c r="AB48" s="638">
        <f t="shared" si="206"/>
        <v>3</v>
      </c>
      <c r="AC48" s="638">
        <f t="shared" si="206"/>
        <v>5</v>
      </c>
      <c r="AD48" s="638">
        <f t="shared" si="206"/>
        <v>0</v>
      </c>
      <c r="AE48" s="638">
        <f t="shared" si="206"/>
        <v>0</v>
      </c>
      <c r="AF48" s="638">
        <f t="shared" si="206"/>
        <v>0</v>
      </c>
      <c r="AG48" s="638">
        <f t="shared" si="206"/>
        <v>0</v>
      </c>
      <c r="AH48" s="638">
        <f t="shared" si="206"/>
        <v>0</v>
      </c>
      <c r="AI48" s="638">
        <f t="shared" si="206"/>
        <v>0</v>
      </c>
      <c r="AJ48" s="638">
        <f t="shared" si="206"/>
        <v>0</v>
      </c>
      <c r="AK48" s="638">
        <f t="shared" si="206"/>
        <v>0</v>
      </c>
      <c r="AL48" s="638">
        <f t="shared" si="206"/>
        <v>0</v>
      </c>
      <c r="AM48" s="638">
        <f t="shared" si="206"/>
        <v>0</v>
      </c>
      <c r="AN48" s="638">
        <f t="shared" si="206"/>
        <v>0</v>
      </c>
      <c r="AO48" s="638">
        <f t="shared" si="206"/>
        <v>0</v>
      </c>
      <c r="AP48" s="638">
        <f t="shared" si="206"/>
        <v>0</v>
      </c>
      <c r="AQ48" s="638">
        <f t="shared" si="206"/>
        <v>0</v>
      </c>
      <c r="AR48" s="638">
        <f t="shared" si="206"/>
        <v>0</v>
      </c>
      <c r="AS48" s="638">
        <f t="shared" si="206"/>
        <v>0</v>
      </c>
      <c r="AT48" s="638">
        <f t="shared" si="206"/>
        <v>0</v>
      </c>
      <c r="AU48" s="638">
        <f t="shared" si="206"/>
        <v>0</v>
      </c>
      <c r="AV48" s="638">
        <f t="shared" si="206"/>
        <v>3</v>
      </c>
      <c r="AW48" s="638">
        <f t="shared" si="206"/>
        <v>5</v>
      </c>
      <c r="AX48" s="638">
        <f t="shared" si="206"/>
        <v>0</v>
      </c>
      <c r="AY48" s="638">
        <f t="shared" si="206"/>
        <v>0</v>
      </c>
      <c r="AZ48" s="638">
        <f t="shared" si="206"/>
        <v>0</v>
      </c>
      <c r="BA48" s="638">
        <f t="shared" si="206"/>
        <v>13</v>
      </c>
      <c r="BB48" s="638">
        <f t="shared" si="206"/>
        <v>27</v>
      </c>
      <c r="BC48" s="638">
        <f t="shared" si="206"/>
        <v>0</v>
      </c>
      <c r="BD48" s="638">
        <f t="shared" si="206"/>
        <v>0</v>
      </c>
      <c r="BE48" s="638">
        <f t="shared" ref="BE48:BS48" si="207">SUM(BE10:BE47)</f>
        <v>0</v>
      </c>
      <c r="BF48" s="638">
        <f t="shared" si="207"/>
        <v>0</v>
      </c>
      <c r="BG48" s="638">
        <f t="shared" si="207"/>
        <v>0</v>
      </c>
      <c r="BH48" s="638">
        <f t="shared" si="207"/>
        <v>0</v>
      </c>
      <c r="BI48" s="638">
        <f t="shared" si="207"/>
        <v>0</v>
      </c>
      <c r="BJ48" s="638">
        <f t="shared" si="207"/>
        <v>0</v>
      </c>
      <c r="BK48" s="638">
        <f t="shared" si="207"/>
        <v>0</v>
      </c>
      <c r="BL48" s="638">
        <f t="shared" si="207"/>
        <v>0</v>
      </c>
      <c r="BM48" s="638">
        <f t="shared" si="207"/>
        <v>0</v>
      </c>
      <c r="BN48" s="638">
        <f t="shared" si="207"/>
        <v>0</v>
      </c>
      <c r="BO48" s="638">
        <f t="shared" si="207"/>
        <v>0</v>
      </c>
      <c r="BP48" s="638">
        <f t="shared" si="207"/>
        <v>0</v>
      </c>
      <c r="BQ48" s="638">
        <f t="shared" si="207"/>
        <v>0</v>
      </c>
      <c r="BR48" s="638">
        <f t="shared" si="207"/>
        <v>0</v>
      </c>
      <c r="BS48" s="638">
        <f t="shared" si="207"/>
        <v>0</v>
      </c>
      <c r="BT48" s="638">
        <f t="shared" si="206"/>
        <v>0</v>
      </c>
      <c r="BU48" s="638">
        <f t="shared" si="206"/>
        <v>0</v>
      </c>
      <c r="BV48" s="638">
        <f t="shared" si="206"/>
        <v>1</v>
      </c>
      <c r="BW48" s="638">
        <f t="shared" si="206"/>
        <v>0</v>
      </c>
      <c r="BX48" s="638">
        <f t="shared" si="206"/>
        <v>0</v>
      </c>
      <c r="BY48" s="638">
        <f t="shared" si="206"/>
        <v>0</v>
      </c>
      <c r="BZ48" s="638">
        <f t="shared" si="206"/>
        <v>8489</v>
      </c>
      <c r="CA48" s="638">
        <f t="shared" si="206"/>
        <v>26595</v>
      </c>
      <c r="CB48" s="638">
        <f t="shared" si="206"/>
        <v>0</v>
      </c>
      <c r="CC48" s="638">
        <f t="shared" si="206"/>
        <v>0</v>
      </c>
      <c r="CD48" s="638">
        <f t="shared" si="206"/>
        <v>0</v>
      </c>
      <c r="CE48" s="638">
        <f t="shared" si="206"/>
        <v>1959</v>
      </c>
      <c r="CF48" s="638">
        <f t="shared" si="206"/>
        <v>4925</v>
      </c>
      <c r="CG48" s="638">
        <f t="shared" si="206"/>
        <v>0</v>
      </c>
      <c r="CH48" s="638">
        <f t="shared" si="206"/>
        <v>0</v>
      </c>
      <c r="CI48" s="638">
        <f t="shared" si="206"/>
        <v>0</v>
      </c>
      <c r="CJ48" s="638">
        <f t="shared" si="206"/>
        <v>0</v>
      </c>
      <c r="CK48" s="638">
        <f t="shared" si="206"/>
        <v>0</v>
      </c>
      <c r="CL48" s="638">
        <f t="shared" ref="CL48:EP48" si="208">SUM(CL10:CL47)</f>
        <v>0</v>
      </c>
      <c r="CM48" s="638">
        <f t="shared" si="208"/>
        <v>0</v>
      </c>
      <c r="CN48" s="638">
        <f t="shared" si="208"/>
        <v>0</v>
      </c>
      <c r="CO48" s="638">
        <f t="shared" si="208"/>
        <v>0</v>
      </c>
      <c r="CP48" s="638">
        <f t="shared" si="208"/>
        <v>0</v>
      </c>
      <c r="CQ48" s="638">
        <f t="shared" si="208"/>
        <v>0</v>
      </c>
      <c r="CR48" s="638">
        <f t="shared" si="208"/>
        <v>0</v>
      </c>
      <c r="CS48" s="638">
        <f t="shared" si="208"/>
        <v>0</v>
      </c>
      <c r="CT48" s="638">
        <f t="shared" si="208"/>
        <v>10448</v>
      </c>
      <c r="CU48" s="638">
        <f t="shared" si="208"/>
        <v>31520</v>
      </c>
      <c r="CV48" s="638">
        <f t="shared" si="208"/>
        <v>0</v>
      </c>
      <c r="CW48" s="638">
        <f t="shared" si="208"/>
        <v>0</v>
      </c>
      <c r="CX48" s="638">
        <f t="shared" si="208"/>
        <v>0</v>
      </c>
      <c r="CY48" s="638">
        <f t="shared" si="208"/>
        <v>0</v>
      </c>
      <c r="CZ48" s="638">
        <f t="shared" si="208"/>
        <v>990</v>
      </c>
      <c r="DA48" s="638">
        <f t="shared" si="208"/>
        <v>0</v>
      </c>
      <c r="DB48" s="638">
        <f t="shared" si="208"/>
        <v>0</v>
      </c>
      <c r="DC48" s="638">
        <f t="shared" si="208"/>
        <v>0</v>
      </c>
      <c r="DD48" s="638">
        <f t="shared" si="208"/>
        <v>0</v>
      </c>
      <c r="DE48" s="638">
        <f t="shared" si="208"/>
        <v>0</v>
      </c>
      <c r="DF48" s="638">
        <f t="shared" si="208"/>
        <v>0</v>
      </c>
      <c r="DG48" s="638">
        <f t="shared" si="208"/>
        <v>0</v>
      </c>
      <c r="DH48" s="638">
        <f t="shared" si="208"/>
        <v>0</v>
      </c>
      <c r="DI48" s="638">
        <f t="shared" si="208"/>
        <v>0</v>
      </c>
      <c r="DJ48" s="638">
        <f t="shared" si="208"/>
        <v>0</v>
      </c>
      <c r="DK48" s="638">
        <f t="shared" si="208"/>
        <v>0</v>
      </c>
      <c r="DL48" s="638">
        <f t="shared" si="208"/>
        <v>0</v>
      </c>
      <c r="DM48" s="638">
        <f>SUM(DM10:DM47)</f>
        <v>0</v>
      </c>
      <c r="DN48" s="638">
        <f>SUM(DN10:DN47)</f>
        <v>0</v>
      </c>
      <c r="DO48" s="638">
        <f>SUM(DO10:DO47)</f>
        <v>1</v>
      </c>
      <c r="DP48" s="638">
        <f>SUM(DP10:DP47)</f>
        <v>0</v>
      </c>
      <c r="DQ48" s="638">
        <f>SUM(DQ10:DQ47)</f>
        <v>0</v>
      </c>
      <c r="DR48" s="638">
        <f t="shared" si="208"/>
        <v>0</v>
      </c>
      <c r="DS48" s="638">
        <f t="shared" si="208"/>
        <v>16</v>
      </c>
      <c r="DT48" s="638">
        <f t="shared" si="208"/>
        <v>32</v>
      </c>
      <c r="DU48" s="638">
        <f t="shared" si="208"/>
        <v>0</v>
      </c>
      <c r="DV48" s="638">
        <f t="shared" si="208"/>
        <v>0</v>
      </c>
      <c r="DW48" s="638">
        <f t="shared" si="208"/>
        <v>0</v>
      </c>
      <c r="DX48" s="638">
        <f t="shared" si="208"/>
        <v>0</v>
      </c>
      <c r="DY48" s="638">
        <f t="shared" si="208"/>
        <v>0</v>
      </c>
      <c r="DZ48" s="638">
        <f t="shared" si="208"/>
        <v>0</v>
      </c>
      <c r="EA48" s="638">
        <f t="shared" si="208"/>
        <v>0</v>
      </c>
      <c r="EB48" s="638">
        <f>SUM(EB10:EB47)</f>
        <v>0</v>
      </c>
      <c r="EC48" s="638">
        <f>SUM(EC10:EC47)</f>
        <v>0</v>
      </c>
      <c r="ED48" s="638">
        <f>SUM(ED10:ED47)</f>
        <v>0</v>
      </c>
      <c r="EE48" s="638">
        <f>SUM(EE10:EE47)</f>
        <v>0</v>
      </c>
      <c r="EF48" s="638">
        <f>SUM(EF10:EF47)</f>
        <v>0</v>
      </c>
      <c r="EG48" s="638">
        <f t="shared" si="208"/>
        <v>0</v>
      </c>
      <c r="EH48" s="638">
        <f t="shared" si="208"/>
        <v>0</v>
      </c>
      <c r="EI48" s="638">
        <f t="shared" si="208"/>
        <v>0</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0</v>
      </c>
      <c r="EW48" s="638">
        <f t="shared" si="209"/>
        <v>16</v>
      </c>
      <c r="EX48" s="638">
        <f t="shared" si="209"/>
        <v>1</v>
      </c>
      <c r="EY48" s="638">
        <f t="shared" si="209"/>
        <v>0</v>
      </c>
      <c r="EZ48" s="638">
        <f t="shared" si="209"/>
        <v>0</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0</v>
      </c>
      <c r="FP48" s="638">
        <f t="shared" si="209"/>
        <v>0</v>
      </c>
      <c r="FQ48" s="638">
        <f t="shared" si="209"/>
        <v>0</v>
      </c>
      <c r="FR48" s="638">
        <f t="shared" si="209"/>
        <v>32</v>
      </c>
      <c r="FS48" s="638">
        <f t="shared" si="209"/>
        <v>0</v>
      </c>
      <c r="FT48" s="638">
        <f t="shared" si="209"/>
        <v>0</v>
      </c>
      <c r="FU48" s="638">
        <f t="shared" si="209"/>
        <v>0</v>
      </c>
      <c r="FV48" s="638">
        <f t="shared" si="209"/>
        <v>16</v>
      </c>
      <c r="FW48" s="638">
        <f t="shared" si="209"/>
        <v>1</v>
      </c>
      <c r="FX48" s="638">
        <f t="shared" si="209"/>
        <v>0</v>
      </c>
      <c r="FY48" s="638">
        <f t="shared" si="209"/>
        <v>0</v>
      </c>
      <c r="FZ48" s="638">
        <f t="shared" si="209"/>
        <v>0</v>
      </c>
      <c r="GA48" s="638">
        <f t="shared" si="209"/>
        <v>0</v>
      </c>
      <c r="GB48" s="638">
        <f t="shared" si="209"/>
        <v>0</v>
      </c>
      <c r="GC48" s="638">
        <f t="shared" si="209"/>
        <v>0</v>
      </c>
      <c r="GD48" s="638">
        <f t="shared" si="209"/>
        <v>0</v>
      </c>
      <c r="GE48" s="638">
        <f t="shared" si="209"/>
        <v>0</v>
      </c>
      <c r="GF48" s="638">
        <f t="shared" si="209"/>
        <v>0</v>
      </c>
      <c r="GG48" s="638">
        <f t="shared" si="209"/>
        <v>0</v>
      </c>
      <c r="GH48" s="638">
        <f t="shared" si="209"/>
        <v>0</v>
      </c>
      <c r="GI48" s="638">
        <f t="shared" si="209"/>
        <v>0</v>
      </c>
      <c r="GJ48" s="638">
        <f t="shared" si="209"/>
        <v>0</v>
      </c>
      <c r="GK48" s="638">
        <f t="shared" si="209"/>
        <v>0</v>
      </c>
      <c r="GL48" s="638">
        <f t="shared" si="209"/>
        <v>0</v>
      </c>
      <c r="GM48" s="638">
        <f t="shared" si="209"/>
        <v>0</v>
      </c>
      <c r="GN48" s="638">
        <f t="shared" si="209"/>
        <v>0</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1206</v>
      </c>
      <c r="L49" s="152">
        <f>L48*12</f>
        <v>269760</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031" t="s">
        <v>3420</v>
      </c>
      <c r="B51" s="1583"/>
      <c r="C51" s="1583"/>
      <c r="D51" s="1583"/>
      <c r="E51" s="1583"/>
      <c r="F51" s="1583"/>
      <c r="G51" s="1583"/>
      <c r="H51" s="1583"/>
      <c r="I51" s="1583"/>
      <c r="J51" s="1583"/>
      <c r="K51" s="1583"/>
      <c r="L51" s="1583"/>
      <c r="M51" s="1583"/>
      <c r="N51" s="1583"/>
      <c r="O51" s="1583"/>
      <c r="P51" s="1583"/>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583"/>
      <c r="B52" s="1583"/>
      <c r="C52" s="1583"/>
      <c r="D52" s="1583"/>
      <c r="E52" s="1583"/>
      <c r="F52" s="1583"/>
      <c r="G52" s="1583"/>
      <c r="H52" s="1583"/>
      <c r="I52" s="1583"/>
      <c r="J52" s="1583"/>
      <c r="K52" s="1583"/>
      <c r="L52" s="1583"/>
      <c r="M52" s="1583"/>
      <c r="N52" s="1583"/>
      <c r="O52" s="1583"/>
      <c r="P52" s="1583"/>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1044</v>
      </c>
      <c r="B53" s="16" t="s">
        <v>700</v>
      </c>
      <c r="O53" s="99"/>
      <c r="Q53" s="1033" t="str">
        <f>IF(SUM(Q56:Q100)&gt;0,"ERROR Between Rent Schedule &amp; Unit Summary:", "")</f>
        <v>ERROR Between Rent Schedule &amp; Unit Summary:</v>
      </c>
      <c r="R53" s="814"/>
      <c r="S53" s="814"/>
      <c r="T53" s="5" t="str">
        <f>B53</f>
        <v>UNIT SUMMARY</v>
      </c>
      <c r="U53" s="537" t="s">
        <v>700</v>
      </c>
      <c r="V53" s="639"/>
      <c r="W53" s="639"/>
      <c r="X53" s="639"/>
      <c r="Y53" s="639"/>
      <c r="Z53" s="639"/>
      <c r="AA53" s="639"/>
      <c r="AB53" s="639"/>
      <c r="AC53" s="639"/>
      <c r="AD53" s="639"/>
      <c r="AE53" s="639"/>
      <c r="AF53" s="639"/>
      <c r="AG53" s="639"/>
      <c r="AH53" s="628"/>
      <c r="GW53" s="640"/>
      <c r="HL53" s="624"/>
    </row>
    <row r="54" spans="1:221" ht="3" customHeight="1">
      <c r="A54" s="16"/>
      <c r="B54" s="16"/>
      <c r="O54" s="99"/>
      <c r="Q54" s="1034"/>
      <c r="R54" s="815"/>
      <c r="S54" s="815"/>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1547</v>
      </c>
      <c r="H55" s="147" t="s">
        <v>735</v>
      </c>
      <c r="I55" s="147" t="s">
        <v>701</v>
      </c>
      <c r="J55" s="147" t="s">
        <v>702</v>
      </c>
      <c r="K55" s="147" t="s">
        <v>703</v>
      </c>
      <c r="L55" s="147" t="s">
        <v>704</v>
      </c>
      <c r="M55" s="147" t="s">
        <v>705</v>
      </c>
      <c r="O55" s="99"/>
      <c r="Q55" s="1034"/>
      <c r="R55" s="815"/>
      <c r="S55" s="815"/>
      <c r="T55" s="915" t="s">
        <v>2548</v>
      </c>
      <c r="U55" s="915"/>
      <c r="V55" s="639"/>
      <c r="W55" s="639"/>
      <c r="X55" s="639"/>
      <c r="Y55" s="639"/>
      <c r="Z55" s="639"/>
      <c r="AA55" s="641"/>
      <c r="AB55" s="641"/>
      <c r="AC55" s="641"/>
      <c r="AD55" s="641"/>
      <c r="AE55" s="641"/>
      <c r="AF55" s="641"/>
      <c r="AG55" s="639"/>
      <c r="AH55" s="628"/>
      <c r="GW55" s="640"/>
      <c r="HL55" s="624"/>
    </row>
    <row r="56" spans="1:221" ht="12" customHeight="1">
      <c r="C56" s="1" t="s">
        <v>1549</v>
      </c>
      <c r="D56" s="1"/>
      <c r="E56" s="1"/>
      <c r="F56" s="1"/>
      <c r="G56" s="44" t="s">
        <v>1561</v>
      </c>
      <c r="H56" s="343">
        <f>V48</f>
        <v>0</v>
      </c>
      <c r="I56" s="343">
        <f>W48</f>
        <v>13</v>
      </c>
      <c r="J56" s="343">
        <f>X48</f>
        <v>27</v>
      </c>
      <c r="K56" s="343">
        <f>Y48</f>
        <v>0</v>
      </c>
      <c r="L56" s="343">
        <f>Z48</f>
        <v>0</v>
      </c>
      <c r="M56" s="343">
        <f t="shared" ref="M56:M62" si="211">SUM(H56:L56)</f>
        <v>40</v>
      </c>
      <c r="N56" s="1035" t="s">
        <v>1285</v>
      </c>
      <c r="O56" s="1036"/>
      <c r="P56" s="816"/>
      <c r="Q56" s="538">
        <f t="shared" ref="Q56:Q62" si="212">ABS(M56-AF56)</f>
        <v>40</v>
      </c>
      <c r="R56" s="538"/>
      <c r="S56" s="538"/>
      <c r="T56" s="1511"/>
      <c r="U56" s="1512"/>
      <c r="V56" s="642"/>
      <c r="W56" s="642"/>
      <c r="X56" s="642"/>
      <c r="Y56" s="642"/>
      <c r="Z56" s="643"/>
      <c r="AA56" s="644"/>
      <c r="AB56" s="644"/>
      <c r="AC56" s="644"/>
      <c r="AD56" s="644"/>
      <c r="AE56" s="644"/>
      <c r="AF56" s="644"/>
      <c r="AG56" s="643"/>
      <c r="AH56" s="628"/>
      <c r="GW56" s="640"/>
      <c r="HL56" s="624"/>
    </row>
    <row r="57" spans="1:221" ht="12" customHeight="1">
      <c r="A57" s="1032" t="s">
        <v>567</v>
      </c>
      <c r="B57" s="1032"/>
      <c r="C57" s="5"/>
      <c r="D57" s="1"/>
      <c r="E57" s="1"/>
      <c r="F57" s="1"/>
      <c r="G57" s="44" t="s">
        <v>124</v>
      </c>
      <c r="H57" s="344">
        <f>AA48</f>
        <v>0</v>
      </c>
      <c r="I57" s="344">
        <f>AB48</f>
        <v>3</v>
      </c>
      <c r="J57" s="344">
        <f>AC48</f>
        <v>5</v>
      </c>
      <c r="K57" s="344">
        <f>AD48</f>
        <v>0</v>
      </c>
      <c r="L57" s="344">
        <f>AE48</f>
        <v>0</v>
      </c>
      <c r="M57" s="344">
        <f t="shared" si="211"/>
        <v>8</v>
      </c>
      <c r="N57" s="1035"/>
      <c r="O57" s="1036"/>
      <c r="P57" s="816"/>
      <c r="Q57" s="538">
        <f t="shared" si="212"/>
        <v>8</v>
      </c>
      <c r="R57" s="538"/>
      <c r="S57" s="538"/>
      <c r="T57" s="1513"/>
      <c r="U57" s="1514"/>
      <c r="V57" s="645"/>
      <c r="W57" s="642"/>
      <c r="X57" s="642"/>
      <c r="Y57" s="642"/>
      <c r="Z57" s="643"/>
      <c r="AA57" s="644"/>
      <c r="AB57" s="644"/>
      <c r="AC57" s="644"/>
      <c r="AD57" s="644"/>
      <c r="AE57" s="644"/>
      <c r="AF57" s="644"/>
      <c r="AG57" s="643"/>
      <c r="AH57" s="628"/>
      <c r="GW57" s="640"/>
      <c r="HL57" s="624"/>
    </row>
    <row r="58" spans="1:221" ht="12" customHeight="1">
      <c r="A58" s="1032"/>
      <c r="B58" s="1032"/>
      <c r="C58" s="5"/>
      <c r="D58" s="1"/>
      <c r="E58" s="1"/>
      <c r="F58" s="1"/>
      <c r="G58" s="44" t="s">
        <v>705</v>
      </c>
      <c r="H58" s="345">
        <f>SUM(H56:H57)</f>
        <v>0</v>
      </c>
      <c r="I58" s="345">
        <f>SUM(I56:I57)</f>
        <v>16</v>
      </c>
      <c r="J58" s="345">
        <f>SUM(J56:J57)</f>
        <v>32</v>
      </c>
      <c r="K58" s="345">
        <f>SUM(K56:K57)</f>
        <v>0</v>
      </c>
      <c r="L58" s="345">
        <f>SUM(L56:L57)</f>
        <v>0</v>
      </c>
      <c r="M58" s="345">
        <f t="shared" si="211"/>
        <v>48</v>
      </c>
      <c r="N58" s="348"/>
      <c r="O58" s="99"/>
      <c r="Q58" s="538">
        <f t="shared" si="212"/>
        <v>48</v>
      </c>
      <c r="R58" s="538"/>
      <c r="S58" s="538"/>
      <c r="T58" s="1513"/>
      <c r="U58" s="1514"/>
      <c r="V58" s="645"/>
      <c r="W58" s="642"/>
      <c r="X58" s="642"/>
      <c r="Y58" s="642"/>
      <c r="Z58" s="643"/>
      <c r="AA58" s="644"/>
      <c r="AB58" s="644"/>
      <c r="AC58" s="644"/>
      <c r="AD58" s="644"/>
      <c r="AE58" s="644"/>
      <c r="AF58" s="644"/>
      <c r="AG58" s="643"/>
      <c r="AH58" s="628"/>
      <c r="GW58" s="640"/>
      <c r="HL58" s="624"/>
    </row>
    <row r="59" spans="1:221" ht="12" customHeight="1">
      <c r="A59" s="1032"/>
      <c r="B59" s="1032"/>
      <c r="C59" s="1" t="s">
        <v>333</v>
      </c>
      <c r="D59" s="1"/>
      <c r="E59" s="1"/>
      <c r="F59" s="1"/>
      <c r="G59" s="44"/>
      <c r="H59" s="345">
        <f>AK48</f>
        <v>0</v>
      </c>
      <c r="I59" s="345">
        <f>AL48</f>
        <v>0</v>
      </c>
      <c r="J59" s="345">
        <f>AM48</f>
        <v>0</v>
      </c>
      <c r="K59" s="345">
        <f>AN48</f>
        <v>0</v>
      </c>
      <c r="L59" s="345">
        <f>AO48</f>
        <v>0</v>
      </c>
      <c r="M59" s="345">
        <f t="shared" si="211"/>
        <v>0</v>
      </c>
      <c r="N59" s="64"/>
      <c r="O59" s="99"/>
      <c r="Q59" s="538">
        <f t="shared" si="212"/>
        <v>0</v>
      </c>
      <c r="R59" s="538"/>
      <c r="S59" s="538"/>
      <c r="T59" s="1513"/>
      <c r="U59" s="1514"/>
      <c r="V59" s="628"/>
      <c r="W59" s="642"/>
      <c r="X59" s="642"/>
      <c r="Y59" s="642"/>
      <c r="Z59" s="643"/>
      <c r="AA59" s="644"/>
      <c r="AB59" s="644"/>
      <c r="AC59" s="644"/>
      <c r="AD59" s="644"/>
      <c r="AE59" s="644"/>
      <c r="AF59" s="644"/>
      <c r="AG59" s="623"/>
      <c r="AH59" s="628"/>
      <c r="GW59" s="640"/>
      <c r="HL59" s="624"/>
    </row>
    <row r="60" spans="1:221" ht="12" customHeight="1">
      <c r="A60" s="1032"/>
      <c r="B60" s="1032"/>
      <c r="C60" s="1" t="s">
        <v>1550</v>
      </c>
      <c r="D60" s="1"/>
      <c r="E60" s="1"/>
      <c r="F60" s="1"/>
      <c r="G60" s="44"/>
      <c r="H60" s="345">
        <f>SUM(H58:H59)</f>
        <v>0</v>
      </c>
      <c r="I60" s="345">
        <f>SUM(I58:I59)</f>
        <v>16</v>
      </c>
      <c r="J60" s="345">
        <f>SUM(J58:J59)</f>
        <v>32</v>
      </c>
      <c r="K60" s="345">
        <f>SUM(K58:K59)</f>
        <v>0</v>
      </c>
      <c r="L60" s="345">
        <f>SUM(L58:L59)</f>
        <v>0</v>
      </c>
      <c r="M60" s="345">
        <f t="shared" si="211"/>
        <v>48</v>
      </c>
      <c r="N60" s="64"/>
      <c r="O60" s="99"/>
      <c r="Q60" s="538">
        <f t="shared" si="212"/>
        <v>48</v>
      </c>
      <c r="R60" s="538"/>
      <c r="S60" s="538"/>
      <c r="T60" s="1513"/>
      <c r="U60" s="1514"/>
      <c r="V60" s="642"/>
      <c r="W60" s="642"/>
      <c r="X60" s="642"/>
      <c r="Y60" s="642"/>
      <c r="Z60" s="643"/>
      <c r="AA60" s="644"/>
      <c r="AB60" s="644"/>
      <c r="AC60" s="644"/>
      <c r="AD60" s="644"/>
      <c r="AE60" s="644"/>
      <c r="AF60" s="644"/>
      <c r="AG60" s="623"/>
      <c r="AH60" s="628"/>
      <c r="GW60" s="640"/>
      <c r="HL60" s="624"/>
    </row>
    <row r="61" spans="1:221" ht="12" customHeight="1">
      <c r="A61" s="1032"/>
      <c r="B61" s="1032"/>
      <c r="C61" s="1" t="s">
        <v>3297</v>
      </c>
      <c r="D61" s="1"/>
      <c r="E61" s="1"/>
      <c r="F61" s="1"/>
      <c r="G61" s="44"/>
      <c r="H61" s="345">
        <f>BT48</f>
        <v>0</v>
      </c>
      <c r="I61" s="345">
        <f>BU48</f>
        <v>0</v>
      </c>
      <c r="J61" s="345">
        <f>BV48</f>
        <v>1</v>
      </c>
      <c r="K61" s="345">
        <f>BW48</f>
        <v>0</v>
      </c>
      <c r="L61" s="345">
        <f>BX48</f>
        <v>0</v>
      </c>
      <c r="M61" s="345">
        <f t="shared" si="211"/>
        <v>1</v>
      </c>
      <c r="N61" s="61" t="s">
        <v>2934</v>
      </c>
      <c r="O61" s="99"/>
      <c r="Q61" s="538">
        <f t="shared" si="212"/>
        <v>1</v>
      </c>
      <c r="R61" s="538"/>
      <c r="S61" s="538"/>
      <c r="T61" s="1513"/>
      <c r="U61" s="1514"/>
      <c r="V61" s="642"/>
      <c r="W61" s="642"/>
      <c r="X61" s="642"/>
      <c r="Y61" s="642"/>
      <c r="Z61" s="643"/>
      <c r="AA61" s="644"/>
      <c r="AB61" s="644"/>
      <c r="AC61" s="644"/>
      <c r="AD61" s="644"/>
      <c r="AE61" s="644"/>
      <c r="AF61" s="644"/>
      <c r="AG61" s="643"/>
      <c r="AH61" s="628"/>
      <c r="GW61" s="640"/>
      <c r="HL61" s="624"/>
    </row>
    <row r="62" spans="1:221" ht="12" customHeight="1">
      <c r="A62" s="1032"/>
      <c r="B62" s="1032"/>
      <c r="C62" s="1" t="s">
        <v>705</v>
      </c>
      <c r="D62" s="1"/>
      <c r="E62" s="1"/>
      <c r="F62" s="1"/>
      <c r="G62" s="44"/>
      <c r="H62" s="345">
        <f>SUM(H60:H61)</f>
        <v>0</v>
      </c>
      <c r="I62" s="345">
        <f>SUM(I60:I61)</f>
        <v>16</v>
      </c>
      <c r="J62" s="345">
        <f>SUM(J60:J61)</f>
        <v>33</v>
      </c>
      <c r="K62" s="345">
        <f>SUM(K60:K61)</f>
        <v>0</v>
      </c>
      <c r="L62" s="345">
        <f>SUM(L60:L61)</f>
        <v>0</v>
      </c>
      <c r="M62" s="345">
        <f t="shared" si="211"/>
        <v>49</v>
      </c>
      <c r="O62" s="99"/>
      <c r="Q62" s="538">
        <f t="shared" si="212"/>
        <v>49</v>
      </c>
      <c r="R62" s="538"/>
      <c r="S62" s="538"/>
      <c r="T62" s="1516"/>
      <c r="U62" s="1517"/>
      <c r="V62" s="642"/>
      <c r="W62" s="642"/>
      <c r="X62" s="642"/>
      <c r="Y62" s="642"/>
      <c r="Z62" s="643"/>
      <c r="AA62" s="644"/>
      <c r="AB62" s="644"/>
      <c r="AC62" s="644"/>
      <c r="AD62" s="644"/>
      <c r="AE62" s="644"/>
      <c r="AF62" s="644"/>
      <c r="AG62" s="639"/>
      <c r="AH62" s="628"/>
      <c r="GW62" s="640"/>
      <c r="HL62" s="624"/>
    </row>
    <row r="63" spans="1:221" ht="12" customHeight="1">
      <c r="A63" s="1032"/>
      <c r="B63" s="1032"/>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032"/>
      <c r="B64" s="1032"/>
      <c r="C64" s="1" t="s">
        <v>1329</v>
      </c>
      <c r="D64" s="1"/>
      <c r="E64" s="131"/>
      <c r="F64" s="1"/>
      <c r="G64" s="44" t="s">
        <v>1561</v>
      </c>
      <c r="H64" s="343">
        <f>AZ48</f>
        <v>0</v>
      </c>
      <c r="I64" s="343">
        <f>BA48</f>
        <v>13</v>
      </c>
      <c r="J64" s="343">
        <f>BB48</f>
        <v>27</v>
      </c>
      <c r="K64" s="343">
        <f>BC48</f>
        <v>0</v>
      </c>
      <c r="L64" s="343">
        <f>BD48</f>
        <v>0</v>
      </c>
      <c r="M64" s="343">
        <f>SUM(H64:L64)</f>
        <v>40</v>
      </c>
      <c r="N64" s="61"/>
      <c r="O64" s="99"/>
      <c r="Q64" s="538">
        <f>ABS(M64-AF64)</f>
        <v>40</v>
      </c>
      <c r="R64" s="538"/>
      <c r="S64" s="538"/>
      <c r="T64" s="1511"/>
      <c r="U64" s="1512"/>
      <c r="V64" s="642"/>
      <c r="W64" s="642"/>
      <c r="X64" s="646"/>
      <c r="Y64" s="642"/>
      <c r="Z64" s="643"/>
      <c r="AA64" s="644"/>
      <c r="AB64" s="644"/>
      <c r="AC64" s="644"/>
      <c r="AD64" s="644"/>
      <c r="AE64" s="644"/>
      <c r="AF64" s="644"/>
      <c r="AG64" s="643"/>
      <c r="AH64" s="628"/>
      <c r="GW64" s="640"/>
      <c r="HL64" s="624"/>
    </row>
    <row r="65" spans="1:220" ht="12" customHeight="1">
      <c r="A65" s="1032"/>
      <c r="B65" s="1032"/>
      <c r="C65" s="44" t="s">
        <v>3298</v>
      </c>
      <c r="D65" s="1"/>
      <c r="E65" s="131"/>
      <c r="F65" s="1"/>
      <c r="G65" s="44" t="s">
        <v>124</v>
      </c>
      <c r="H65" s="344">
        <f>AU48</f>
        <v>0</v>
      </c>
      <c r="I65" s="344">
        <f>AV48</f>
        <v>3</v>
      </c>
      <c r="J65" s="344">
        <f>AW48</f>
        <v>5</v>
      </c>
      <c r="K65" s="344">
        <f>AX48</f>
        <v>0</v>
      </c>
      <c r="L65" s="344">
        <f>AY48</f>
        <v>0</v>
      </c>
      <c r="M65" s="346">
        <f>SUM(H65:L65)</f>
        <v>8</v>
      </c>
      <c r="N65" s="61"/>
      <c r="O65" s="99"/>
      <c r="Q65" s="538">
        <f>ABS(M65-AF65)</f>
        <v>8</v>
      </c>
      <c r="R65" s="538"/>
      <c r="S65" s="538"/>
      <c r="T65" s="1513"/>
      <c r="U65" s="1514"/>
      <c r="V65" s="643"/>
      <c r="W65" s="642"/>
      <c r="X65" s="646"/>
      <c r="Y65" s="642"/>
      <c r="Z65" s="643"/>
      <c r="AA65" s="644"/>
      <c r="AB65" s="644"/>
      <c r="AC65" s="644"/>
      <c r="AD65" s="644"/>
      <c r="AE65" s="644"/>
      <c r="AF65" s="644"/>
      <c r="AG65" s="643"/>
      <c r="AH65" s="628"/>
      <c r="GW65" s="640"/>
      <c r="HL65" s="624"/>
    </row>
    <row r="66" spans="1:220" ht="12" customHeight="1">
      <c r="A66" s="1032"/>
      <c r="B66" s="1032"/>
      <c r="C66" s="5"/>
      <c r="D66" s="1"/>
      <c r="E66" s="131"/>
      <c r="F66" s="1"/>
      <c r="G66" s="44" t="s">
        <v>705</v>
      </c>
      <c r="H66" s="345">
        <f>SUM(H64:H65)</f>
        <v>0</v>
      </c>
      <c r="I66" s="345">
        <f>SUM(I64:I65)</f>
        <v>16</v>
      </c>
      <c r="J66" s="345">
        <f>SUM(J64:J65)</f>
        <v>32</v>
      </c>
      <c r="K66" s="345">
        <f>SUM(K64:K65)</f>
        <v>0</v>
      </c>
      <c r="L66" s="345">
        <f>SUM(L64:L65)</f>
        <v>0</v>
      </c>
      <c r="M66" s="345">
        <f>SUM(H66:L66)</f>
        <v>48</v>
      </c>
      <c r="N66" s="61"/>
      <c r="O66" s="99"/>
      <c r="Q66" s="538">
        <f>ABS(M66-AF66)</f>
        <v>48</v>
      </c>
      <c r="R66" s="538"/>
      <c r="S66" s="538"/>
      <c r="T66" s="1516"/>
      <c r="U66" s="1517"/>
      <c r="V66" s="645"/>
      <c r="W66" s="642"/>
      <c r="X66" s="646"/>
      <c r="Y66" s="642"/>
      <c r="Z66" s="643"/>
      <c r="AA66" s="644"/>
      <c r="AB66" s="644"/>
      <c r="AC66" s="644"/>
      <c r="AD66" s="644"/>
      <c r="AE66" s="644"/>
      <c r="AF66" s="644"/>
      <c r="AG66" s="643"/>
      <c r="AH66" s="628"/>
      <c r="GW66" s="640"/>
      <c r="HL66" s="624"/>
    </row>
    <row r="67" spans="1:220" ht="12" customHeight="1">
      <c r="A67" s="1032"/>
      <c r="B67" s="1032"/>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032"/>
      <c r="B68" s="1032"/>
      <c r="C68" s="1" t="s">
        <v>1284</v>
      </c>
      <c r="D68" s="1"/>
      <c r="E68" s="131"/>
      <c r="F68" s="1"/>
      <c r="G68" s="44" t="s">
        <v>1561</v>
      </c>
      <c r="H68" s="343">
        <f>BO48</f>
        <v>0</v>
      </c>
      <c r="I68" s="343">
        <f>BP48</f>
        <v>0</v>
      </c>
      <c r="J68" s="343">
        <f>BQ48</f>
        <v>0</v>
      </c>
      <c r="K68" s="343">
        <f>BR48</f>
        <v>0</v>
      </c>
      <c r="L68" s="343">
        <f>BS48</f>
        <v>0</v>
      </c>
      <c r="M68" s="343">
        <f>SUM(H68:L68)</f>
        <v>0</v>
      </c>
      <c r="N68" s="61"/>
      <c r="O68" s="99"/>
      <c r="Q68" s="538">
        <f>ABS(M68-AF68)</f>
        <v>0</v>
      </c>
      <c r="R68" s="538"/>
      <c r="S68" s="538"/>
      <c r="T68" s="1511"/>
      <c r="U68" s="1512"/>
      <c r="V68" s="628"/>
      <c r="W68" s="642"/>
      <c r="X68" s="646"/>
      <c r="Y68" s="642"/>
      <c r="Z68" s="643"/>
      <c r="AA68" s="644"/>
      <c r="AB68" s="644"/>
      <c r="AC68" s="644"/>
      <c r="AD68" s="644"/>
      <c r="AE68" s="644"/>
      <c r="AF68" s="644"/>
      <c r="AG68" s="643"/>
      <c r="AH68" s="628"/>
      <c r="GW68" s="640"/>
      <c r="HL68" s="624"/>
    </row>
    <row r="69" spans="1:220" ht="12" customHeight="1">
      <c r="A69" s="1032"/>
      <c r="B69" s="1032"/>
      <c r="C69" s="44" t="s">
        <v>3298</v>
      </c>
      <c r="D69" s="1"/>
      <c r="E69" s="131"/>
      <c r="F69" s="1"/>
      <c r="G69" s="44" t="s">
        <v>124</v>
      </c>
      <c r="H69" s="344">
        <f>BJ48</f>
        <v>0</v>
      </c>
      <c r="I69" s="344">
        <f>BK48</f>
        <v>0</v>
      </c>
      <c r="J69" s="344">
        <f>BL48</f>
        <v>0</v>
      </c>
      <c r="K69" s="344">
        <f>BM48</f>
        <v>0</v>
      </c>
      <c r="L69" s="344">
        <f>BN48</f>
        <v>0</v>
      </c>
      <c r="M69" s="346">
        <f>SUM(H69:L69)</f>
        <v>0</v>
      </c>
      <c r="N69" s="61"/>
      <c r="O69" s="99"/>
      <c r="Q69" s="538">
        <f>ABS(M69-AF69)</f>
        <v>0</v>
      </c>
      <c r="R69" s="538"/>
      <c r="S69" s="538"/>
      <c r="T69" s="1513"/>
      <c r="U69" s="1514"/>
      <c r="V69" s="647"/>
      <c r="W69" s="642"/>
      <c r="X69" s="646"/>
      <c r="Y69" s="642"/>
      <c r="Z69" s="643"/>
      <c r="AA69" s="644"/>
      <c r="AB69" s="644"/>
      <c r="AC69" s="644"/>
      <c r="AD69" s="644"/>
      <c r="AE69" s="644"/>
      <c r="AF69" s="644"/>
      <c r="AG69" s="643"/>
      <c r="AH69" s="628"/>
      <c r="GW69" s="640"/>
      <c r="HL69" s="624"/>
    </row>
    <row r="70" spans="1:220" ht="12" customHeight="1">
      <c r="A70" s="1032"/>
      <c r="B70" s="1032"/>
      <c r="C70" s="5"/>
      <c r="D70" s="1"/>
      <c r="E70" s="131"/>
      <c r="F70" s="1"/>
      <c r="G70" s="44" t="s">
        <v>705</v>
      </c>
      <c r="H70" s="345">
        <f>SUM(H68:H69)</f>
        <v>0</v>
      </c>
      <c r="I70" s="345">
        <f>SUM(I68:I69)</f>
        <v>0</v>
      </c>
      <c r="J70" s="345">
        <f>SUM(J68:J69)</f>
        <v>0</v>
      </c>
      <c r="K70" s="345">
        <f>SUM(K68:K69)</f>
        <v>0</v>
      </c>
      <c r="L70" s="345">
        <f>SUM(L68:L69)</f>
        <v>0</v>
      </c>
      <c r="M70" s="345">
        <f>SUM(H70:L70)</f>
        <v>0</v>
      </c>
      <c r="N70" s="61"/>
      <c r="O70" s="99"/>
      <c r="Q70" s="538">
        <f>ABS(M70-AF70)</f>
        <v>0</v>
      </c>
      <c r="R70" s="538"/>
      <c r="S70" s="538"/>
      <c r="T70" s="1516"/>
      <c r="U70" s="1517"/>
      <c r="V70" s="645"/>
      <c r="W70" s="642"/>
      <c r="X70" s="646"/>
      <c r="Y70" s="642"/>
      <c r="Z70" s="643"/>
      <c r="AA70" s="644"/>
      <c r="AB70" s="644"/>
      <c r="AC70" s="644"/>
      <c r="AD70" s="644"/>
      <c r="AE70" s="644"/>
      <c r="AF70" s="644"/>
      <c r="AG70" s="643"/>
      <c r="AH70" s="628"/>
      <c r="GW70" s="640"/>
      <c r="HL70" s="624"/>
    </row>
    <row r="71" spans="1:220" ht="12" customHeight="1">
      <c r="A71" s="1032"/>
      <c r="B71" s="1032"/>
      <c r="C71" s="1" t="s">
        <v>41</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032"/>
      <c r="B72" s="1032"/>
      <c r="C72" s="1"/>
      <c r="D72" s="1"/>
      <c r="E72" s="124" t="s">
        <v>3023</v>
      </c>
      <c r="F72" s="1"/>
      <c r="G72" s="44" t="s">
        <v>1874</v>
      </c>
      <c r="H72" s="343">
        <f>DC48</f>
        <v>0</v>
      </c>
      <c r="I72" s="343">
        <f>DD48</f>
        <v>0</v>
      </c>
      <c r="J72" s="343">
        <f>DE48</f>
        <v>0</v>
      </c>
      <c r="K72" s="343">
        <f>DF48</f>
        <v>0</v>
      </c>
      <c r="L72" s="343">
        <f>DG48</f>
        <v>0</v>
      </c>
      <c r="M72" s="343">
        <f t="shared" ref="M72:M82" si="213">SUM(H72:L72)</f>
        <v>0</v>
      </c>
      <c r="N72" s="31"/>
      <c r="O72" s="99"/>
      <c r="Q72" s="538">
        <f t="shared" ref="Q72:Q80" si="214">ABS(M72-AF72)</f>
        <v>0</v>
      </c>
      <c r="R72" s="538"/>
      <c r="S72" s="538"/>
      <c r="T72" s="1511"/>
      <c r="U72" s="1512"/>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032"/>
      <c r="B73" s="1032"/>
      <c r="C73" s="1"/>
      <c r="D73" s="1"/>
      <c r="E73" s="131"/>
      <c r="F73" s="1"/>
      <c r="G73" s="44" t="s">
        <v>333</v>
      </c>
      <c r="H73" s="347">
        <f>DH48</f>
        <v>0</v>
      </c>
      <c r="I73" s="347">
        <f>DI48</f>
        <v>0</v>
      </c>
      <c r="J73" s="347">
        <f>DJ48</f>
        <v>0</v>
      </c>
      <c r="K73" s="347">
        <f>DK48</f>
        <v>0</v>
      </c>
      <c r="L73" s="347">
        <f>DL48</f>
        <v>0</v>
      </c>
      <c r="M73" s="347">
        <f t="shared" si="213"/>
        <v>0</v>
      </c>
      <c r="N73" s="64"/>
      <c r="O73" s="99"/>
      <c r="Q73" s="538">
        <f t="shared" si="214"/>
        <v>0</v>
      </c>
      <c r="R73" s="538"/>
      <c r="S73" s="538"/>
      <c r="T73" s="1513"/>
      <c r="U73" s="1514"/>
      <c r="V73" s="642"/>
      <c r="W73" s="642"/>
      <c r="X73" s="646"/>
      <c r="Y73" s="642"/>
      <c r="Z73" s="643"/>
      <c r="AA73" s="644"/>
      <c r="AB73" s="644"/>
      <c r="AC73" s="644"/>
      <c r="AD73" s="644"/>
      <c r="AE73" s="644"/>
      <c r="AF73" s="644"/>
      <c r="AG73" s="623"/>
      <c r="AH73" s="628"/>
      <c r="GW73" s="640"/>
      <c r="HL73" s="624"/>
    </row>
    <row r="74" spans="1:220" ht="12" customHeight="1">
      <c r="A74" s="1032"/>
      <c r="B74" s="1032"/>
      <c r="C74" s="5"/>
      <c r="D74" s="1"/>
      <c r="E74" s="131"/>
      <c r="F74" s="1"/>
      <c r="G74" s="44" t="s">
        <v>33</v>
      </c>
      <c r="H74" s="345">
        <f>SUM(H72:H73)+DM48</f>
        <v>0</v>
      </c>
      <c r="I74" s="345">
        <f>SUM(I72:I73)+DN48</f>
        <v>0</v>
      </c>
      <c r="J74" s="345">
        <f>SUM(J72:J73)+DO48</f>
        <v>1</v>
      </c>
      <c r="K74" s="345">
        <f>SUM(K72:K73)+DP48</f>
        <v>0</v>
      </c>
      <c r="L74" s="345">
        <f>SUM(L72:L73)+DQ48</f>
        <v>0</v>
      </c>
      <c r="M74" s="345">
        <f t="shared" si="213"/>
        <v>1</v>
      </c>
      <c r="N74" s="61"/>
      <c r="O74" s="99"/>
      <c r="Q74" s="538">
        <f t="shared" si="214"/>
        <v>1</v>
      </c>
      <c r="R74" s="538"/>
      <c r="S74" s="538"/>
      <c r="T74" s="1513"/>
      <c r="U74" s="1514"/>
      <c r="V74" s="645"/>
      <c r="W74" s="642"/>
      <c r="X74" s="646"/>
      <c r="Y74" s="642"/>
      <c r="Z74" s="647"/>
      <c r="AA74" s="644"/>
      <c r="AB74" s="644"/>
      <c r="AC74" s="644"/>
      <c r="AD74" s="644"/>
      <c r="AE74" s="644"/>
      <c r="AF74" s="644"/>
      <c r="AG74" s="643"/>
      <c r="AH74" s="628"/>
      <c r="GW74" s="640"/>
      <c r="HL74" s="624"/>
    </row>
    <row r="75" spans="1:220" ht="12" customHeight="1">
      <c r="A75" s="1032"/>
      <c r="B75" s="1032"/>
      <c r="C75" s="1"/>
      <c r="D75" s="1"/>
      <c r="E75" s="124" t="s">
        <v>2852</v>
      </c>
      <c r="F75" s="1"/>
      <c r="G75" s="44" t="s">
        <v>1874</v>
      </c>
      <c r="H75" s="343">
        <f>DR48</f>
        <v>0</v>
      </c>
      <c r="I75" s="343">
        <f>DS48</f>
        <v>16</v>
      </c>
      <c r="J75" s="343">
        <f>DT48</f>
        <v>32</v>
      </c>
      <c r="K75" s="343">
        <f>DU48</f>
        <v>0</v>
      </c>
      <c r="L75" s="343">
        <f>DV48</f>
        <v>0</v>
      </c>
      <c r="M75" s="343">
        <f t="shared" si="213"/>
        <v>48</v>
      </c>
      <c r="N75" s="31"/>
      <c r="O75" s="99"/>
      <c r="Q75" s="538">
        <f t="shared" si="214"/>
        <v>48</v>
      </c>
      <c r="R75" s="538"/>
      <c r="S75" s="538"/>
      <c r="T75" s="1513"/>
      <c r="U75" s="1514"/>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333</v>
      </c>
      <c r="H76" s="347">
        <f>DW48</f>
        <v>0</v>
      </c>
      <c r="I76" s="347">
        <f>DX48</f>
        <v>0</v>
      </c>
      <c r="J76" s="347">
        <f>DY48</f>
        <v>0</v>
      </c>
      <c r="K76" s="347">
        <f>DZ48</f>
        <v>0</v>
      </c>
      <c r="L76" s="347">
        <f>EA48</f>
        <v>0</v>
      </c>
      <c r="M76" s="347">
        <f t="shared" si="213"/>
        <v>0</v>
      </c>
      <c r="N76" s="64"/>
      <c r="O76" s="99"/>
      <c r="Q76" s="538">
        <f t="shared" si="214"/>
        <v>0</v>
      </c>
      <c r="R76" s="538"/>
      <c r="S76" s="538"/>
      <c r="T76" s="1513"/>
      <c r="U76" s="1514"/>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0</v>
      </c>
      <c r="I77" s="345">
        <f>SUM(I75:I76)+EC48</f>
        <v>16</v>
      </c>
      <c r="J77" s="345">
        <f>SUM(J75:J76)+ED48</f>
        <v>32</v>
      </c>
      <c r="K77" s="345">
        <f>SUM(K75:K76)+EE48</f>
        <v>0</v>
      </c>
      <c r="L77" s="345">
        <f>SUM(L75:L76)+EF48</f>
        <v>0</v>
      </c>
      <c r="M77" s="345">
        <f t="shared" si="213"/>
        <v>48</v>
      </c>
      <c r="N77" s="61"/>
      <c r="O77" s="99"/>
      <c r="Q77" s="538">
        <f t="shared" si="214"/>
        <v>48</v>
      </c>
      <c r="R77" s="538"/>
      <c r="S77" s="538"/>
      <c r="T77" s="1513"/>
      <c r="U77" s="1514"/>
      <c r="V77" s="645"/>
      <c r="W77" s="642"/>
      <c r="X77" s="646"/>
      <c r="Y77" s="642"/>
      <c r="Z77" s="647"/>
      <c r="AA77" s="644"/>
      <c r="AB77" s="644"/>
      <c r="AC77" s="644"/>
      <c r="AD77" s="644"/>
      <c r="AE77" s="644"/>
      <c r="AF77" s="644"/>
      <c r="AG77" s="643"/>
      <c r="AH77" s="628"/>
      <c r="GW77" s="640"/>
      <c r="HL77" s="624"/>
    </row>
    <row r="78" spans="1:220" ht="12" customHeight="1">
      <c r="C78" s="1"/>
      <c r="D78" s="1"/>
      <c r="E78" s="1030" t="s">
        <v>1859</v>
      </c>
      <c r="F78" s="1030"/>
      <c r="G78" s="44" t="s">
        <v>1874</v>
      </c>
      <c r="H78" s="343">
        <f>EG48</f>
        <v>0</v>
      </c>
      <c r="I78" s="343">
        <f>EH48</f>
        <v>0</v>
      </c>
      <c r="J78" s="343">
        <f>EI48</f>
        <v>0</v>
      </c>
      <c r="K78" s="343">
        <f>EJ48</f>
        <v>0</v>
      </c>
      <c r="L78" s="343">
        <f>EK48</f>
        <v>0</v>
      </c>
      <c r="M78" s="343">
        <f t="shared" si="213"/>
        <v>0</v>
      </c>
      <c r="N78" s="31"/>
      <c r="O78" s="99"/>
      <c r="Q78" s="538">
        <f t="shared" si="214"/>
        <v>0</v>
      </c>
      <c r="R78" s="538"/>
      <c r="S78" s="538"/>
      <c r="T78" s="1513"/>
      <c r="U78" s="1514"/>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030"/>
      <c r="F79" s="1030"/>
      <c r="G79" s="44" t="s">
        <v>333</v>
      </c>
      <c r="H79" s="347">
        <f>EL48</f>
        <v>0</v>
      </c>
      <c r="I79" s="347">
        <f>EM48</f>
        <v>0</v>
      </c>
      <c r="J79" s="347">
        <f>EN48</f>
        <v>0</v>
      </c>
      <c r="K79" s="347">
        <f>EO48</f>
        <v>0</v>
      </c>
      <c r="L79" s="347">
        <f>EP48</f>
        <v>0</v>
      </c>
      <c r="M79" s="347">
        <f t="shared" si="213"/>
        <v>0</v>
      </c>
      <c r="N79" s="64"/>
      <c r="O79" s="99"/>
      <c r="Q79" s="538">
        <f t="shared" si="214"/>
        <v>0</v>
      </c>
      <c r="R79" s="538"/>
      <c r="S79" s="538"/>
      <c r="T79" s="1513"/>
      <c r="U79" s="1514"/>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0</v>
      </c>
      <c r="I80" s="345">
        <f>SUM(I78:I79)+ER48</f>
        <v>0</v>
      </c>
      <c r="J80" s="345">
        <f>SUM(J78:J79)+ES48</f>
        <v>0</v>
      </c>
      <c r="K80" s="345">
        <f>SUM(K78:K79)+ET48</f>
        <v>0</v>
      </c>
      <c r="L80" s="345">
        <f>SUM(L78:L79)+EU48</f>
        <v>0</v>
      </c>
      <c r="M80" s="345">
        <f t="shared" si="213"/>
        <v>0</v>
      </c>
      <c r="N80" s="61"/>
      <c r="O80" s="99"/>
      <c r="Q80" s="538">
        <f t="shared" si="214"/>
        <v>0</v>
      </c>
      <c r="R80" s="538"/>
      <c r="S80" s="538"/>
      <c r="T80" s="1513"/>
      <c r="U80" s="1514"/>
      <c r="V80" s="645"/>
      <c r="W80" s="642"/>
      <c r="X80" s="646"/>
      <c r="Y80" s="642"/>
      <c r="Z80" s="647"/>
      <c r="AA80" s="644"/>
      <c r="AB80" s="644"/>
      <c r="AC80" s="644"/>
      <c r="AD80" s="644"/>
      <c r="AE80" s="644"/>
      <c r="AF80" s="644"/>
      <c r="AG80" s="643"/>
      <c r="AH80" s="628"/>
      <c r="GW80" s="640"/>
      <c r="HL80" s="624"/>
    </row>
    <row r="81" spans="1:220" ht="12" customHeight="1">
      <c r="C81" s="1"/>
      <c r="D81" s="1"/>
      <c r="E81" s="131" t="s">
        <v>399</v>
      </c>
      <c r="F81" s="1"/>
      <c r="G81" s="44"/>
      <c r="H81" s="1584"/>
      <c r="I81" s="1584"/>
      <c r="J81" s="1584"/>
      <c r="K81" s="1584"/>
      <c r="L81" s="1584"/>
      <c r="M81" s="343">
        <f t="shared" si="213"/>
        <v>0</v>
      </c>
      <c r="N81" s="31"/>
      <c r="O81" s="99"/>
      <c r="T81" s="1513"/>
      <c r="U81" s="1514"/>
      <c r="V81" s="642"/>
      <c r="W81" s="642"/>
      <c r="X81" s="642"/>
      <c r="Y81" s="642"/>
      <c r="Z81" s="643"/>
      <c r="AA81" s="644"/>
      <c r="AB81" s="644"/>
      <c r="AC81" s="644"/>
      <c r="AD81" s="644"/>
      <c r="AE81" s="644"/>
      <c r="AF81" s="644"/>
      <c r="AG81" s="623"/>
      <c r="AH81" s="628"/>
      <c r="GW81" s="640"/>
      <c r="HL81" s="624"/>
    </row>
    <row r="82" spans="1:220" ht="12" customHeight="1">
      <c r="A82" s="1042" t="str">
        <f>IF(AND('Part IV-Uses of Funds'!$T$162="Yes",'Part IX A-Scoring Criteria'!$O$240&gt;0,M82&lt;1),"SHOW HISTORIC UNITS HERE &gt;&gt;&gt;&gt;","")</f>
        <v/>
      </c>
      <c r="B82" s="1042"/>
      <c r="C82" s="1042"/>
      <c r="D82" s="1042"/>
      <c r="E82" s="762" t="s">
        <v>400</v>
      </c>
      <c r="F82" s="1"/>
      <c r="G82" s="44"/>
      <c r="H82" s="1585"/>
      <c r="I82" s="1585"/>
      <c r="J82" s="1585"/>
      <c r="K82" s="1585"/>
      <c r="L82" s="1585"/>
      <c r="M82" s="347">
        <f t="shared" si="213"/>
        <v>0</v>
      </c>
      <c r="N82" s="64"/>
      <c r="O82" s="99"/>
      <c r="T82" s="1516"/>
      <c r="U82" s="1517"/>
      <c r="V82" s="642"/>
      <c r="W82" s="642"/>
      <c r="X82" s="642"/>
      <c r="Y82" s="642"/>
      <c r="Z82" s="643"/>
      <c r="AA82" s="644"/>
      <c r="AB82" s="644"/>
      <c r="AC82" s="644"/>
      <c r="AD82" s="644"/>
      <c r="AE82" s="644"/>
      <c r="AF82" s="644"/>
      <c r="AG82" s="623"/>
      <c r="AH82" s="628"/>
      <c r="GW82" s="640"/>
      <c r="HL82" s="624"/>
    </row>
    <row r="83" spans="1:220" ht="12" customHeight="1">
      <c r="C83" s="1" t="s">
        <v>42</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43</v>
      </c>
      <c r="F84" s="1"/>
      <c r="G84" s="44"/>
      <c r="H84" s="343">
        <f>SUM(H85:H88)</f>
        <v>0</v>
      </c>
      <c r="I84" s="343">
        <f>SUM(I85:I88)</f>
        <v>16</v>
      </c>
      <c r="J84" s="343">
        <f>SUM(J85:J88)</f>
        <v>1</v>
      </c>
      <c r="K84" s="343">
        <f>SUM(K85:K88)</f>
        <v>0</v>
      </c>
      <c r="L84" s="343">
        <f>SUM(L85:L88)</f>
        <v>0</v>
      </c>
      <c r="M84" s="343">
        <f t="shared" ref="M84:M92" si="215">SUM(H84:L84)</f>
        <v>17</v>
      </c>
      <c r="N84" s="31"/>
      <c r="O84" s="99"/>
      <c r="Q84" s="538">
        <f>ABS(M84-AF84)</f>
        <v>17</v>
      </c>
      <c r="R84" s="538"/>
      <c r="S84" s="538"/>
      <c r="T84" s="1511"/>
      <c r="U84" s="1512"/>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3402</v>
      </c>
      <c r="H85" s="346">
        <f>FU48</f>
        <v>0</v>
      </c>
      <c r="I85" s="346">
        <f>FV48</f>
        <v>16</v>
      </c>
      <c r="J85" s="346">
        <f>FW48</f>
        <v>1</v>
      </c>
      <c r="K85" s="346">
        <f>FX48</f>
        <v>0</v>
      </c>
      <c r="L85" s="346">
        <f>FY48</f>
        <v>0</v>
      </c>
      <c r="M85" s="344">
        <f t="shared" si="215"/>
        <v>17</v>
      </c>
      <c r="N85" s="31"/>
      <c r="O85" s="99"/>
      <c r="Q85" s="538"/>
      <c r="R85" s="538"/>
      <c r="S85" s="538"/>
      <c r="T85" s="1513"/>
      <c r="U85" s="1514"/>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3403</v>
      </c>
      <c r="H86" s="346">
        <f>FZ48</f>
        <v>0</v>
      </c>
      <c r="I86" s="346">
        <f>GA48</f>
        <v>0</v>
      </c>
      <c r="J86" s="346">
        <f>GB48</f>
        <v>0</v>
      </c>
      <c r="K86" s="346">
        <f>GC48</f>
        <v>0</v>
      </c>
      <c r="L86" s="346">
        <f>GD48</f>
        <v>0</v>
      </c>
      <c r="M86" s="344">
        <f t="shared" si="215"/>
        <v>0</v>
      </c>
      <c r="N86" s="31"/>
      <c r="O86" s="99"/>
      <c r="Q86" s="538"/>
      <c r="R86" s="538"/>
      <c r="S86" s="538"/>
      <c r="T86" s="1513"/>
      <c r="U86" s="1514"/>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3405</v>
      </c>
      <c r="H87" s="346">
        <f>GE48</f>
        <v>0</v>
      </c>
      <c r="I87" s="346">
        <f>GF48</f>
        <v>0</v>
      </c>
      <c r="J87" s="346">
        <f>GG48</f>
        <v>0</v>
      </c>
      <c r="K87" s="346">
        <f>GH48</f>
        <v>0</v>
      </c>
      <c r="L87" s="346">
        <f>GI48</f>
        <v>0</v>
      </c>
      <c r="M87" s="344">
        <f t="shared" si="215"/>
        <v>0</v>
      </c>
      <c r="N87" s="31"/>
      <c r="O87" s="99"/>
      <c r="Q87" s="538"/>
      <c r="R87" s="538"/>
      <c r="S87" s="538"/>
      <c r="T87" s="1513"/>
      <c r="U87" s="1514"/>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3404</v>
      </c>
      <c r="H88" s="346">
        <f>GJ48</f>
        <v>0</v>
      </c>
      <c r="I88" s="346">
        <f>GK48</f>
        <v>0</v>
      </c>
      <c r="J88" s="346">
        <f>GL48</f>
        <v>0</v>
      </c>
      <c r="K88" s="346">
        <f>GM48</f>
        <v>0</v>
      </c>
      <c r="L88" s="346">
        <f>GN48</f>
        <v>0</v>
      </c>
      <c r="M88" s="346">
        <f t="shared" si="215"/>
        <v>0</v>
      </c>
      <c r="N88" s="31"/>
      <c r="O88" s="99"/>
      <c r="Q88" s="538"/>
      <c r="R88" s="538"/>
      <c r="S88" s="538"/>
      <c r="T88" s="1513"/>
      <c r="U88" s="1514"/>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44</v>
      </c>
      <c r="F89" s="1"/>
      <c r="G89" s="44"/>
      <c r="H89" s="344">
        <f>FA48</f>
        <v>0</v>
      </c>
      <c r="I89" s="344">
        <f>FB48</f>
        <v>0</v>
      </c>
      <c r="J89" s="344">
        <f>FC48</f>
        <v>0</v>
      </c>
      <c r="K89" s="344">
        <f>FD48</f>
        <v>0</v>
      </c>
      <c r="L89" s="344">
        <f>FE48</f>
        <v>0</v>
      </c>
      <c r="M89" s="344">
        <f t="shared" si="215"/>
        <v>0</v>
      </c>
      <c r="N89" s="64"/>
      <c r="O89" s="99"/>
      <c r="Q89" s="538">
        <f>ABS(M89-AF89)</f>
        <v>0</v>
      </c>
      <c r="R89" s="538"/>
      <c r="S89" s="538"/>
      <c r="T89" s="1513"/>
      <c r="U89" s="1514"/>
      <c r="V89" s="628"/>
      <c r="W89" s="628"/>
      <c r="X89" s="646"/>
      <c r="Y89" s="628"/>
      <c r="Z89" s="643"/>
      <c r="AA89" s="644"/>
      <c r="AB89" s="644"/>
      <c r="AC89" s="644"/>
      <c r="AD89" s="644"/>
      <c r="AE89" s="644"/>
      <c r="AF89" s="644"/>
      <c r="AG89" s="623"/>
      <c r="AH89" s="628"/>
      <c r="GW89" s="640"/>
      <c r="HL89" s="624"/>
    </row>
    <row r="90" spans="1:220" ht="12" customHeight="1">
      <c r="C90" s="1"/>
      <c r="D90" s="1"/>
      <c r="E90" s="124" t="s">
        <v>45</v>
      </c>
      <c r="F90" s="1"/>
      <c r="G90" s="44"/>
      <c r="H90" s="344">
        <f>FP48</f>
        <v>0</v>
      </c>
      <c r="I90" s="344">
        <f>FQ48</f>
        <v>0</v>
      </c>
      <c r="J90" s="344">
        <f>FR48</f>
        <v>32</v>
      </c>
      <c r="K90" s="344">
        <f>FS48</f>
        <v>0</v>
      </c>
      <c r="L90" s="344">
        <f>FT48</f>
        <v>0</v>
      </c>
      <c r="M90" s="344">
        <f t="shared" si="215"/>
        <v>32</v>
      </c>
      <c r="N90" s="31"/>
      <c r="O90" s="99"/>
      <c r="Q90" s="538">
        <f>ABS(M90-AF90)</f>
        <v>32</v>
      </c>
      <c r="R90" s="538"/>
      <c r="S90" s="538"/>
      <c r="T90" s="1513"/>
      <c r="U90" s="1514"/>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732</v>
      </c>
      <c r="F91" s="1"/>
      <c r="G91" s="44"/>
      <c r="H91" s="344">
        <f>FK48</f>
        <v>0</v>
      </c>
      <c r="I91" s="344">
        <f>FL48</f>
        <v>0</v>
      </c>
      <c r="J91" s="344">
        <f>FM48</f>
        <v>0</v>
      </c>
      <c r="K91" s="344">
        <f>FN48</f>
        <v>0</v>
      </c>
      <c r="L91" s="344">
        <f>FO48</f>
        <v>0</v>
      </c>
      <c r="M91" s="344">
        <f t="shared" si="215"/>
        <v>0</v>
      </c>
      <c r="N91" s="64"/>
      <c r="O91" s="99"/>
      <c r="Q91" s="538">
        <f>ABS(M91-AF91)</f>
        <v>0</v>
      </c>
      <c r="R91" s="538"/>
      <c r="S91" s="538"/>
      <c r="T91" s="1513"/>
      <c r="U91" s="1514"/>
      <c r="V91" s="628"/>
      <c r="W91" s="628"/>
      <c r="X91" s="633"/>
      <c r="Y91" s="628"/>
      <c r="Z91" s="643"/>
      <c r="AA91" s="644"/>
      <c r="AB91" s="644"/>
      <c r="AC91" s="644"/>
      <c r="AD91" s="644"/>
      <c r="AE91" s="644"/>
      <c r="AF91" s="644"/>
      <c r="AG91" s="623"/>
      <c r="AH91" s="628"/>
      <c r="GW91" s="640"/>
      <c r="HL91" s="624"/>
    </row>
    <row r="92" spans="1:220" ht="12" customHeight="1">
      <c r="C92" s="1"/>
      <c r="D92" s="1"/>
      <c r="E92" s="107" t="s">
        <v>733</v>
      </c>
      <c r="F92" s="1"/>
      <c r="G92" s="44"/>
      <c r="H92" s="347">
        <f>FF48</f>
        <v>0</v>
      </c>
      <c r="I92" s="347">
        <f>FG48</f>
        <v>0</v>
      </c>
      <c r="J92" s="347">
        <f>FH48</f>
        <v>0</v>
      </c>
      <c r="K92" s="347">
        <f>FI48</f>
        <v>0</v>
      </c>
      <c r="L92" s="347">
        <f>FJ48</f>
        <v>0</v>
      </c>
      <c r="M92" s="347">
        <f t="shared" si="215"/>
        <v>0</v>
      </c>
      <c r="N92" s="31"/>
      <c r="O92" s="99"/>
      <c r="Q92" s="538">
        <f>ABS(M92-AF92)</f>
        <v>0</v>
      </c>
      <c r="R92" s="538"/>
      <c r="S92" s="538"/>
      <c r="T92" s="1516"/>
      <c r="U92" s="1517"/>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2882</v>
      </c>
      <c r="C93" s="1"/>
      <c r="D93" s="1"/>
      <c r="E93" s="1"/>
      <c r="F93" s="1"/>
      <c r="G93" s="44"/>
      <c r="H93" s="1"/>
      <c r="I93" s="1"/>
      <c r="J93" s="1"/>
      <c r="K93" s="1"/>
      <c r="L93" s="1"/>
      <c r="M93" s="1"/>
      <c r="O93" s="99"/>
      <c r="Q93" s="538"/>
      <c r="R93" s="538"/>
      <c r="S93" s="538"/>
      <c r="T93" s="406" t="str">
        <f>B93</f>
        <v>Unit Square Footage:</v>
      </c>
      <c r="U93" s="537" t="s">
        <v>1548</v>
      </c>
      <c r="V93" s="642"/>
      <c r="W93" s="642"/>
      <c r="X93" s="642"/>
      <c r="Y93" s="642"/>
      <c r="Z93" s="643"/>
      <c r="AA93" s="642"/>
      <c r="AB93" s="642"/>
      <c r="AC93" s="642"/>
      <c r="AD93" s="642"/>
      <c r="AE93" s="642"/>
      <c r="AF93" s="642"/>
      <c r="AG93" s="639"/>
      <c r="AH93" s="628"/>
      <c r="GW93" s="640"/>
      <c r="HL93" s="624"/>
    </row>
    <row r="94" spans="1:220" ht="12" customHeight="1">
      <c r="C94" s="6" t="s">
        <v>2851</v>
      </c>
      <c r="D94" s="1"/>
      <c r="E94" s="1"/>
      <c r="F94" s="1"/>
      <c r="G94" s="44" t="s">
        <v>1561</v>
      </c>
      <c r="H94" s="201">
        <f>BY48</f>
        <v>0</v>
      </c>
      <c r="I94" s="201">
        <f>BZ48</f>
        <v>8489</v>
      </c>
      <c r="J94" s="201">
        <f>CA48</f>
        <v>26595</v>
      </c>
      <c r="K94" s="201">
        <f>CB48</f>
        <v>0</v>
      </c>
      <c r="L94" s="201">
        <f>CC48</f>
        <v>0</v>
      </c>
      <c r="M94" s="201">
        <f t="shared" ref="M94:M100" si="216">SUM(H94:L94)</f>
        <v>35084</v>
      </c>
      <c r="O94" s="99"/>
      <c r="Q94" s="538">
        <f t="shared" ref="Q94:Q100" si="217">ABS(M94-AF94)</f>
        <v>35084</v>
      </c>
      <c r="R94" s="538"/>
      <c r="S94" s="538"/>
      <c r="T94" s="1511"/>
      <c r="U94" s="1512"/>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124</v>
      </c>
      <c r="H95" s="203">
        <f>CD48</f>
        <v>0</v>
      </c>
      <c r="I95" s="203">
        <f>CE48</f>
        <v>1959</v>
      </c>
      <c r="J95" s="203">
        <f>CF48</f>
        <v>4925</v>
      </c>
      <c r="K95" s="203">
        <f>CG48</f>
        <v>0</v>
      </c>
      <c r="L95" s="203">
        <f>CH48</f>
        <v>0</v>
      </c>
      <c r="M95" s="203">
        <f t="shared" si="216"/>
        <v>6884</v>
      </c>
      <c r="N95" s="6"/>
      <c r="O95" s="99"/>
      <c r="Q95" s="538">
        <f t="shared" si="217"/>
        <v>6884</v>
      </c>
      <c r="R95" s="538"/>
      <c r="S95" s="538"/>
      <c r="T95" s="1513"/>
      <c r="U95" s="1514"/>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705</v>
      </c>
      <c r="H96" s="200">
        <f>SUM(H94:H95)</f>
        <v>0</v>
      </c>
      <c r="I96" s="200">
        <f>SUM(I94:I95)</f>
        <v>10448</v>
      </c>
      <c r="J96" s="200">
        <f>SUM(J94:J95)</f>
        <v>31520</v>
      </c>
      <c r="K96" s="200">
        <f>SUM(K94:K95)</f>
        <v>0</v>
      </c>
      <c r="L96" s="200">
        <f>SUM(L94:L95)</f>
        <v>0</v>
      </c>
      <c r="M96" s="200">
        <f t="shared" si="216"/>
        <v>41968</v>
      </c>
      <c r="N96" s="6"/>
      <c r="O96" s="99"/>
      <c r="Q96" s="538">
        <f t="shared" si="217"/>
        <v>41968</v>
      </c>
      <c r="R96" s="538"/>
      <c r="S96" s="538"/>
      <c r="T96" s="1513"/>
      <c r="U96" s="1514"/>
      <c r="V96" s="645"/>
      <c r="W96" s="642"/>
      <c r="X96" s="642"/>
      <c r="Y96" s="642"/>
      <c r="Z96" s="643"/>
      <c r="AA96" s="644"/>
      <c r="AB96" s="644"/>
      <c r="AC96" s="644"/>
      <c r="AD96" s="644"/>
      <c r="AE96" s="644"/>
      <c r="AF96" s="644"/>
      <c r="AG96" s="642"/>
      <c r="AH96" s="628"/>
      <c r="GW96" s="640"/>
      <c r="HL96" s="624"/>
    </row>
    <row r="97" spans="1:222" ht="12" customHeight="1">
      <c r="C97" s="1" t="s">
        <v>333</v>
      </c>
      <c r="D97" s="1"/>
      <c r="E97" s="1"/>
      <c r="F97" s="1"/>
      <c r="G97" s="1"/>
      <c r="H97" s="200">
        <f>CN48</f>
        <v>0</v>
      </c>
      <c r="I97" s="200">
        <f>CO48</f>
        <v>0</v>
      </c>
      <c r="J97" s="200">
        <f>CP48</f>
        <v>0</v>
      </c>
      <c r="K97" s="200">
        <f>CQ48</f>
        <v>0</v>
      </c>
      <c r="L97" s="200">
        <f>CR48</f>
        <v>0</v>
      </c>
      <c r="M97" s="200">
        <f t="shared" si="216"/>
        <v>0</v>
      </c>
      <c r="O97" s="99"/>
      <c r="Q97" s="538">
        <f t="shared" si="217"/>
        <v>0</v>
      </c>
      <c r="R97" s="538"/>
      <c r="S97" s="538"/>
      <c r="T97" s="1513"/>
      <c r="U97" s="1514"/>
      <c r="V97" s="628"/>
      <c r="W97" s="642"/>
      <c r="X97" s="642"/>
      <c r="Y97" s="642"/>
      <c r="Z97" s="642"/>
      <c r="AA97" s="644"/>
      <c r="AB97" s="644"/>
      <c r="AC97" s="644"/>
      <c r="AD97" s="644"/>
      <c r="AE97" s="644"/>
      <c r="AF97" s="644"/>
      <c r="AG97" s="639"/>
      <c r="AH97" s="628"/>
      <c r="GW97" s="640"/>
      <c r="HL97" s="624"/>
    </row>
    <row r="98" spans="1:222" ht="12" customHeight="1">
      <c r="C98" s="6" t="s">
        <v>1550</v>
      </c>
      <c r="D98" s="1"/>
      <c r="E98" s="1"/>
      <c r="F98" s="1"/>
      <c r="G98" s="1"/>
      <c r="H98" s="200">
        <f>SUM(H96:H97)</f>
        <v>0</v>
      </c>
      <c r="I98" s="200">
        <f>SUM(I96:I97)</f>
        <v>10448</v>
      </c>
      <c r="J98" s="200">
        <f>SUM(J96:J97)</f>
        <v>31520</v>
      </c>
      <c r="K98" s="200">
        <f>SUM(K96:K97)</f>
        <v>0</v>
      </c>
      <c r="L98" s="200">
        <f>SUM(L96:L97)</f>
        <v>0</v>
      </c>
      <c r="M98" s="200">
        <f t="shared" si="216"/>
        <v>41968</v>
      </c>
      <c r="O98" s="99"/>
      <c r="Q98" s="538">
        <f t="shared" si="217"/>
        <v>41968</v>
      </c>
      <c r="R98" s="538"/>
      <c r="S98" s="538"/>
      <c r="T98" s="1513"/>
      <c r="U98" s="1514"/>
      <c r="V98" s="642"/>
      <c r="W98" s="642"/>
      <c r="X98" s="642"/>
      <c r="Y98" s="642"/>
      <c r="Z98" s="642"/>
      <c r="AA98" s="644"/>
      <c r="AB98" s="644"/>
      <c r="AC98" s="644"/>
      <c r="AD98" s="644"/>
      <c r="AE98" s="644"/>
      <c r="AF98" s="644"/>
      <c r="AG98" s="639"/>
      <c r="AH98" s="628"/>
      <c r="GW98" s="640"/>
      <c r="HL98" s="624"/>
    </row>
    <row r="99" spans="1:222" ht="12" customHeight="1">
      <c r="C99" s="6" t="s">
        <v>3297</v>
      </c>
      <c r="D99" s="1"/>
      <c r="E99" s="1"/>
      <c r="F99" s="1"/>
      <c r="G99" s="1"/>
      <c r="H99" s="200">
        <f>CX48</f>
        <v>0</v>
      </c>
      <c r="I99" s="200">
        <f>CY48</f>
        <v>0</v>
      </c>
      <c r="J99" s="200">
        <f>CZ48</f>
        <v>990</v>
      </c>
      <c r="K99" s="200">
        <f>DA48</f>
        <v>0</v>
      </c>
      <c r="L99" s="200">
        <f>DB48</f>
        <v>0</v>
      </c>
      <c r="M99" s="200">
        <f t="shared" si="216"/>
        <v>990</v>
      </c>
      <c r="O99" s="99"/>
      <c r="Q99" s="538">
        <f t="shared" si="217"/>
        <v>990</v>
      </c>
      <c r="R99" s="538"/>
      <c r="S99" s="538"/>
      <c r="T99" s="1513"/>
      <c r="U99" s="1514"/>
      <c r="V99" s="642"/>
      <c r="W99" s="642"/>
      <c r="X99" s="642"/>
      <c r="Y99" s="642"/>
      <c r="Z99" s="642"/>
      <c r="AA99" s="644"/>
      <c r="AB99" s="644"/>
      <c r="AC99" s="644"/>
      <c r="AD99" s="644"/>
      <c r="AE99" s="644"/>
      <c r="AF99" s="644"/>
      <c r="AG99" s="639"/>
      <c r="AH99" s="628"/>
      <c r="GW99" s="640"/>
      <c r="HL99" s="624"/>
    </row>
    <row r="100" spans="1:222" ht="12" customHeight="1">
      <c r="C100" s="6" t="s">
        <v>705</v>
      </c>
      <c r="D100" s="1"/>
      <c r="E100" s="1"/>
      <c r="F100" s="1"/>
      <c r="G100" s="1"/>
      <c r="H100" s="200">
        <f>SUM(H98:H99)</f>
        <v>0</v>
      </c>
      <c r="I100" s="200">
        <f>SUM(I98:I99)</f>
        <v>10448</v>
      </c>
      <c r="J100" s="200">
        <f>SUM(J98:J99)</f>
        <v>32510</v>
      </c>
      <c r="K100" s="200">
        <f>SUM(K98:K99)</f>
        <v>0</v>
      </c>
      <c r="L100" s="200">
        <f>SUM(L98:L99)</f>
        <v>0</v>
      </c>
      <c r="M100" s="200">
        <f t="shared" si="216"/>
        <v>42958</v>
      </c>
      <c r="O100" s="99"/>
      <c r="Q100" s="538">
        <f t="shared" si="217"/>
        <v>42958</v>
      </c>
      <c r="R100" s="538"/>
      <c r="S100" s="538"/>
      <c r="T100" s="1516"/>
      <c r="U100" s="1517"/>
      <c r="V100" s="642"/>
      <c r="W100" s="642"/>
      <c r="X100" s="642"/>
      <c r="Y100" s="642"/>
      <c r="Z100" s="642"/>
      <c r="AA100" s="644"/>
      <c r="AB100" s="644"/>
      <c r="AC100" s="644"/>
      <c r="AD100" s="644"/>
      <c r="AE100" s="644"/>
      <c r="AF100" s="644"/>
      <c r="AG100" s="639"/>
      <c r="AH100" s="628"/>
      <c r="GW100" s="640"/>
      <c r="HL100" s="624"/>
    </row>
    <row r="101" spans="1:222" ht="4.9000000000000004"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3.9" customHeight="1">
      <c r="A102" s="16" t="s">
        <v>1046</v>
      </c>
      <c r="B102" s="16" t="s">
        <v>246</v>
      </c>
      <c r="P102" s="9"/>
      <c r="Q102" s="539"/>
      <c r="R102" s="539"/>
      <c r="S102" s="539"/>
      <c r="T102" s="16" t="s">
        <v>2548</v>
      </c>
      <c r="FY102" s="624"/>
      <c r="GP102" s="635"/>
      <c r="GV102" s="624"/>
      <c r="GW102" s="640"/>
      <c r="HL102" s="624"/>
      <c r="HN102" s="640"/>
    </row>
    <row r="103" spans="1:222" ht="9" customHeight="1">
      <c r="P103" s="539"/>
    </row>
    <row r="104" spans="1:222" ht="12.6" customHeight="1">
      <c r="B104" s="16" t="s">
        <v>1417</v>
      </c>
      <c r="D104" s="131"/>
      <c r="H104" s="1043">
        <f>'Part VII-Pro Forma'!B9*L49</f>
        <v>5395.2</v>
      </c>
      <c r="I104" s="1044"/>
      <c r="K104" s="747" t="s">
        <v>3757</v>
      </c>
      <c r="O104" s="662">
        <f>H104/L49</f>
        <v>0.02</v>
      </c>
      <c r="P104" s="491"/>
      <c r="T104" s="5" t="str">
        <f>B104</f>
        <v>Ancillary Income</v>
      </c>
    </row>
    <row r="105" spans="1:222" ht="15" customHeight="1">
      <c r="B105" s="16"/>
      <c r="D105" s="131"/>
      <c r="E105" s="167"/>
      <c r="I105" s="129"/>
      <c r="P105" s="491"/>
    </row>
    <row r="106" spans="1:222" ht="13.9" customHeight="1">
      <c r="B106" s="16" t="s">
        <v>1889</v>
      </c>
      <c r="I106" s="16"/>
      <c r="K106" s="41"/>
      <c r="T106" s="5" t="str">
        <f>B106</f>
        <v>Other Income (OI) by Year:</v>
      </c>
    </row>
    <row r="107" spans="1:222" ht="15" customHeight="1">
      <c r="B107" s="16"/>
      <c r="I107" s="16"/>
      <c r="K107" s="41"/>
    </row>
    <row r="108" spans="1:222" ht="13.9" customHeight="1">
      <c r="B108" s="486" t="s">
        <v>3013</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1418</v>
      </c>
      <c r="G109" s="1586"/>
      <c r="H109" s="1586"/>
      <c r="I109" s="1586"/>
      <c r="J109" s="1586"/>
      <c r="K109" s="1587"/>
      <c r="L109" s="1586"/>
      <c r="M109" s="1586"/>
      <c r="N109" s="1586"/>
      <c r="O109" s="1586"/>
      <c r="P109" s="1586"/>
      <c r="T109" s="1511"/>
      <c r="U109" s="1512"/>
    </row>
    <row r="110" spans="1:222" ht="15" customHeight="1">
      <c r="B110" s="9" t="s">
        <v>1045</v>
      </c>
      <c r="C110" s="1588"/>
      <c r="D110" s="1589"/>
      <c r="E110" s="1589"/>
      <c r="F110" s="1590"/>
      <c r="G110" s="1591"/>
      <c r="H110" s="1591"/>
      <c r="I110" s="1591"/>
      <c r="J110" s="1591"/>
      <c r="K110" s="1591"/>
      <c r="L110" s="1591"/>
      <c r="M110" s="1591"/>
      <c r="N110" s="1591"/>
      <c r="O110" s="1591"/>
      <c r="P110" s="1591"/>
      <c r="T110" s="1513"/>
      <c r="U110" s="1514"/>
    </row>
    <row r="111" spans="1:222" ht="15" customHeight="1">
      <c r="C111" s="107" t="s">
        <v>1323</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516"/>
      <c r="U111" s="1517"/>
    </row>
    <row r="112" spans="1:222" ht="6.6" customHeight="1">
      <c r="C112" s="107"/>
      <c r="G112" s="25"/>
      <c r="H112" s="25"/>
      <c r="I112" s="25"/>
      <c r="J112" s="25"/>
      <c r="K112" s="25"/>
      <c r="L112" s="25"/>
      <c r="M112" s="25"/>
      <c r="N112" s="25"/>
      <c r="O112" s="25"/>
      <c r="P112" s="25"/>
    </row>
    <row r="113" spans="2:21" ht="15.6" customHeight="1">
      <c r="B113" s="487" t="s">
        <v>822</v>
      </c>
      <c r="G113" s="42"/>
      <c r="P113" s="9"/>
      <c r="T113" s="115" t="str">
        <f>B113</f>
        <v>NOT Included in Mgt Fee:</v>
      </c>
    </row>
    <row r="114" spans="2:21" ht="15" customHeight="1">
      <c r="B114" s="9" t="s">
        <v>699</v>
      </c>
      <c r="G114" s="1586"/>
      <c r="H114" s="1586"/>
      <c r="I114" s="1586"/>
      <c r="J114" s="1586"/>
      <c r="K114" s="1587"/>
      <c r="L114" s="1586"/>
      <c r="M114" s="1586"/>
      <c r="N114" s="1586"/>
      <c r="O114" s="1586"/>
      <c r="P114" s="1586"/>
      <c r="T114" s="1513"/>
      <c r="U114" s="1514"/>
    </row>
    <row r="115" spans="2:21" ht="15" customHeight="1">
      <c r="B115" s="9" t="s">
        <v>1045</v>
      </c>
      <c r="C115" s="1588"/>
      <c r="D115" s="1589"/>
      <c r="E115" s="1589"/>
      <c r="F115" s="1590"/>
      <c r="G115" s="1591"/>
      <c r="H115" s="1591"/>
      <c r="I115" s="1591"/>
      <c r="J115" s="1591"/>
      <c r="K115" s="1592"/>
      <c r="L115" s="1591"/>
      <c r="M115" s="1591"/>
      <c r="N115" s="1591"/>
      <c r="O115" s="1591"/>
      <c r="P115" s="1591"/>
      <c r="T115" s="1513"/>
      <c r="U115" s="1514"/>
    </row>
    <row r="116" spans="2:21" ht="15" customHeight="1">
      <c r="C116" s="107" t="s">
        <v>210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516"/>
      <c r="U116" s="1517"/>
    </row>
    <row r="117" spans="2:21" ht="42.6" customHeight="1">
      <c r="B117" s="16"/>
      <c r="G117" s="42"/>
      <c r="P117" s="9"/>
      <c r="T117" s="213" t="s">
        <v>3421</v>
      </c>
    </row>
    <row r="118" spans="2:21" ht="13.9" customHeight="1">
      <c r="B118" s="486" t="s">
        <v>3013</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1418</v>
      </c>
      <c r="G119" s="1586"/>
      <c r="H119" s="1586"/>
      <c r="I119" s="1586"/>
      <c r="J119" s="1586"/>
      <c r="K119" s="1587"/>
      <c r="L119" s="1586"/>
      <c r="M119" s="1586"/>
      <c r="N119" s="1586"/>
      <c r="O119" s="1586"/>
      <c r="P119" s="1586"/>
      <c r="T119" s="1511"/>
      <c r="U119" s="1512"/>
    </row>
    <row r="120" spans="2:21" ht="15" customHeight="1">
      <c r="B120" s="9" t="s">
        <v>1045</v>
      </c>
      <c r="C120" s="1588"/>
      <c r="D120" s="1589"/>
      <c r="E120" s="1589"/>
      <c r="F120" s="1590"/>
      <c r="G120" s="1591"/>
      <c r="H120" s="1591"/>
      <c r="I120" s="1591"/>
      <c r="J120" s="1591"/>
      <c r="K120" s="1591"/>
      <c r="L120" s="1591"/>
      <c r="M120" s="1591"/>
      <c r="N120" s="1591"/>
      <c r="O120" s="1591"/>
      <c r="P120" s="1591"/>
      <c r="T120" s="1513"/>
      <c r="U120" s="1514"/>
    </row>
    <row r="121" spans="2:21" ht="15" customHeight="1">
      <c r="C121" s="107" t="s">
        <v>1323</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516"/>
      <c r="U121" s="1517"/>
    </row>
    <row r="122" spans="2:21" ht="6.6" customHeight="1">
      <c r="C122" s="107"/>
      <c r="G122" s="25"/>
      <c r="H122" s="25"/>
      <c r="I122" s="25"/>
      <c r="J122" s="25"/>
      <c r="K122" s="25"/>
      <c r="L122" s="25"/>
      <c r="M122" s="25"/>
      <c r="N122" s="25"/>
      <c r="O122" s="25"/>
      <c r="P122" s="25"/>
    </row>
    <row r="123" spans="2:21" ht="15.6" customHeight="1">
      <c r="B123" s="487" t="s">
        <v>822</v>
      </c>
      <c r="G123" s="42"/>
      <c r="P123" s="9"/>
      <c r="T123" s="115" t="str">
        <f>B123</f>
        <v>NOT Included in Mgt Fee:</v>
      </c>
    </row>
    <row r="124" spans="2:21" ht="15" customHeight="1">
      <c r="B124" s="9" t="s">
        <v>699</v>
      </c>
      <c r="G124" s="1586"/>
      <c r="H124" s="1586"/>
      <c r="I124" s="1586"/>
      <c r="J124" s="1586"/>
      <c r="K124" s="1587"/>
      <c r="L124" s="1586"/>
      <c r="M124" s="1586"/>
      <c r="N124" s="1586"/>
      <c r="O124" s="1586"/>
      <c r="P124" s="1586"/>
      <c r="T124" s="1513"/>
      <c r="U124" s="1514"/>
    </row>
    <row r="125" spans="2:21" ht="15" customHeight="1">
      <c r="B125" s="9" t="s">
        <v>1045</v>
      </c>
      <c r="C125" s="1588"/>
      <c r="D125" s="1589"/>
      <c r="E125" s="1589"/>
      <c r="F125" s="1590"/>
      <c r="G125" s="1591"/>
      <c r="H125" s="1591"/>
      <c r="I125" s="1591"/>
      <c r="J125" s="1591"/>
      <c r="K125" s="1592"/>
      <c r="L125" s="1591"/>
      <c r="M125" s="1591"/>
      <c r="N125" s="1591"/>
      <c r="O125" s="1591"/>
      <c r="P125" s="1591"/>
      <c r="T125" s="1513"/>
      <c r="U125" s="1514"/>
    </row>
    <row r="126" spans="2:21" ht="15" customHeight="1">
      <c r="C126" s="107" t="s">
        <v>210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516"/>
      <c r="U126" s="1517"/>
    </row>
    <row r="127" spans="2:21" ht="42.6" customHeight="1">
      <c r="B127" s="16"/>
      <c r="G127" s="42"/>
      <c r="P127" s="9"/>
      <c r="T127" s="213" t="s">
        <v>3422</v>
      </c>
    </row>
    <row r="128" spans="2:21" ht="13.9" customHeight="1">
      <c r="B128" s="486" t="s">
        <v>3013</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1418</v>
      </c>
      <c r="G129" s="1586"/>
      <c r="H129" s="1586"/>
      <c r="I129" s="1586"/>
      <c r="J129" s="1586"/>
      <c r="K129" s="1587"/>
      <c r="L129" s="1586"/>
      <c r="M129" s="1586"/>
      <c r="N129" s="1586"/>
      <c r="O129" s="1586"/>
      <c r="P129" s="1586"/>
      <c r="T129" s="1511"/>
      <c r="U129" s="1512"/>
    </row>
    <row r="130" spans="1:255" ht="15" customHeight="1">
      <c r="B130" s="9" t="s">
        <v>1045</v>
      </c>
      <c r="C130" s="1588"/>
      <c r="D130" s="1589"/>
      <c r="E130" s="1589"/>
      <c r="F130" s="1590"/>
      <c r="G130" s="1591"/>
      <c r="H130" s="1591"/>
      <c r="I130" s="1591"/>
      <c r="J130" s="1591"/>
      <c r="K130" s="1591"/>
      <c r="L130" s="1591"/>
      <c r="M130" s="1591"/>
      <c r="N130" s="1591"/>
      <c r="O130" s="1591"/>
      <c r="P130" s="1591"/>
      <c r="T130" s="1513"/>
      <c r="U130" s="1514"/>
    </row>
    <row r="131" spans="1:255" ht="15" customHeight="1">
      <c r="C131" s="107" t="s">
        <v>1323</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516"/>
      <c r="U131" s="1517"/>
    </row>
    <row r="132" spans="1:255" ht="6.6" customHeight="1">
      <c r="C132" s="107"/>
      <c r="G132" s="25"/>
      <c r="H132" s="25"/>
      <c r="I132" s="25"/>
      <c r="J132" s="25"/>
      <c r="K132" s="25"/>
      <c r="L132" s="25"/>
      <c r="M132" s="25"/>
      <c r="N132" s="25"/>
      <c r="O132" s="25"/>
      <c r="P132" s="25"/>
    </row>
    <row r="133" spans="1:255" ht="15" customHeight="1">
      <c r="B133" s="487" t="s">
        <v>822</v>
      </c>
      <c r="G133" s="42"/>
      <c r="P133" s="9"/>
      <c r="T133" s="115" t="str">
        <f>B133</f>
        <v>NOT Included in Mgt Fee:</v>
      </c>
    </row>
    <row r="134" spans="1:255" ht="15" customHeight="1">
      <c r="B134" s="9" t="s">
        <v>699</v>
      </c>
      <c r="G134" s="1586"/>
      <c r="H134" s="1586"/>
      <c r="I134" s="1586"/>
      <c r="J134" s="1586"/>
      <c r="K134" s="1587"/>
      <c r="L134" s="1586"/>
      <c r="M134" s="1586"/>
      <c r="N134" s="1586"/>
      <c r="O134" s="1586"/>
      <c r="P134" s="1586"/>
      <c r="T134" s="1513"/>
      <c r="U134" s="1514"/>
    </row>
    <row r="135" spans="1:255" ht="15" customHeight="1">
      <c r="B135" s="9" t="s">
        <v>1045</v>
      </c>
      <c r="C135" s="1588"/>
      <c r="D135" s="1589"/>
      <c r="E135" s="1589"/>
      <c r="F135" s="1590"/>
      <c r="G135" s="1591"/>
      <c r="H135" s="1591"/>
      <c r="I135" s="1591"/>
      <c r="J135" s="1591"/>
      <c r="K135" s="1592"/>
      <c r="L135" s="1591"/>
      <c r="M135" s="1591"/>
      <c r="N135" s="1591"/>
      <c r="O135" s="1591"/>
      <c r="P135" s="1591"/>
      <c r="T135" s="1513"/>
      <c r="U135" s="1514"/>
    </row>
    <row r="136" spans="1:255" ht="15" customHeight="1">
      <c r="C136" s="107" t="s">
        <v>210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516"/>
      <c r="U136" s="1517"/>
    </row>
    <row r="137" spans="1:255" ht="9.6" customHeight="1">
      <c r="B137" s="16"/>
      <c r="F137" s="42"/>
      <c r="G137" s="42"/>
      <c r="J137" s="19"/>
      <c r="P137" s="9"/>
    </row>
    <row r="138" spans="1:255" s="108" customFormat="1" ht="11.25" customHeight="1">
      <c r="A138" s="5" t="s">
        <v>2487</v>
      </c>
      <c r="B138" s="3" t="s">
        <v>1420</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046" t="s">
        <v>2548</v>
      </c>
      <c r="U139" s="1046"/>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15" customHeight="1">
      <c r="A140" s="1"/>
      <c r="B140" s="11" t="s">
        <v>1723</v>
      </c>
      <c r="C140" s="1"/>
      <c r="D140" s="1"/>
      <c r="E140" s="1"/>
      <c r="F140" s="31"/>
      <c r="G140" s="31"/>
      <c r="H140" s="1"/>
      <c r="I140" s="11" t="s">
        <v>1811</v>
      </c>
      <c r="J140" s="1"/>
      <c r="K140" s="1"/>
      <c r="L140" s="1"/>
      <c r="M140" s="1"/>
      <c r="N140" s="11" t="s">
        <v>1810</v>
      </c>
      <c r="O140" s="1"/>
      <c r="P140" s="1"/>
      <c r="T140" s="1511"/>
      <c r="U140" s="1512"/>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2914</v>
      </c>
      <c r="C141" s="1"/>
      <c r="D141" s="1"/>
      <c r="E141" s="1"/>
      <c r="F141" s="1593">
        <f>23510+(7738/2)</f>
        <v>27379</v>
      </c>
      <c r="G141" s="1594"/>
      <c r="H141" s="1"/>
      <c r="I141" s="1" t="s">
        <v>1812</v>
      </c>
      <c r="J141" s="1"/>
      <c r="K141" s="1593"/>
      <c r="L141" s="1594"/>
      <c r="M141" s="1"/>
      <c r="N141" s="1" t="s">
        <v>1324</v>
      </c>
      <c r="O141" s="1"/>
      <c r="P141" s="1595">
        <f>31730+1500</f>
        <v>33230</v>
      </c>
      <c r="T141" s="1513"/>
      <c r="U141" s="1514"/>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1801</v>
      </c>
      <c r="C142" s="1"/>
      <c r="D142" s="1"/>
      <c r="E142" s="1"/>
      <c r="F142" s="1593">
        <f>22938+(7738/2)</f>
        <v>26807</v>
      </c>
      <c r="G142" s="1594"/>
      <c r="H142" s="1"/>
      <c r="I142" s="1" t="s">
        <v>1813</v>
      </c>
      <c r="J142" s="1"/>
      <c r="K142" s="1593"/>
      <c r="L142" s="1594"/>
      <c r="M142" s="1"/>
      <c r="N142" s="1" t="s">
        <v>161</v>
      </c>
      <c r="O142" s="1"/>
      <c r="P142" s="1595">
        <v>12300</v>
      </c>
      <c r="T142" s="1513"/>
      <c r="U142" s="1514"/>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1660</v>
      </c>
      <c r="C143" s="1"/>
      <c r="D143" s="1"/>
      <c r="E143" s="1"/>
      <c r="F143" s="1593"/>
      <c r="G143" s="1594"/>
      <c r="H143" s="1"/>
      <c r="I143" s="1"/>
      <c r="J143" s="151" t="s">
        <v>209</v>
      </c>
      <c r="K143" s="1028">
        <f>SUM(K141:L142)</f>
        <v>0</v>
      </c>
      <c r="L143" s="1029"/>
      <c r="M143" s="1"/>
      <c r="N143" s="1596"/>
      <c r="O143" s="1597"/>
      <c r="P143" s="1598"/>
      <c r="T143" s="1513"/>
      <c r="U143" s="1514"/>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599" t="s">
        <v>4117</v>
      </c>
      <c r="C144" s="1600"/>
      <c r="D144" s="1600"/>
      <c r="E144" s="1601"/>
      <c r="F144" s="1602">
        <f>3961+672+2270</f>
        <v>6903</v>
      </c>
      <c r="G144" s="1603"/>
      <c r="H144" s="1"/>
      <c r="I144" s="1"/>
      <c r="J144" s="1"/>
      <c r="K144" s="1"/>
      <c r="L144" s="1"/>
      <c r="M144" s="1"/>
      <c r="N144" s="13" t="s">
        <v>209</v>
      </c>
      <c r="O144" s="1"/>
      <c r="P144" s="534">
        <f>SUM(P141:P143)</f>
        <v>45530</v>
      </c>
      <c r="T144" s="1513"/>
      <c r="U144" s="1514"/>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209</v>
      </c>
      <c r="D145" s="1"/>
      <c r="E145" s="1"/>
      <c r="F145" s="1028">
        <f>SUM(F141:G144)</f>
        <v>61089</v>
      </c>
      <c r="G145" s="1029"/>
      <c r="H145" s="1"/>
      <c r="I145" s="1"/>
      <c r="J145" s="14"/>
      <c r="K145" s="1"/>
      <c r="L145" s="1"/>
      <c r="M145" s="1"/>
      <c r="N145" s="1"/>
      <c r="O145" s="1"/>
      <c r="P145" s="1"/>
      <c r="T145" s="1513"/>
      <c r="U145" s="1514"/>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513"/>
      <c r="U146" s="1514"/>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15" customHeight="1" thickBot="1">
      <c r="A147" s="1"/>
      <c r="B147" s="11" t="s">
        <v>1724</v>
      </c>
      <c r="C147" s="1"/>
      <c r="D147" s="10"/>
      <c r="E147" s="1"/>
      <c r="F147" s="1"/>
      <c r="G147" s="1"/>
      <c r="H147" s="1"/>
      <c r="I147" s="11" t="s">
        <v>1725</v>
      </c>
      <c r="J147" s="1"/>
      <c r="K147" s="1"/>
      <c r="L147" s="1"/>
      <c r="M147" s="1"/>
      <c r="N147" s="11" t="s">
        <v>1814</v>
      </c>
      <c r="O147" s="1"/>
      <c r="P147" s="533">
        <f>IF(OR('Part VII-Pro Forma'!$B$20 = "Choose Mgt Fee",'Part VII-Pro Forma'!$B$20 = "Choose One!"), 0,- 'Part VII-Pro Forma'!$B$20)</f>
        <v>24310</v>
      </c>
      <c r="T147" s="1513"/>
      <c r="U147" s="1514"/>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1806</v>
      </c>
      <c r="C148" s="1"/>
      <c r="D148" s="10"/>
      <c r="E148" s="1"/>
      <c r="F148" s="1593">
        <v>1100</v>
      </c>
      <c r="G148" s="1594"/>
      <c r="H148" s="1"/>
      <c r="I148" s="1" t="s">
        <v>2066</v>
      </c>
      <c r="J148" s="1"/>
      <c r="K148" s="1604">
        <v>1200</v>
      </c>
      <c r="L148" s="1605"/>
      <c r="M148" s="1"/>
      <c r="N148" s="515">
        <f>+P147/(M62*0.93)</f>
        <v>533.46499890278687</v>
      </c>
      <c r="O148" s="30" t="s">
        <v>3939</v>
      </c>
      <c r="P148" s="1"/>
      <c r="T148" s="1513"/>
      <c r="U148" s="1514"/>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1807</v>
      </c>
      <c r="C149" s="1"/>
      <c r="D149" s="10"/>
      <c r="E149" s="1"/>
      <c r="F149" s="1593">
        <v>2750</v>
      </c>
      <c r="G149" s="1594"/>
      <c r="H149" s="1"/>
      <c r="I149" s="1" t="s">
        <v>2762</v>
      </c>
      <c r="J149" s="1"/>
      <c r="K149" s="1606">
        <v>6200</v>
      </c>
      <c r="L149" s="1607"/>
      <c r="M149" s="1"/>
      <c r="N149" s="515">
        <f>+P147/(M62*0.93)/12</f>
        <v>44.455416575232242</v>
      </c>
      <c r="O149" s="30" t="s">
        <v>3942</v>
      </c>
      <c r="P149" s="1"/>
      <c r="T149" s="1513"/>
      <c r="U149" s="1514"/>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1808</v>
      </c>
      <c r="C150" s="1"/>
      <c r="D150" s="10"/>
      <c r="E150" s="1"/>
      <c r="F150" s="1593">
        <v>600</v>
      </c>
      <c r="G150" s="1594"/>
      <c r="H150" s="1"/>
      <c r="I150" s="1" t="s">
        <v>2067</v>
      </c>
      <c r="J150" s="1"/>
      <c r="K150" s="1606">
        <v>600</v>
      </c>
      <c r="L150" s="1607"/>
      <c r="M150" s="1"/>
      <c r="N150" s="1"/>
      <c r="O150" s="1"/>
      <c r="P150" s="1"/>
      <c r="T150" s="1513"/>
      <c r="U150" s="1514"/>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3072</v>
      </c>
      <c r="C151" s="1"/>
      <c r="D151" s="10"/>
      <c r="E151" s="1"/>
      <c r="F151" s="1593">
        <v>1160</v>
      </c>
      <c r="G151" s="1594"/>
      <c r="H151" s="1"/>
      <c r="I151" s="1596" t="s">
        <v>55</v>
      </c>
      <c r="J151" s="1597"/>
      <c r="K151" s="1604"/>
      <c r="L151" s="1605"/>
      <c r="M151" s="1"/>
      <c r="N151" s="1022" t="s">
        <v>3241</v>
      </c>
      <c r="O151" s="1023"/>
      <c r="P151" s="1023"/>
      <c r="T151" s="1513"/>
      <c r="U151" s="1514"/>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2064</v>
      </c>
      <c r="C152" s="1"/>
      <c r="D152" s="10"/>
      <c r="E152" s="1"/>
      <c r="F152" s="1593"/>
      <c r="G152" s="1594"/>
      <c r="H152" s="1"/>
      <c r="I152" s="11"/>
      <c r="J152" s="13" t="s">
        <v>209</v>
      </c>
      <c r="K152" s="1026">
        <f>SUM(K148:K151)</f>
        <v>8000</v>
      </c>
      <c r="L152" s="1027"/>
      <c r="M152" s="1"/>
      <c r="N152" s="1023"/>
      <c r="O152" s="1023"/>
      <c r="P152" s="1023"/>
      <c r="T152" s="1516"/>
      <c r="U152" s="1517"/>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599" t="s">
        <v>4116</v>
      </c>
      <c r="C153" s="1600"/>
      <c r="D153" s="1600"/>
      <c r="E153" s="1601"/>
      <c r="F153" s="1602">
        <v>500</v>
      </c>
      <c r="G153" s="1603"/>
      <c r="H153" s="1"/>
      <c r="I153" s="1"/>
      <c r="J153" s="14"/>
      <c r="K153" s="1"/>
      <c r="L153" s="1"/>
      <c r="M153" s="1"/>
      <c r="N153" s="1"/>
      <c r="O153" s="1"/>
      <c r="P153" s="1"/>
      <c r="T153" s="1511"/>
      <c r="U153" s="1512"/>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209</v>
      </c>
      <c r="D154" s="1"/>
      <c r="E154" s="1"/>
      <c r="F154" s="1028">
        <f>SUM(F148:G153)</f>
        <v>6110</v>
      </c>
      <c r="G154" s="1029"/>
      <c r="H154" s="1"/>
      <c r="I154" s="1"/>
      <c r="J154" s="14"/>
      <c r="K154" s="1"/>
      <c r="L154" s="1"/>
      <c r="M154" s="1"/>
      <c r="N154" s="1"/>
      <c r="O154" s="1"/>
      <c r="P154" s="1"/>
      <c r="T154" s="1513"/>
      <c r="U154" s="1514"/>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513"/>
      <c r="U155" s="1514"/>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15" customHeight="1" thickBot="1">
      <c r="A156" s="1"/>
      <c r="B156" s="11" t="s">
        <v>1726</v>
      </c>
      <c r="C156" s="1"/>
      <c r="D156" s="10"/>
      <c r="E156" s="1"/>
      <c r="F156" s="1"/>
      <c r="G156" s="1"/>
      <c r="H156" s="1"/>
      <c r="I156" s="11" t="s">
        <v>1809</v>
      </c>
      <c r="J156" s="788" t="s">
        <v>3938</v>
      </c>
      <c r="K156" s="1"/>
      <c r="L156" s="1"/>
      <c r="M156" s="1"/>
      <c r="N156" s="11" t="s">
        <v>2904</v>
      </c>
      <c r="O156" s="6"/>
      <c r="P156" s="6"/>
      <c r="T156" s="1513"/>
      <c r="U156" s="1514"/>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2068</v>
      </c>
      <c r="C157" s="1"/>
      <c r="D157" s="10"/>
      <c r="E157" s="1"/>
      <c r="F157" s="1608">
        <f>3000*1.5</f>
        <v>4500</v>
      </c>
      <c r="G157" s="1609"/>
      <c r="H157" s="1"/>
      <c r="I157" s="1" t="s">
        <v>1802</v>
      </c>
      <c r="J157" s="780">
        <f>K157/12/M62</f>
        <v>14.795918367346939</v>
      </c>
      <c r="K157" s="1606">
        <v>8700</v>
      </c>
      <c r="L157" s="1607"/>
      <c r="M157" s="1"/>
      <c r="N157" s="781">
        <f>+P157/M62</f>
        <v>3628.6734693877552</v>
      </c>
      <c r="O157" s="30" t="s">
        <v>3943</v>
      </c>
      <c r="P157" s="532">
        <f>F145+F154+F165+K143+K152+K162+P144+P147</f>
        <v>177805</v>
      </c>
      <c r="T157" s="1513"/>
      <c r="U157" s="1514"/>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2069</v>
      </c>
      <c r="C158" s="1"/>
      <c r="D158" s="10"/>
      <c r="E158" s="1"/>
      <c r="F158" s="1608">
        <v>500</v>
      </c>
      <c r="G158" s="1609"/>
      <c r="H158" s="1"/>
      <c r="I158" s="1" t="s">
        <v>1803</v>
      </c>
      <c r="J158" s="780">
        <f>K158/12/M62</f>
        <v>0</v>
      </c>
      <c r="K158" s="1606"/>
      <c r="L158" s="1607"/>
      <c r="M158" s="1"/>
      <c r="N158" s="1"/>
      <c r="O158" s="1"/>
      <c r="P158" s="1"/>
      <c r="T158" s="1513"/>
      <c r="U158" s="1514"/>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2070</v>
      </c>
      <c r="C159" s="1"/>
      <c r="D159" s="10"/>
      <c r="E159" s="1"/>
      <c r="F159" s="1608">
        <v>4000</v>
      </c>
      <c r="G159" s="1609"/>
      <c r="H159" s="1"/>
      <c r="I159" s="1" t="s">
        <v>3105</v>
      </c>
      <c r="J159" s="780">
        <f>K159/12/M62</f>
        <v>4.7006802721088441</v>
      </c>
      <c r="K159" s="1606">
        <v>2764</v>
      </c>
      <c r="L159" s="1607"/>
      <c r="M159" s="1"/>
      <c r="N159" s="1"/>
      <c r="O159" s="1"/>
      <c r="P159" s="1"/>
      <c r="T159" s="1513"/>
      <c r="U159" s="1514"/>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1402</v>
      </c>
      <c r="C160" s="1"/>
      <c r="D160" s="10"/>
      <c r="E160" s="1"/>
      <c r="F160" s="1593">
        <v>3050</v>
      </c>
      <c r="G160" s="1594"/>
      <c r="H160" s="1"/>
      <c r="I160" s="1" t="s">
        <v>1805</v>
      </c>
      <c r="J160" s="1"/>
      <c r="K160" s="1606">
        <v>752</v>
      </c>
      <c r="L160" s="1607"/>
      <c r="M160" s="1"/>
      <c r="N160" s="11" t="s">
        <v>1666</v>
      </c>
      <c r="O160" s="11"/>
      <c r="P160" s="533">
        <f>P161*M62</f>
        <v>17150</v>
      </c>
      <c r="T160" s="1513"/>
      <c r="U160" s="1514"/>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1403</v>
      </c>
      <c r="C161" s="1"/>
      <c r="D161" s="10"/>
      <c r="E161" s="1"/>
      <c r="F161" s="1593">
        <v>2500</v>
      </c>
      <c r="G161" s="1594"/>
      <c r="H161" s="1"/>
      <c r="I161" s="1596" t="s">
        <v>55</v>
      </c>
      <c r="J161" s="1597"/>
      <c r="K161" s="1604"/>
      <c r="L161" s="1605"/>
      <c r="M161" s="1"/>
      <c r="N161" s="30" t="s">
        <v>592</v>
      </c>
      <c r="O161" s="1"/>
      <c r="P161" s="1610">
        <v>350</v>
      </c>
      <c r="T161" s="1513"/>
      <c r="U161" s="1514"/>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1404</v>
      </c>
      <c r="C162" s="1"/>
      <c r="D162" s="10"/>
      <c r="E162" s="1"/>
      <c r="F162" s="1593"/>
      <c r="G162" s="1594"/>
      <c r="H162" s="1"/>
      <c r="I162" s="1"/>
      <c r="J162" s="13" t="s">
        <v>209</v>
      </c>
      <c r="K162" s="1026">
        <f>SUM(K157:K161)</f>
        <v>12216</v>
      </c>
      <c r="L162" s="1027"/>
      <c r="M162" s="1"/>
      <c r="N162" s="1"/>
      <c r="O162" s="1"/>
      <c r="T162" s="1513"/>
      <c r="U162" s="1514"/>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1261</v>
      </c>
      <c r="C163" s="1"/>
      <c r="D163" s="10"/>
      <c r="E163" s="1"/>
      <c r="F163" s="1593">
        <v>4500</v>
      </c>
      <c r="G163" s="1594"/>
      <c r="H163" s="1"/>
      <c r="I163" s="1"/>
      <c r="J163" s="14"/>
      <c r="K163" s="1"/>
      <c r="L163" s="1"/>
      <c r="M163" s="1"/>
      <c r="N163" s="1"/>
      <c r="O163" s="1"/>
      <c r="T163" s="1513"/>
      <c r="U163" s="1514"/>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599" t="s">
        <v>4115</v>
      </c>
      <c r="C164" s="1600"/>
      <c r="D164" s="1600"/>
      <c r="E164" s="1601"/>
      <c r="F164" s="1602">
        <v>1500</v>
      </c>
      <c r="G164" s="1603"/>
      <c r="H164" s="1"/>
      <c r="I164" s="1"/>
      <c r="J164" s="14"/>
      <c r="K164" s="1"/>
      <c r="L164" s="1"/>
      <c r="M164" s="1"/>
      <c r="N164" s="11" t="s">
        <v>2905</v>
      </c>
      <c r="O164" s="11"/>
      <c r="P164" s="11"/>
      <c r="T164" s="1513"/>
      <c r="U164" s="1514"/>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209</v>
      </c>
      <c r="D165" s="1"/>
      <c r="E165" s="1"/>
      <c r="F165" s="1024">
        <f>SUM(F157:G164)</f>
        <v>20550</v>
      </c>
      <c r="G165" s="1025"/>
      <c r="H165" s="1"/>
      <c r="I165" s="1"/>
      <c r="J165" s="14"/>
      <c r="K165" s="1"/>
      <c r="L165" s="1"/>
      <c r="M165" s="1"/>
      <c r="N165" s="1"/>
      <c r="O165" s="1"/>
      <c r="P165" s="532">
        <f>P157+P160</f>
        <v>194955</v>
      </c>
      <c r="T165" s="1516"/>
      <c r="U165" s="1517"/>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0.9"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2489</v>
      </c>
      <c r="B167" s="16" t="s">
        <v>743</v>
      </c>
      <c r="K167" s="16" t="s">
        <v>696</v>
      </c>
      <c r="L167" s="16" t="s">
        <v>2548</v>
      </c>
    </row>
    <row r="168" spans="1:255" ht="145.5" customHeight="1">
      <c r="A168" s="1393" t="s">
        <v>4187</v>
      </c>
      <c r="B168" s="1394"/>
      <c r="C168" s="1394"/>
      <c r="D168" s="1394"/>
      <c r="E168" s="1394"/>
      <c r="F168" s="1394"/>
      <c r="G168" s="1394"/>
      <c r="H168" s="1394"/>
      <c r="I168" s="1394"/>
      <c r="J168" s="1395"/>
      <c r="K168" s="1396"/>
      <c r="L168" s="1397"/>
      <c r="M168" s="1397"/>
      <c r="N168" s="1397"/>
      <c r="O168" s="1397"/>
      <c r="P168" s="1398"/>
      <c r="T168" s="924" t="s">
        <v>3594</v>
      </c>
      <c r="U168" s="924"/>
    </row>
    <row r="169" spans="1:255" ht="11.25" customHeight="1"/>
    <row r="170" spans="1:255" ht="12" customHeight="1"/>
    <row r="171" spans="1:255" ht="12" customHeight="1"/>
    <row r="172" spans="1:255" ht="13.9" customHeight="1"/>
    <row r="173" spans="1:255" s="108" customFormat="1" ht="13.9"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3.9"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3.9"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3.9"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3.9"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3.9"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3.9"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3.9" customHeight="1"/>
    <row r="181" spans="1:255" ht="13.9" customHeight="1"/>
    <row r="182" spans="1:255" ht="13.9" customHeight="1"/>
    <row r="183" spans="1:255" ht="13.9" customHeight="1"/>
    <row r="184" spans="1:255" s="108" customFormat="1" ht="13.9"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3.9"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3.9"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3.9"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3.9"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8" customFormat="1" ht="13.9"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3.9"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3.9"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3.9"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3.9"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Q83:S100 Q56:S80">
    <cfRule type="cellIs" dxfId="5" priority="4" stopIfTrue="1" operator="greaterThan">
      <formula>0</formula>
    </cfRule>
  </conditionalFormatting>
  <conditionalFormatting sqref="A10:A47">
    <cfRule type="cellIs" dxfId="4" priority="5" stopIfTrue="1" operator="equal">
      <formula>1</formula>
    </cfRule>
  </conditionalFormatting>
  <conditionalFormatting sqref="H10">
    <cfRule type="expression" priority="1" stopIfTrue="1">
      <formula>AND($B10="PHA", $H10&gt;0)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Normal="10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049" t="str">
        <f>CONCATENATE("PART SEVEN - OPERATING PRO FORMA","  -  ",'Part I-Project Information'!$O$4," ",'Part I-Project Information'!$F$23,", ",'Part I-Project Information'!F26,", ",'Part I-Project Information'!J27," County")</f>
        <v>PART SEVEN - OPERATING PRO FORMA  -  2013-007 Country Grove Apartments, Monroe, Walton County</v>
      </c>
      <c r="B1" s="1611"/>
      <c r="C1" s="1611"/>
      <c r="D1" s="1611"/>
      <c r="E1" s="1611"/>
      <c r="F1" s="1611"/>
      <c r="G1" s="1611"/>
      <c r="H1" s="1611"/>
      <c r="I1" s="1611"/>
      <c r="J1" s="1611"/>
      <c r="K1" s="1612"/>
      <c r="L1" s="11"/>
      <c r="M1" s="1047" t="str">
        <f>A1</f>
        <v>PART SEVEN - OPERATING PRO FORMA  -  2013-007 Country Grove Apartments, Monroe, Walton County</v>
      </c>
      <c r="N1" s="1047"/>
      <c r="O1" s="11"/>
    </row>
    <row r="2" spans="1:15" ht="13.5" customHeight="1">
      <c r="A2" s="751"/>
      <c r="B2" s="751"/>
      <c r="C2" s="751"/>
      <c r="D2" s="751"/>
      <c r="E2" s="751"/>
      <c r="F2" s="751"/>
      <c r="G2" s="751"/>
      <c r="H2" s="751"/>
      <c r="I2" s="751"/>
      <c r="J2" s="751"/>
      <c r="K2" s="751"/>
      <c r="M2" s="1048" t="s">
        <v>2548</v>
      </c>
      <c r="N2" s="1048"/>
    </row>
    <row r="3" spans="1:15" ht="13.5">
      <c r="A3" s="16" t="s">
        <v>94</v>
      </c>
      <c r="D3" s="16" t="s">
        <v>84</v>
      </c>
      <c r="E3" s="275"/>
      <c r="F3" s="352" t="s">
        <v>1450</v>
      </c>
      <c r="M3" s="16" t="str">
        <f>A3</f>
        <v>I.  OPERATING ASSUMPTIONS</v>
      </c>
      <c r="N3" s="35"/>
    </row>
    <row r="4" spans="1:15" ht="2.4500000000000002" customHeight="1">
      <c r="A4" s="19"/>
      <c r="B4" s="19"/>
      <c r="C4" s="19"/>
      <c r="H4" s="19"/>
      <c r="I4" s="19"/>
    </row>
    <row r="5" spans="1:15" ht="13.5" customHeight="1">
      <c r="A5" s="19" t="s">
        <v>2906</v>
      </c>
      <c r="B5" s="94">
        <v>0.02</v>
      </c>
      <c r="C5" s="19"/>
      <c r="D5" s="19" t="s">
        <v>1176</v>
      </c>
      <c r="F5" s="19"/>
      <c r="G5" s="1613">
        <v>0</v>
      </c>
      <c r="H5" s="117" t="s">
        <v>2615</v>
      </c>
      <c r="K5" s="122">
        <f>IF(($B$14+$B$15+$B$16+$B$17)=0,"",-B28/($B$14+$B$15+$B$16+$B$17))</f>
        <v>0</v>
      </c>
      <c r="M5" s="1511"/>
      <c r="N5" s="1512"/>
    </row>
    <row r="6" spans="1:15">
      <c r="A6" s="19" t="s">
        <v>2907</v>
      </c>
      <c r="B6" s="94">
        <v>0.03</v>
      </c>
      <c r="C6" s="19"/>
      <c r="D6" s="19"/>
      <c r="E6" s="19"/>
      <c r="F6" s="19"/>
      <c r="G6" s="19"/>
      <c r="H6" s="19"/>
      <c r="I6" s="19"/>
      <c r="J6" s="19"/>
      <c r="K6" s="19"/>
      <c r="M6" s="1513"/>
      <c r="N6" s="1514"/>
    </row>
    <row r="7" spans="1:15">
      <c r="A7" s="19" t="s">
        <v>2909</v>
      </c>
      <c r="B7" s="94">
        <v>0.03</v>
      </c>
      <c r="C7" s="19"/>
      <c r="D7" s="96" t="s">
        <v>298</v>
      </c>
      <c r="G7" s="98"/>
      <c r="H7" s="117" t="s">
        <v>3130</v>
      </c>
      <c r="K7" s="122">
        <f>IF(($B$14+$B$15+$B$16+$B$17)=0,"",-B20/($B$14+$B$15+$B$16+$B$17))</f>
        <v>9.5000148811421908E-2</v>
      </c>
      <c r="M7" s="1513"/>
      <c r="N7" s="1514"/>
    </row>
    <row r="8" spans="1:15" ht="13.15" customHeight="1">
      <c r="A8" s="19" t="s">
        <v>2908</v>
      </c>
      <c r="B8" s="1614">
        <v>7.0000000000000007E-2</v>
      </c>
      <c r="C8" s="19"/>
      <c r="D8" s="95" t="s">
        <v>3291</v>
      </c>
      <c r="G8" s="1615" t="s">
        <v>4063</v>
      </c>
      <c r="H8" s="209" t="s">
        <v>1888</v>
      </c>
      <c r="K8" s="1616" t="s">
        <v>1368</v>
      </c>
      <c r="M8" s="1513"/>
      <c r="N8" s="1514"/>
    </row>
    <row r="9" spans="1:15">
      <c r="A9" s="19" t="s">
        <v>1857</v>
      </c>
      <c r="B9" s="94">
        <v>0.02</v>
      </c>
      <c r="D9" s="95" t="s">
        <v>2409</v>
      </c>
      <c r="G9" s="1615" t="s">
        <v>4068</v>
      </c>
      <c r="H9" s="209" t="s">
        <v>3110</v>
      </c>
      <c r="K9" s="1617">
        <v>9.5000000000000001E-2</v>
      </c>
      <c r="M9" s="1516"/>
      <c r="N9" s="1517"/>
    </row>
    <row r="10" spans="1:15" ht="13.5" customHeight="1"/>
    <row r="11" spans="1:15">
      <c r="A11" s="16" t="s">
        <v>95</v>
      </c>
      <c r="M11" s="16" t="str">
        <f>A11</f>
        <v>II.  OPERATING PRO FORMA</v>
      </c>
    </row>
    <row r="12" spans="1:15" ht="2.4500000000000002" customHeight="1"/>
    <row r="13" spans="1:15" ht="14.45" customHeight="1">
      <c r="A13" s="16" t="s">
        <v>3261</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915" t="s">
        <v>3423</v>
      </c>
      <c r="N13" s="915"/>
    </row>
    <row r="14" spans="1:15" ht="13.15" customHeight="1">
      <c r="A14" s="21" t="s">
        <v>3166</v>
      </c>
      <c r="B14" s="22">
        <f>'Part VI-Revenues &amp; Expenses'!L49</f>
        <v>269760</v>
      </c>
      <c r="C14" s="22">
        <f t="shared" ref="C14:K14" si="1">$B$14*(1+$B$5)^(C13-1)</f>
        <v>275155.20000000001</v>
      </c>
      <c r="D14" s="22">
        <f t="shared" si="1"/>
        <v>280658.304</v>
      </c>
      <c r="E14" s="22">
        <f t="shared" si="1"/>
        <v>286271.47008</v>
      </c>
      <c r="F14" s="22">
        <f t="shared" si="1"/>
        <v>291996.89948159998</v>
      </c>
      <c r="G14" s="22">
        <f t="shared" si="1"/>
        <v>297836.83747123199</v>
      </c>
      <c r="H14" s="22">
        <f t="shared" si="1"/>
        <v>303793.57422065665</v>
      </c>
      <c r="I14" s="22">
        <f t="shared" si="1"/>
        <v>309869.44570506969</v>
      </c>
      <c r="J14" s="22">
        <f t="shared" si="1"/>
        <v>316066.83461917116</v>
      </c>
      <c r="K14" s="23">
        <f t="shared" si="1"/>
        <v>322388.17131155456</v>
      </c>
      <c r="M14" s="1511"/>
      <c r="N14" s="1512"/>
    </row>
    <row r="15" spans="1:15" ht="13.15" customHeight="1">
      <c r="A15" s="24" t="s">
        <v>1417</v>
      </c>
      <c r="B15" s="25">
        <f>MIN(B14*B9,'Part VI-Revenues &amp; Expenses'!H104)</f>
        <v>5395.2</v>
      </c>
      <c r="C15" s="25">
        <f t="shared" ref="C15:K15" si="2">$B$15*(1+$B$5)^(C13-1)</f>
        <v>5503.1040000000003</v>
      </c>
      <c r="D15" s="25">
        <f t="shared" si="2"/>
        <v>5613.16608</v>
      </c>
      <c r="E15" s="25">
        <f t="shared" si="2"/>
        <v>5725.4294015999994</v>
      </c>
      <c r="F15" s="25">
        <f t="shared" si="2"/>
        <v>5839.9379896319997</v>
      </c>
      <c r="G15" s="25">
        <f t="shared" si="2"/>
        <v>5956.73674942464</v>
      </c>
      <c r="H15" s="25">
        <f t="shared" si="2"/>
        <v>6075.8714844131327</v>
      </c>
      <c r="I15" s="25">
        <f t="shared" si="2"/>
        <v>6197.3889141013942</v>
      </c>
      <c r="J15" s="25">
        <f t="shared" si="2"/>
        <v>6321.3366923834228</v>
      </c>
      <c r="K15" s="26">
        <f t="shared" si="2"/>
        <v>6447.7634262310912</v>
      </c>
      <c r="M15" s="1513"/>
      <c r="N15" s="1514"/>
    </row>
    <row r="16" spans="1:15" ht="13.15" customHeight="1">
      <c r="A16" s="24" t="s">
        <v>3167</v>
      </c>
      <c r="B16" s="25">
        <f t="shared" ref="B16:K16" si="3">-(B14+B15)*$B$8</f>
        <v>-19260.864000000001</v>
      </c>
      <c r="C16" s="25">
        <f t="shared" si="3"/>
        <v>-19646.081280000002</v>
      </c>
      <c r="D16" s="25">
        <f t="shared" si="3"/>
        <v>-20039.002905600002</v>
      </c>
      <c r="E16" s="25">
        <f t="shared" si="3"/>
        <v>-20439.782963712001</v>
      </c>
      <c r="F16" s="25">
        <f t="shared" si="3"/>
        <v>-20848.578622986242</v>
      </c>
      <c r="G16" s="25">
        <f t="shared" si="3"/>
        <v>-21265.550195445969</v>
      </c>
      <c r="H16" s="25">
        <f t="shared" si="3"/>
        <v>-21690.861199354888</v>
      </c>
      <c r="I16" s="25">
        <f t="shared" si="3"/>
        <v>-22124.678423341978</v>
      </c>
      <c r="J16" s="25">
        <f t="shared" si="3"/>
        <v>-22567.17199180882</v>
      </c>
      <c r="K16" s="26">
        <f t="shared" si="3"/>
        <v>-23018.515431644999</v>
      </c>
      <c r="M16" s="1513"/>
      <c r="N16" s="1514"/>
    </row>
    <row r="17" spans="1:14" ht="13.15" customHeight="1">
      <c r="A17" s="24" t="s">
        <v>56</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513"/>
      <c r="N17" s="1514"/>
    </row>
    <row r="18" spans="1:14" ht="13.15" customHeight="1">
      <c r="A18" s="24" t="s">
        <v>57</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513"/>
      <c r="N18" s="1514"/>
    </row>
    <row r="19" spans="1:14" ht="13.15" customHeight="1">
      <c r="A19" s="24" t="s">
        <v>793</v>
      </c>
      <c r="B19" s="25">
        <f>-('Part VI-Revenues &amp; Expenses'!P157-'Part VI-Revenues &amp; Expenses'!P147)</f>
        <v>-153495</v>
      </c>
      <c r="C19" s="25">
        <f t="shared" ref="C19:K19" si="4">$B$19*(1+$B$6)^(C13-1)</f>
        <v>-158099.85</v>
      </c>
      <c r="D19" s="25">
        <f t="shared" si="4"/>
        <v>-162842.8455</v>
      </c>
      <c r="E19" s="25">
        <f t="shared" si="4"/>
        <v>-167728.13086500001</v>
      </c>
      <c r="F19" s="25">
        <f t="shared" si="4"/>
        <v>-172759.97479094999</v>
      </c>
      <c r="G19" s="25">
        <f t="shared" si="4"/>
        <v>-177942.77403467847</v>
      </c>
      <c r="H19" s="25">
        <f t="shared" si="4"/>
        <v>-183281.05725571883</v>
      </c>
      <c r="I19" s="25">
        <f t="shared" si="4"/>
        <v>-188779.48897339043</v>
      </c>
      <c r="J19" s="25">
        <f t="shared" si="4"/>
        <v>-194442.87364259211</v>
      </c>
      <c r="K19" s="26">
        <f t="shared" si="4"/>
        <v>-200276.15985186989</v>
      </c>
      <c r="M19" s="1513"/>
      <c r="N19" s="1514"/>
    </row>
    <row r="20" spans="1:14" ht="13.15" customHeight="1">
      <c r="A20" s="24" t="s">
        <v>1522</v>
      </c>
      <c r="B20" s="25">
        <f>IF(AND('Part VII-Pro Forma'!$G$8="Yes",'Part VII-Pro Forma'!$G$9="Yes"),"Choose One!",IF('Part VII-Pro Forma'!$G$8="Yes",ROUND((-$K$8*(1+'Part VII-Pro Forma'!$B$6)^('Part VII-Pro Forma'!B13-1)),),IF('Part VII-Pro Forma'!$G$9="Yes",ROUND((-(SUM(B14:B17)*'Part VII-Pro Forma'!$K$9)),),"Choose mgt fee")))</f>
        <v>-24310</v>
      </c>
      <c r="C20" s="25">
        <f>IF(AND('Part VII-Pro Forma'!$G$8="Yes",'Part VII-Pro Forma'!$G$9="Yes"),"Choose One!",IF('Part VII-Pro Forma'!$G$8="Yes",ROUND((-$K$8*(1+'Part VII-Pro Forma'!$B$6)^('Part VII-Pro Forma'!C13-1)),),IF('Part VII-Pro Forma'!$G$9="Yes",ROUND((-(SUM(C14:C17)*'Part VII-Pro Forma'!$K$9)),),"Choose mgt fee")))</f>
        <v>-24796</v>
      </c>
      <c r="D20" s="25">
        <f>IF(AND('Part VII-Pro Forma'!$G$8="Yes",'Part VII-Pro Forma'!$G$9="Yes"),"Choose One!",IF('Part VII-Pro Forma'!$G$8="Yes",ROUND((-$K$8*(1+'Part VII-Pro Forma'!$B$6)^('Part VII-Pro Forma'!D13-1)),),IF('Part VII-Pro Forma'!$G$9="Yes",ROUND((-(SUM(D14:D17)*'Part VII-Pro Forma'!$K$9)),),"Choose mgt fee")))</f>
        <v>-25292</v>
      </c>
      <c r="E20" s="25">
        <f>IF(AND('Part VII-Pro Forma'!$G$8="Yes",'Part VII-Pro Forma'!$G$9="Yes"),"Choose One!",IF('Part VII-Pro Forma'!$G$8="Yes",ROUND((-$K$8*(1+'Part VII-Pro Forma'!$B$6)^('Part VII-Pro Forma'!E13-1)),),IF('Part VII-Pro Forma'!$G$9="Yes",ROUND((-(SUM(E14:E17)*'Part VII-Pro Forma'!$K$9)),),"Choose mgt fee")))</f>
        <v>-25798</v>
      </c>
      <c r="F20" s="25">
        <f>IF(AND('Part VII-Pro Forma'!$G$8="Yes",'Part VII-Pro Forma'!$G$9="Yes"),"Choose One!",IF('Part VII-Pro Forma'!$G$8="Yes",ROUND((-$K$8*(1+'Part VII-Pro Forma'!$B$6)^('Part VII-Pro Forma'!F13-1)),),IF('Part VII-Pro Forma'!$G$9="Yes",ROUND((-(SUM(F14:F17)*'Part VII-Pro Forma'!$K$9)),),"Choose mgt fee")))</f>
        <v>-26314</v>
      </c>
      <c r="G20" s="25">
        <f>IF(AND('Part VII-Pro Forma'!$G$8="Yes",'Part VII-Pro Forma'!$G$9="Yes"),"Choose One!",IF('Part VII-Pro Forma'!$G$8="Yes",ROUND((-$K$8*(1+'Part VII-Pro Forma'!$B$6)^('Part VII-Pro Forma'!G13-1)),),IF('Part VII-Pro Forma'!$G$9="Yes",ROUND((-(SUM(G14:G17)*'Part VII-Pro Forma'!$K$9)),),"Choose mgt fee")))</f>
        <v>-26840</v>
      </c>
      <c r="H20" s="25">
        <f>IF(AND('Part VII-Pro Forma'!$G$8="Yes",'Part VII-Pro Forma'!$G$9="Yes"),"Choose One!",IF('Part VII-Pro Forma'!$G$8="Yes",ROUND((-$K$8*(1+'Part VII-Pro Forma'!$B$6)^('Part VII-Pro Forma'!H13-1)),),IF('Part VII-Pro Forma'!$G$9="Yes",ROUND((-(SUM(H14:H17)*'Part VII-Pro Forma'!$K$9)),),"Choose mgt fee")))</f>
        <v>-27377</v>
      </c>
      <c r="I20" s="25">
        <f>IF(AND('Part VII-Pro Forma'!$G$8="Yes",'Part VII-Pro Forma'!$G$9="Yes"),"Choose One!",IF('Part VII-Pro Forma'!$G$8="Yes",ROUND((-$K$8*(1+'Part VII-Pro Forma'!$B$6)^('Part VII-Pro Forma'!I13-1)),),IF('Part VII-Pro Forma'!$G$9="Yes",ROUND((-(SUM(I14:I17)*'Part VII-Pro Forma'!$K$9)),),"Choose mgt fee")))</f>
        <v>-27925</v>
      </c>
      <c r="J20" s="25">
        <f>IF(AND('Part VII-Pro Forma'!$G$8="Yes",'Part VII-Pro Forma'!$G$9="Yes"),"Choose One!",IF('Part VII-Pro Forma'!$G$8="Yes",ROUND((-$K$8*(1+'Part VII-Pro Forma'!$B$6)^('Part VII-Pro Forma'!J13-1)),),IF('Part VII-Pro Forma'!$G$9="Yes",ROUND((-(SUM(J14:J17)*'Part VII-Pro Forma'!$K$9)),),"Choose mgt fee")))</f>
        <v>-28483</v>
      </c>
      <c r="K20" s="25">
        <f>IF(AND('Part VII-Pro Forma'!$G$8="Yes",'Part VII-Pro Forma'!$G$9="Yes"),"Choose One!",IF('Part VII-Pro Forma'!$G$8="Yes",ROUND((-$K$8*(1+'Part VII-Pro Forma'!$B$6)^('Part VII-Pro Forma'!K13-1)),),IF('Part VII-Pro Forma'!$G$9="Yes",ROUND((-(SUM(K14:K17)*'Part VII-Pro Forma'!$K$9)),),"Choose mgt fee")))</f>
        <v>-29053</v>
      </c>
      <c r="M20" s="1513"/>
      <c r="N20" s="1514"/>
    </row>
    <row r="21" spans="1:14" ht="13.15" customHeight="1">
      <c r="A21" s="24" t="s">
        <v>1621</v>
      </c>
      <c r="B21" s="25">
        <f>-('Part VI-Revenues &amp; Expenses'!P160)</f>
        <v>-17150</v>
      </c>
      <c r="C21" s="25">
        <f t="shared" ref="C21:K21" si="5">$B$21*(1+$B$7)^(C13-1)</f>
        <v>-17664.5</v>
      </c>
      <c r="D21" s="25">
        <f t="shared" si="5"/>
        <v>-18194.434999999998</v>
      </c>
      <c r="E21" s="25">
        <f t="shared" si="5"/>
        <v>-18740.268049999999</v>
      </c>
      <c r="F21" s="25">
        <f t="shared" si="5"/>
        <v>-19302.476091499997</v>
      </c>
      <c r="G21" s="25">
        <f t="shared" si="5"/>
        <v>-19881.550374244998</v>
      </c>
      <c r="H21" s="25">
        <f t="shared" si="5"/>
        <v>-20477.996885472348</v>
      </c>
      <c r="I21" s="25">
        <f t="shared" si="5"/>
        <v>-21092.33679203652</v>
      </c>
      <c r="J21" s="25">
        <f t="shared" si="5"/>
        <v>-21725.106895797613</v>
      </c>
      <c r="K21" s="26">
        <f t="shared" si="5"/>
        <v>-22376.860102671544</v>
      </c>
      <c r="M21" s="1513"/>
      <c r="N21" s="1514"/>
    </row>
    <row r="22" spans="1:14" ht="13.15" customHeight="1">
      <c r="A22" s="24" t="s">
        <v>1622</v>
      </c>
      <c r="B22" s="25">
        <f t="shared" ref="B22:K22" si="6">SUM(B14:B21)</f>
        <v>60939.33600000001</v>
      </c>
      <c r="C22" s="25">
        <f t="shared" si="6"/>
        <v>60451.872719999985</v>
      </c>
      <c r="D22" s="25">
        <f t="shared" si="6"/>
        <v>59903.1866744</v>
      </c>
      <c r="E22" s="25">
        <f t="shared" si="6"/>
        <v>59290.717602887962</v>
      </c>
      <c r="F22" s="25">
        <f t="shared" si="6"/>
        <v>58611.807965795742</v>
      </c>
      <c r="G22" s="25">
        <f t="shared" si="6"/>
        <v>57863.699616287238</v>
      </c>
      <c r="H22" s="25">
        <f t="shared" si="6"/>
        <v>57042.530364523765</v>
      </c>
      <c r="I22" s="25">
        <f t="shared" si="6"/>
        <v>56145.330430402151</v>
      </c>
      <c r="J22" s="25">
        <f t="shared" si="6"/>
        <v>55170.018781356033</v>
      </c>
      <c r="K22" s="26">
        <f t="shared" si="6"/>
        <v>54111.399351599248</v>
      </c>
      <c r="M22" s="1513"/>
      <c r="N22" s="1514"/>
    </row>
    <row r="23" spans="1:14" ht="13.15" customHeight="1">
      <c r="A23" s="564" t="s">
        <v>2050</v>
      </c>
      <c r="B23" s="1618">
        <f>IF('Part III-Sources of Funds'!$M$32="", 0,-'Part III-Sources of Funds'!$M$32)</f>
        <v>-37878</v>
      </c>
      <c r="C23" s="1618">
        <f>IF('Part III-Sources of Funds'!$M$32="", 0,-'Part III-Sources of Funds'!$M$32)</f>
        <v>-37878</v>
      </c>
      <c r="D23" s="1618">
        <f>IF('Part III-Sources of Funds'!$M$32="", 0,-'Part III-Sources of Funds'!$M$32)</f>
        <v>-37878</v>
      </c>
      <c r="E23" s="1618">
        <f>IF('Part III-Sources of Funds'!$M$32="", 0,-'Part III-Sources of Funds'!$M$32)</f>
        <v>-37878</v>
      </c>
      <c r="F23" s="1618">
        <f>IF('Part III-Sources of Funds'!$M$32="", 0,-'Part III-Sources of Funds'!$M$32)</f>
        <v>-37878</v>
      </c>
      <c r="G23" s="1618">
        <f>IF('Part III-Sources of Funds'!$M$32="", 0,-'Part III-Sources of Funds'!$M$32)</f>
        <v>-37878</v>
      </c>
      <c r="H23" s="1618">
        <f>IF('Part III-Sources of Funds'!$M$32="", 0,-'Part III-Sources of Funds'!$M$32)</f>
        <v>-37878</v>
      </c>
      <c r="I23" s="1618">
        <f>IF('Part III-Sources of Funds'!$M$32="", 0,-'Part III-Sources of Funds'!$M$32)</f>
        <v>-37878</v>
      </c>
      <c r="J23" s="1618">
        <f>IF('Part III-Sources of Funds'!$M$32="", 0,-'Part III-Sources of Funds'!$M$32)</f>
        <v>-37878</v>
      </c>
      <c r="K23" s="1618">
        <f>IF('Part III-Sources of Funds'!$M$32="", 0,-'Part III-Sources of Funds'!$M$32)</f>
        <v>-37878</v>
      </c>
      <c r="M23" s="1513"/>
      <c r="N23" s="1514"/>
    </row>
    <row r="24" spans="1:14" ht="13.15" customHeight="1">
      <c r="A24" s="564" t="s">
        <v>2051</v>
      </c>
      <c r="B24" s="1619">
        <f>IF('Part III-Sources of Funds'!$M$33="", 0,-'Part III-Sources of Funds'!$M$33)</f>
        <v>0</v>
      </c>
      <c r="C24" s="1619">
        <f>IF('Part III-Sources of Funds'!$M$33="", 0,-'Part III-Sources of Funds'!$M$33)</f>
        <v>0</v>
      </c>
      <c r="D24" s="1619">
        <f>IF('Part III-Sources of Funds'!$M$33="", 0,-'Part III-Sources of Funds'!$M$33)</f>
        <v>0</v>
      </c>
      <c r="E24" s="1619">
        <f>IF('Part III-Sources of Funds'!$M$33="", 0,-'Part III-Sources of Funds'!$M$33)</f>
        <v>0</v>
      </c>
      <c r="F24" s="1619">
        <f>IF('Part III-Sources of Funds'!$M$33="", 0,-'Part III-Sources of Funds'!$M$33)</f>
        <v>0</v>
      </c>
      <c r="G24" s="1619">
        <f>IF('Part III-Sources of Funds'!$M$33="", 0,-'Part III-Sources of Funds'!$M$33)</f>
        <v>0</v>
      </c>
      <c r="H24" s="1619">
        <f>IF('Part III-Sources of Funds'!$M$33="", 0,-'Part III-Sources of Funds'!$M$33)</f>
        <v>0</v>
      </c>
      <c r="I24" s="1619">
        <f>IF('Part III-Sources of Funds'!$M$33="", 0,-'Part III-Sources of Funds'!$M$33)</f>
        <v>0</v>
      </c>
      <c r="J24" s="1619">
        <f>IF('Part III-Sources of Funds'!$M$33="", 0,-'Part III-Sources of Funds'!$M$33)</f>
        <v>0</v>
      </c>
      <c r="K24" s="1619">
        <f>IF('Part III-Sources of Funds'!$M$33="", 0,-'Part III-Sources of Funds'!$M$33)</f>
        <v>0</v>
      </c>
      <c r="M24" s="1513"/>
      <c r="N24" s="1514"/>
    </row>
    <row r="25" spans="1:14" ht="13.15" customHeight="1">
      <c r="A25" s="564" t="s">
        <v>2052</v>
      </c>
      <c r="B25" s="1619">
        <f>IF('Part III-Sources of Funds'!$M$34="", 0,-'Part III-Sources of Funds'!$M$34)</f>
        <v>0</v>
      </c>
      <c r="C25" s="1619">
        <f>IF('Part III-Sources of Funds'!$M$34="", 0,-'Part III-Sources of Funds'!$M$34)</f>
        <v>0</v>
      </c>
      <c r="D25" s="1619">
        <f>IF('Part III-Sources of Funds'!$M$34="", 0,-'Part III-Sources of Funds'!$M$34)</f>
        <v>0</v>
      </c>
      <c r="E25" s="1619">
        <f>IF('Part III-Sources of Funds'!$M$34="", 0,-'Part III-Sources of Funds'!$M$34)</f>
        <v>0</v>
      </c>
      <c r="F25" s="1619">
        <f>IF('Part III-Sources of Funds'!$M$34="", 0,-'Part III-Sources of Funds'!$M$34)</f>
        <v>0</v>
      </c>
      <c r="G25" s="1619">
        <f>IF('Part III-Sources of Funds'!$M$34="", 0,-'Part III-Sources of Funds'!$M$34)</f>
        <v>0</v>
      </c>
      <c r="H25" s="1619">
        <f>IF('Part III-Sources of Funds'!$M$34="", 0,-'Part III-Sources of Funds'!$M$34)</f>
        <v>0</v>
      </c>
      <c r="I25" s="1619">
        <f>IF('Part III-Sources of Funds'!$M$34="", 0,-'Part III-Sources of Funds'!$M$34)</f>
        <v>0</v>
      </c>
      <c r="J25" s="1619">
        <f>IF('Part III-Sources of Funds'!$M$34="", 0,-'Part III-Sources of Funds'!$M$34)</f>
        <v>0</v>
      </c>
      <c r="K25" s="1619">
        <f>IF('Part III-Sources of Funds'!$M$34="", 0,-'Part III-Sources of Funds'!$M$34)</f>
        <v>0</v>
      </c>
      <c r="M25" s="1513"/>
      <c r="N25" s="1514"/>
    </row>
    <row r="26" spans="1:14" ht="13.15" customHeight="1">
      <c r="A26" s="24" t="s">
        <v>1173</v>
      </c>
      <c r="B26" s="1619">
        <f>IF('Part III-Sources of Funds'!$M$35="", 0,-'Part III-Sources of Funds'!$M$35)</f>
        <v>0</v>
      </c>
      <c r="C26" s="1619">
        <f>IF('Part III-Sources of Funds'!$M$35="", 0,-'Part III-Sources of Funds'!$M$35)</f>
        <v>0</v>
      </c>
      <c r="D26" s="1619">
        <f>IF('Part III-Sources of Funds'!$M$35="", 0,-'Part III-Sources of Funds'!$M$35)</f>
        <v>0</v>
      </c>
      <c r="E26" s="1619">
        <f>IF('Part III-Sources of Funds'!$M$35="", 0,-'Part III-Sources of Funds'!$M$35)</f>
        <v>0</v>
      </c>
      <c r="F26" s="1619">
        <f>IF('Part III-Sources of Funds'!$M$35="", 0,-'Part III-Sources of Funds'!$M$35)</f>
        <v>0</v>
      </c>
      <c r="G26" s="1619">
        <f>IF('Part III-Sources of Funds'!$M$35="", 0,-'Part III-Sources of Funds'!$M$35)</f>
        <v>0</v>
      </c>
      <c r="H26" s="1619">
        <f>IF('Part III-Sources of Funds'!$M$35="", 0,-'Part III-Sources of Funds'!$M$35)</f>
        <v>0</v>
      </c>
      <c r="I26" s="1619">
        <f>IF('Part III-Sources of Funds'!$M$35="", 0,-'Part III-Sources of Funds'!$M$35)</f>
        <v>0</v>
      </c>
      <c r="J26" s="1619">
        <f>IF('Part III-Sources of Funds'!$M$35="", 0,-'Part III-Sources of Funds'!$M$35)</f>
        <v>0</v>
      </c>
      <c r="K26" s="1619">
        <f>IF('Part III-Sources of Funds'!$M$35="", 0,-'Part III-Sources of Funds'!$M$35)</f>
        <v>0</v>
      </c>
      <c r="M26" s="1513"/>
      <c r="N26" s="1514"/>
    </row>
    <row r="27" spans="1:14" ht="13.15" customHeight="1">
      <c r="A27" s="24" t="s">
        <v>1149</v>
      </c>
      <c r="B27" s="1620"/>
      <c r="C27" s="1620"/>
      <c r="D27" s="1620"/>
      <c r="E27" s="1620"/>
      <c r="F27" s="1620"/>
      <c r="G27" s="1620"/>
      <c r="H27" s="1620"/>
      <c r="I27" s="1620"/>
      <c r="J27" s="1620"/>
      <c r="K27" s="1620"/>
      <c r="M27" s="1513"/>
      <c r="N27" s="1514"/>
    </row>
    <row r="28" spans="1:14" ht="13.15" customHeight="1">
      <c r="A28" s="24" t="s">
        <v>1577</v>
      </c>
      <c r="B28" s="1619">
        <f>$G$5</f>
        <v>0</v>
      </c>
      <c r="C28" s="1619">
        <f t="shared" ref="C28:K28" si="7">+B28</f>
        <v>0</v>
      </c>
      <c r="D28" s="1619">
        <f t="shared" si="7"/>
        <v>0</v>
      </c>
      <c r="E28" s="1619">
        <f t="shared" si="7"/>
        <v>0</v>
      </c>
      <c r="F28" s="1619">
        <f t="shared" si="7"/>
        <v>0</v>
      </c>
      <c r="G28" s="1619">
        <f t="shared" si="7"/>
        <v>0</v>
      </c>
      <c r="H28" s="1619">
        <f t="shared" si="7"/>
        <v>0</v>
      </c>
      <c r="I28" s="1619">
        <f t="shared" si="7"/>
        <v>0</v>
      </c>
      <c r="J28" s="1619">
        <f t="shared" si="7"/>
        <v>0</v>
      </c>
      <c r="K28" s="1619">
        <f t="shared" si="7"/>
        <v>0</v>
      </c>
      <c r="M28" s="1513"/>
      <c r="N28" s="1514"/>
    </row>
    <row r="29" spans="1:14" ht="13.15" customHeight="1">
      <c r="A29" s="24" t="s">
        <v>1623</v>
      </c>
      <c r="B29" s="1621">
        <f>-'Part III-Sources of Funds'!$M$37</f>
        <v>-3664</v>
      </c>
      <c r="C29" s="1621">
        <f>-'Part III-Sources of Funds'!$M$37</f>
        <v>-3664</v>
      </c>
      <c r="D29" s="1621">
        <f>-'Part III-Sources of Funds'!$M$37</f>
        <v>-3664</v>
      </c>
      <c r="E29" s="1621">
        <f>-'Part III-Sources of Funds'!$M$37</f>
        <v>-3664</v>
      </c>
      <c r="F29" s="1621">
        <f>-'Part III-Sources of Funds'!$M$37</f>
        <v>-3664</v>
      </c>
      <c r="G29" s="1621">
        <f>-'Part III-Sources of Funds'!$M$37</f>
        <v>-3664</v>
      </c>
      <c r="H29" s="1621">
        <f>-'Part III-Sources of Funds'!$M$37</f>
        <v>-3664</v>
      </c>
      <c r="I29" s="1621">
        <f>-'Part III-Sources of Funds'!$M$37</f>
        <v>-3664</v>
      </c>
      <c r="J29" s="1621">
        <f>-'Part III-Sources of Funds'!$M$37</f>
        <v>-3664</v>
      </c>
      <c r="K29" s="1621">
        <f>-'Part III-Sources of Funds'!$M$37</f>
        <v>-3664</v>
      </c>
      <c r="M29" s="1513"/>
      <c r="N29" s="1514"/>
    </row>
    <row r="30" spans="1:14" ht="13.15" customHeight="1">
      <c r="A30" s="24" t="s">
        <v>1578</v>
      </c>
      <c r="B30" s="25">
        <f t="shared" ref="B30:K30" si="8">SUM(B22:B29)</f>
        <v>19397.33600000001</v>
      </c>
      <c r="C30" s="25">
        <f t="shared" si="8"/>
        <v>18909.872719999985</v>
      </c>
      <c r="D30" s="25">
        <f t="shared" si="8"/>
        <v>18361.1866744</v>
      </c>
      <c r="E30" s="25">
        <f t="shared" si="8"/>
        <v>17748.717602887962</v>
      </c>
      <c r="F30" s="25">
        <f t="shared" si="8"/>
        <v>17069.807965795742</v>
      </c>
      <c r="G30" s="25">
        <f t="shared" si="8"/>
        <v>16321.699616287238</v>
      </c>
      <c r="H30" s="25">
        <f t="shared" si="8"/>
        <v>15500.530364523765</v>
      </c>
      <c r="I30" s="25">
        <f t="shared" si="8"/>
        <v>14603.330430402151</v>
      </c>
      <c r="J30" s="25">
        <f t="shared" si="8"/>
        <v>13628.018781356033</v>
      </c>
      <c r="K30" s="26">
        <f t="shared" si="8"/>
        <v>12569.399351599248</v>
      </c>
      <c r="M30" s="1513"/>
      <c r="N30" s="1514"/>
    </row>
    <row r="31" spans="1:14" ht="13.15" customHeight="1">
      <c r="A31" s="24" t="str">
        <f>IF('Part III-Sources of Funds'!$E$32 = "Neither", "", "DCR Mortgage A")</f>
        <v>DCR Mortgage A</v>
      </c>
      <c r="B31" s="27">
        <f>IF(B23=0,"",-B22/B23)</f>
        <v>1.6088319341042296</v>
      </c>
      <c r="C31" s="27">
        <f t="shared" ref="C31:K31" si="9">IF(C23=0,"",-C22/C23)</f>
        <v>1.595962635830825</v>
      </c>
      <c r="D31" s="27">
        <f t="shared" si="9"/>
        <v>1.5814770229262369</v>
      </c>
      <c r="E31" s="27">
        <f t="shared" si="9"/>
        <v>1.5653075031123069</v>
      </c>
      <c r="F31" s="27">
        <f t="shared" si="9"/>
        <v>1.547383915882458</v>
      </c>
      <c r="G31" s="27">
        <f t="shared" si="9"/>
        <v>1.5276334446456317</v>
      </c>
      <c r="H31" s="27">
        <f t="shared" si="9"/>
        <v>1.5059541254692372</v>
      </c>
      <c r="I31" s="27">
        <f t="shared" si="9"/>
        <v>1.4822675545277511</v>
      </c>
      <c r="J31" s="27">
        <f t="shared" si="9"/>
        <v>1.4565187914186608</v>
      </c>
      <c r="K31" s="28">
        <f t="shared" si="9"/>
        <v>1.4285706571518888</v>
      </c>
      <c r="M31" s="1513"/>
      <c r="N31" s="1514"/>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513"/>
      <c r="N32" s="1514"/>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513"/>
      <c r="N33" s="1514"/>
    </row>
    <row r="34" spans="1:14" ht="13.15" customHeight="1">
      <c r="A34" s="24" t="s">
        <v>1174</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513"/>
      <c r="N34" s="1514"/>
    </row>
    <row r="35" spans="1:14" ht="13.15" customHeight="1">
      <c r="A35" s="24" t="s">
        <v>1157</v>
      </c>
      <c r="B35" s="341">
        <f>IF(OR(B20="Choose mgt fee",B20="Choose One!"),"",(B14+B15+B16+B17+B18) / -(B19+B20+B21))</f>
        <v>1.3125815495883666</v>
      </c>
      <c r="C35" s="341">
        <f t="shared" ref="C35:K35" si="13">IF(OR(C20="Choose mgt fee",C20="Choose One!"),"",(C14+C15+C16+C17+C18) / -(C19+C20+C21))</f>
        <v>1.3014148744754384</v>
      </c>
      <c r="D35" s="341">
        <f t="shared" si="13"/>
        <v>1.2903280936628867</v>
      </c>
      <c r="E35" s="341">
        <f t="shared" si="13"/>
        <v>1.2793222003385958</v>
      </c>
      <c r="F35" s="341">
        <f t="shared" si="13"/>
        <v>1.2683980242784783</v>
      </c>
      <c r="G35" s="341">
        <f t="shared" si="13"/>
        <v>1.2575562442703028</v>
      </c>
      <c r="H35" s="341">
        <f t="shared" si="13"/>
        <v>1.2467920055850694</v>
      </c>
      <c r="I35" s="341">
        <f t="shared" si="13"/>
        <v>1.2361063073473753</v>
      </c>
      <c r="J35" s="341">
        <f t="shared" si="13"/>
        <v>1.2255049976090284</v>
      </c>
      <c r="K35" s="342">
        <f t="shared" si="13"/>
        <v>1.2149785665093424</v>
      </c>
      <c r="M35" s="1513"/>
      <c r="N35" s="1514"/>
    </row>
    <row r="36" spans="1:14" ht="13.15" customHeight="1">
      <c r="A36" s="564" t="s">
        <v>3416</v>
      </c>
      <c r="B36" s="1622">
        <v>1355308</v>
      </c>
      <c r="C36" s="1622">
        <v>1341280</v>
      </c>
      <c r="D36" s="1622">
        <v>1325937</v>
      </c>
      <c r="E36" s="1622">
        <v>1309154</v>
      </c>
      <c r="F36" s="1622">
        <v>1290797</v>
      </c>
      <c r="G36" s="1622">
        <v>1270718</v>
      </c>
      <c r="H36" s="1622">
        <v>1248755</v>
      </c>
      <c r="I36" s="1622">
        <v>1224732</v>
      </c>
      <c r="J36" s="1622">
        <v>1198346</v>
      </c>
      <c r="K36" s="1622">
        <v>1169714</v>
      </c>
      <c r="M36" s="1513"/>
      <c r="N36" s="1514"/>
    </row>
    <row r="37" spans="1:14" ht="13.15" customHeight="1">
      <c r="A37" s="564" t="s">
        <v>3417</v>
      </c>
      <c r="B37" s="1619" t="str">
        <f>IF('Part III-Sources of Funds'!$H$33="","",-FV('Part III-Sources of Funds'!$J$33/12,12,B24/12,'Part III-Sources of Funds'!$H$33))</f>
        <v/>
      </c>
      <c r="C37" s="1619" t="str">
        <f>IF('Part III-Sources of Funds'!$H$33="","",-FV('Part III-Sources of Funds'!$J$33/12,12,C24/12,B37))</f>
        <v/>
      </c>
      <c r="D37" s="1619" t="str">
        <f>IF('Part III-Sources of Funds'!$H$33="","",-FV('Part III-Sources of Funds'!$J$33/12,12,D24/12,C37))</f>
        <v/>
      </c>
      <c r="E37" s="1619" t="str">
        <f>IF('Part III-Sources of Funds'!$H$33="","",-FV('Part III-Sources of Funds'!$J$33/12,12,E24/12,D37))</f>
        <v/>
      </c>
      <c r="F37" s="1619" t="str">
        <f>IF('Part III-Sources of Funds'!$H$33="","",-FV('Part III-Sources of Funds'!$J$33/12,12,F24/12,E37))</f>
        <v/>
      </c>
      <c r="G37" s="1619" t="str">
        <f>IF('Part III-Sources of Funds'!$H$33="","",-FV('Part III-Sources of Funds'!$J$33/12,12,G24/12,F37))</f>
        <v/>
      </c>
      <c r="H37" s="1619" t="str">
        <f>IF('Part III-Sources of Funds'!$H$33="","",-FV('Part III-Sources of Funds'!$J$33/12,12,H24/12,G37))</f>
        <v/>
      </c>
      <c r="I37" s="1619" t="str">
        <f>IF('Part III-Sources of Funds'!$H$33="","",-FV('Part III-Sources of Funds'!$J$33/12,12,I24/12,H37))</f>
        <v/>
      </c>
      <c r="J37" s="1619" t="str">
        <f>IF('Part III-Sources of Funds'!$H$33="","",-FV('Part III-Sources of Funds'!$J$33/12,12,J24/12,I37))</f>
        <v/>
      </c>
      <c r="K37" s="1619" t="str">
        <f>IF('Part III-Sources of Funds'!$H$33="","",-FV('Part III-Sources of Funds'!$J$33/12,12,K24/12,J37))</f>
        <v/>
      </c>
      <c r="M37" s="1513"/>
      <c r="N37" s="1514"/>
    </row>
    <row r="38" spans="1:14" ht="13.15" customHeight="1">
      <c r="A38" s="564" t="s">
        <v>3418</v>
      </c>
      <c r="B38" s="1619" t="str">
        <f>IF('Part III-Sources of Funds'!$H$34="","",-FV('Part III-Sources of Funds'!$J$34/12,12,B25/12,'Part III-Sources of Funds'!$H$34))</f>
        <v/>
      </c>
      <c r="C38" s="1619" t="str">
        <f>IF('Part III-Sources of Funds'!$H$34="","",-FV('Part III-Sources of Funds'!$J$34/12,12,C25/12,B38))</f>
        <v/>
      </c>
      <c r="D38" s="1619" t="str">
        <f>IF('Part III-Sources of Funds'!$H$34="","",-FV('Part III-Sources of Funds'!$J$34/12,12,D25/12,C38))</f>
        <v/>
      </c>
      <c r="E38" s="1619" t="str">
        <f>IF('Part III-Sources of Funds'!$H$34="","",-FV('Part III-Sources of Funds'!$J$34/12,12,E25/12,D38))</f>
        <v/>
      </c>
      <c r="F38" s="1619" t="str">
        <f>IF('Part III-Sources of Funds'!$H$34="","",-FV('Part III-Sources of Funds'!$J$34/12,12,F25/12,E38))</f>
        <v/>
      </c>
      <c r="G38" s="1619" t="str">
        <f>IF('Part III-Sources of Funds'!$H$34="","",-FV('Part III-Sources of Funds'!$J$34/12,12,G25/12,F38))</f>
        <v/>
      </c>
      <c r="H38" s="1619" t="str">
        <f>IF('Part III-Sources of Funds'!$H$34="","",-FV('Part III-Sources of Funds'!$J$34/12,12,H25/12,G38))</f>
        <v/>
      </c>
      <c r="I38" s="1619" t="str">
        <f>IF('Part III-Sources of Funds'!$H$34="","",-FV('Part III-Sources of Funds'!$J$34/12,12,I25/12,H38))</f>
        <v/>
      </c>
      <c r="J38" s="1619" t="str">
        <f>IF('Part III-Sources of Funds'!$H$34="","",-FV('Part III-Sources of Funds'!$J$34/12,12,J25/12,I38))</f>
        <v/>
      </c>
      <c r="K38" s="1619" t="str">
        <f>IF('Part III-Sources of Funds'!$H$34="","",-FV('Part III-Sources of Funds'!$J$34/12,12,K25/12,J38))</f>
        <v/>
      </c>
      <c r="M38" s="1513"/>
      <c r="N38" s="1514"/>
    </row>
    <row r="39" spans="1:14" ht="13.15" customHeight="1">
      <c r="A39" s="24" t="s">
        <v>1175</v>
      </c>
      <c r="B39" s="1619" t="str">
        <f>IF('Part III-Sources of Funds'!$H$35="","",-FV('Part III-Sources of Funds'!$J$35/12,12,B24/12,'Part III-Sources of Funds'!$H$35))</f>
        <v/>
      </c>
      <c r="C39" s="1619" t="str">
        <f>IF('Part III-Sources of Funds'!$H$35="","",-FV('Part III-Sources of Funds'!$J$35/12,12,C26/12,B39))</f>
        <v/>
      </c>
      <c r="D39" s="1619" t="str">
        <f>IF('Part III-Sources of Funds'!$H$35="","",-FV('Part III-Sources of Funds'!$J$35/12,12,D26/12,C39))</f>
        <v/>
      </c>
      <c r="E39" s="1619" t="str">
        <f>IF('Part III-Sources of Funds'!$H$35="","",-FV('Part III-Sources of Funds'!$J$35/12,12,E26/12,D39))</f>
        <v/>
      </c>
      <c r="F39" s="1619" t="str">
        <f>IF('Part III-Sources of Funds'!$H$35="","",-FV('Part III-Sources of Funds'!$J$35/12,12,F26/12,E39))</f>
        <v/>
      </c>
      <c r="G39" s="1619" t="str">
        <f>IF('Part III-Sources of Funds'!$H$35="","",-FV('Part III-Sources of Funds'!$J$35/12,12,G26/12,F39))</f>
        <v/>
      </c>
      <c r="H39" s="1619" t="str">
        <f>IF('Part III-Sources of Funds'!$H$35="","",-FV('Part III-Sources of Funds'!$J$35/12,12,H26/12,G39))</f>
        <v/>
      </c>
      <c r="I39" s="1619" t="str">
        <f>IF('Part III-Sources of Funds'!$H$35="","",-FV('Part III-Sources of Funds'!$J$35/12,12,I26/12,H39))</f>
        <v/>
      </c>
      <c r="J39" s="1619" t="str">
        <f>IF('Part III-Sources of Funds'!$H$35="","",-FV('Part III-Sources of Funds'!$J$35/12,12,J26/12,I39))</f>
        <v/>
      </c>
      <c r="K39" s="1619" t="str">
        <f>IF('Part III-Sources of Funds'!$H$35="","",-FV('Part III-Sources of Funds'!$J$35/12,12,K26/12,J39))</f>
        <v/>
      </c>
      <c r="M39" s="1513"/>
      <c r="N39" s="1514"/>
    </row>
    <row r="40" spans="1:14" ht="13.15" customHeight="1">
      <c r="A40" s="29" t="s">
        <v>1658</v>
      </c>
      <c r="B40" s="1621">
        <f>IF('Part III-Sources of Funds'!$H$37="","",-FV('Part III-Sources of Funds'!$J$37/12,12,B29/12,'Part III-Sources of Funds'!$H$37))</f>
        <v>51296</v>
      </c>
      <c r="C40" s="1621">
        <f>IF('Part III-Sources of Funds'!$H$37="","",-FV('Part III-Sources of Funds'!$J$37/12,12,C29/12,B40))</f>
        <v>47632</v>
      </c>
      <c r="D40" s="1621">
        <f>IF('Part III-Sources of Funds'!$H$37="","",-FV('Part III-Sources of Funds'!$J$37/12,12,D29/12,C40))</f>
        <v>43968</v>
      </c>
      <c r="E40" s="1621">
        <f>IF('Part III-Sources of Funds'!$H$37="","",-FV('Part III-Sources of Funds'!$J$37/12,12,E29/12,D40))</f>
        <v>40304</v>
      </c>
      <c r="F40" s="1621">
        <f>IF('Part III-Sources of Funds'!$H$37="","",-FV('Part III-Sources of Funds'!$J$37/12,12,F29/12,E40))</f>
        <v>36640</v>
      </c>
      <c r="G40" s="1621">
        <f>IF('Part III-Sources of Funds'!$H$37="","",-FV('Part III-Sources of Funds'!$J$37/12,12,G29/12,F40))</f>
        <v>32976</v>
      </c>
      <c r="H40" s="1621">
        <f>IF('Part III-Sources of Funds'!$H$37="","",-FV('Part III-Sources of Funds'!$J$37/12,12,H29/12,G40))</f>
        <v>29312</v>
      </c>
      <c r="I40" s="1621">
        <f>IF('Part III-Sources of Funds'!$H$37="","",-FV('Part III-Sources of Funds'!$J$37/12,12,I29/12,H40))</f>
        <v>25648</v>
      </c>
      <c r="J40" s="1621">
        <f>IF('Part III-Sources of Funds'!$H$37="","",-FV('Part III-Sources of Funds'!$J$37/12,12,J29/12,I40))</f>
        <v>21984</v>
      </c>
      <c r="K40" s="1621">
        <f>IF('Part III-Sources of Funds'!$H$37="","",-FV('Part III-Sources of Funds'!$J$37/12,12,K29/12,J40))</f>
        <v>18320</v>
      </c>
      <c r="M40" s="1516"/>
      <c r="N40" s="1517"/>
    </row>
    <row r="41" spans="1:14" ht="4.1500000000000004" customHeight="1">
      <c r="B41" s="20"/>
      <c r="C41" s="20"/>
      <c r="D41" s="20"/>
      <c r="E41" s="20"/>
      <c r="F41" s="20"/>
      <c r="G41" s="20"/>
      <c r="H41" s="20"/>
      <c r="I41" s="20"/>
      <c r="J41" s="20"/>
      <c r="K41" s="20"/>
    </row>
    <row r="42" spans="1:14" ht="14.45" customHeight="1">
      <c r="A42" s="16" t="s">
        <v>3261</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915" t="s">
        <v>3421</v>
      </c>
      <c r="N42" s="915"/>
    </row>
    <row r="43" spans="1:14" ht="13.15" customHeight="1">
      <c r="A43" s="21" t="s">
        <v>3166</v>
      </c>
      <c r="B43" s="22">
        <f t="shared" ref="B43:K43" si="15">$B$14*(1+$B$5)^(B42-1)</f>
        <v>328835.93473778566</v>
      </c>
      <c r="C43" s="22">
        <f t="shared" si="15"/>
        <v>335412.65343254135</v>
      </c>
      <c r="D43" s="22">
        <f t="shared" si="15"/>
        <v>342120.90650119219</v>
      </c>
      <c r="E43" s="22">
        <f t="shared" si="15"/>
        <v>348963.324631216</v>
      </c>
      <c r="F43" s="22">
        <f t="shared" si="15"/>
        <v>355942.59112384036</v>
      </c>
      <c r="G43" s="22">
        <f t="shared" si="15"/>
        <v>363061.44294631708</v>
      </c>
      <c r="H43" s="22">
        <f t="shared" si="15"/>
        <v>370322.67180524353</v>
      </c>
      <c r="I43" s="22">
        <f t="shared" si="15"/>
        <v>377729.1252413484</v>
      </c>
      <c r="J43" s="22">
        <f t="shared" si="15"/>
        <v>385283.70774617535</v>
      </c>
      <c r="K43" s="23">
        <f t="shared" si="15"/>
        <v>392989.38190109882</v>
      </c>
      <c r="M43" s="1511"/>
      <c r="N43" s="1512"/>
    </row>
    <row r="44" spans="1:14" ht="13.15" customHeight="1">
      <c r="A44" s="24" t="s">
        <v>1417</v>
      </c>
      <c r="B44" s="25">
        <f t="shared" ref="B44:K44" si="16">$B$15*(1+$B$5)^(B42-1)</f>
        <v>6576.7186947557129</v>
      </c>
      <c r="C44" s="25">
        <f t="shared" si="16"/>
        <v>6708.2530686508262</v>
      </c>
      <c r="D44" s="25">
        <f t="shared" si="16"/>
        <v>6842.4181300238442</v>
      </c>
      <c r="E44" s="25">
        <f t="shared" si="16"/>
        <v>6979.2664926243206</v>
      </c>
      <c r="F44" s="25">
        <f t="shared" si="16"/>
        <v>7118.8518224768077</v>
      </c>
      <c r="G44" s="25">
        <f t="shared" si="16"/>
        <v>7261.2288589263417</v>
      </c>
      <c r="H44" s="25">
        <f t="shared" si="16"/>
        <v>7406.45343610487</v>
      </c>
      <c r="I44" s="25">
        <f t="shared" si="16"/>
        <v>7554.582504826968</v>
      </c>
      <c r="J44" s="25">
        <f t="shared" si="16"/>
        <v>7705.6741549235066</v>
      </c>
      <c r="K44" s="26">
        <f t="shared" si="16"/>
        <v>7859.7876380219759</v>
      </c>
      <c r="M44" s="1513"/>
      <c r="N44" s="1514"/>
    </row>
    <row r="45" spans="1:14" ht="13.15" customHeight="1">
      <c r="A45" s="24" t="s">
        <v>3167</v>
      </c>
      <c r="B45" s="25">
        <f t="shared" ref="B45:K45" si="17">-(B43+B44)*$B$8</f>
        <v>-23478.885740277896</v>
      </c>
      <c r="C45" s="25">
        <f t="shared" si="17"/>
        <v>-23948.463455083456</v>
      </c>
      <c r="D45" s="25">
        <f t="shared" si="17"/>
        <v>-24427.432724185128</v>
      </c>
      <c r="E45" s="25">
        <f t="shared" si="17"/>
        <v>-24915.981378668825</v>
      </c>
      <c r="F45" s="25">
        <f t="shared" si="17"/>
        <v>-25414.301006242207</v>
      </c>
      <c r="G45" s="25">
        <f t="shared" si="17"/>
        <v>-25922.58702636704</v>
      </c>
      <c r="H45" s="25">
        <f t="shared" si="17"/>
        <v>-26441.038766894391</v>
      </c>
      <c r="I45" s="25">
        <f t="shared" si="17"/>
        <v>-26969.859542232276</v>
      </c>
      <c r="J45" s="25">
        <f t="shared" si="17"/>
        <v>-27509.256733076923</v>
      </c>
      <c r="K45" s="26">
        <f t="shared" si="17"/>
        <v>-28059.44186773846</v>
      </c>
      <c r="M45" s="1513"/>
      <c r="N45" s="1514"/>
    </row>
    <row r="46" spans="1:14" ht="13.15" customHeight="1">
      <c r="A46" s="24" t="s">
        <v>56</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513"/>
      <c r="N46" s="1514"/>
    </row>
    <row r="47" spans="1:14" ht="13.15" customHeight="1">
      <c r="A47" s="24" t="s">
        <v>57</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513"/>
      <c r="N47" s="1514"/>
    </row>
    <row r="48" spans="1:14" ht="13.15" customHeight="1">
      <c r="A48" s="24" t="s">
        <v>793</v>
      </c>
      <c r="B48" s="25">
        <f t="shared" ref="B48:K48" si="18">$B$19*(1+$B$6)^(B42-1)</f>
        <v>-206284.44464742596</v>
      </c>
      <c r="C48" s="25">
        <f t="shared" si="18"/>
        <v>-212472.97798684877</v>
      </c>
      <c r="D48" s="25">
        <f t="shared" si="18"/>
        <v>-218847.16732645419</v>
      </c>
      <c r="E48" s="25">
        <f t="shared" si="18"/>
        <v>-225412.5823462478</v>
      </c>
      <c r="F48" s="25">
        <f t="shared" si="18"/>
        <v>-232174.95981663527</v>
      </c>
      <c r="G48" s="25">
        <f t="shared" si="18"/>
        <v>-239140.20861113432</v>
      </c>
      <c r="H48" s="25">
        <f t="shared" si="18"/>
        <v>-246314.41486946831</v>
      </c>
      <c r="I48" s="25">
        <f t="shared" si="18"/>
        <v>-253703.84731555238</v>
      </c>
      <c r="J48" s="25">
        <f t="shared" si="18"/>
        <v>-261314.96273501895</v>
      </c>
      <c r="K48" s="26">
        <f t="shared" si="18"/>
        <v>-269154.41161706951</v>
      </c>
      <c r="M48" s="1513"/>
      <c r="N48" s="1514"/>
    </row>
    <row r="49" spans="1:14" ht="13.15" customHeight="1">
      <c r="A49" s="24" t="s">
        <v>1522</v>
      </c>
      <c r="B49" s="25">
        <f>IF(AND('Part VII-Pro Forma'!$G$8="Yes",'Part VII-Pro Forma'!$G$9="Yes"),"Choose One!",IF('Part VII-Pro Forma'!$G$8="Yes",ROUND((-$K$8*(1+'Part VII-Pro Forma'!$B$6)^('Part VII-Pro Forma'!B42-1)),),IF('Part VII-Pro Forma'!$G$9="Yes",ROUND((-(SUM(B43:B46)*'Part VII-Pro Forma'!$K$9)),),"Choose mgt fee")))</f>
        <v>-29634</v>
      </c>
      <c r="C49" s="25">
        <f>IF(AND('Part VII-Pro Forma'!$G$8="Yes",'Part VII-Pro Forma'!$G$9="Yes"),"Choose One!",IF('Part VII-Pro Forma'!$G$8="Yes",ROUND((-$K$8*(1+'Part VII-Pro Forma'!$B$6)^('Part VII-Pro Forma'!C42-1)),),IF('Part VII-Pro Forma'!$G$9="Yes",ROUND((-(SUM(C43:C46)*'Part VII-Pro Forma'!$K$9)),),"Choose mgt fee")))</f>
        <v>-30226</v>
      </c>
      <c r="D49" s="25">
        <f>IF(AND('Part VII-Pro Forma'!$G$8="Yes",'Part VII-Pro Forma'!$G$9="Yes"),"Choose One!",IF('Part VII-Pro Forma'!$G$8="Yes",ROUND((-$K$8*(1+'Part VII-Pro Forma'!$B$6)^('Part VII-Pro Forma'!D42-1)),),IF('Part VII-Pro Forma'!$G$9="Yes",ROUND((-(SUM(D43:D46)*'Part VII-Pro Forma'!$K$9)),),"Choose mgt fee")))</f>
        <v>-30831</v>
      </c>
      <c r="E49" s="25">
        <f>IF(AND('Part VII-Pro Forma'!$G$8="Yes",'Part VII-Pro Forma'!$G$9="Yes"),"Choose One!",IF('Part VII-Pro Forma'!$G$8="Yes",ROUND((-$K$8*(1+'Part VII-Pro Forma'!$B$6)^('Part VII-Pro Forma'!E42-1)),),IF('Part VII-Pro Forma'!$G$9="Yes",ROUND((-(SUM(E43:E46)*'Part VII-Pro Forma'!$K$9)),),"Choose mgt fee")))</f>
        <v>-31448</v>
      </c>
      <c r="F49" s="25">
        <f>IF(AND('Part VII-Pro Forma'!$G$8="Yes",'Part VII-Pro Forma'!$G$9="Yes"),"Choose One!",IF('Part VII-Pro Forma'!$G$8="Yes",ROUND((-$K$8*(1+'Part VII-Pro Forma'!$B$6)^('Part VII-Pro Forma'!F42-1)),),IF('Part VII-Pro Forma'!$G$9="Yes",ROUND((-(SUM(F43:F46)*'Part VII-Pro Forma'!$K$9)),),"Choose mgt fee")))</f>
        <v>-32076</v>
      </c>
      <c r="G49" s="25">
        <f>IF(AND('Part VII-Pro Forma'!$G$8="Yes",'Part VII-Pro Forma'!$G$9="Yes"),"Choose One!",IF('Part VII-Pro Forma'!$G$8="Yes",ROUND((-$K$8*(1+'Part VII-Pro Forma'!$B$6)^('Part VII-Pro Forma'!G42-1)),),IF('Part VII-Pro Forma'!$G$9="Yes",ROUND((-(SUM(G43:G46)*'Part VII-Pro Forma'!$K$9)),),"Choose mgt fee")))</f>
        <v>-32718</v>
      </c>
      <c r="H49" s="25">
        <f>IF(AND('Part VII-Pro Forma'!$G$8="Yes",'Part VII-Pro Forma'!$G$9="Yes"),"Choose One!",IF('Part VII-Pro Forma'!$G$8="Yes",ROUND((-$K$8*(1+'Part VII-Pro Forma'!$B$6)^('Part VII-Pro Forma'!H42-1)),),IF('Part VII-Pro Forma'!$G$9="Yes",ROUND((-(SUM(H43:H46)*'Part VII-Pro Forma'!$K$9)),),"Choose mgt fee")))</f>
        <v>-33372</v>
      </c>
      <c r="I49" s="25">
        <f>IF(AND('Part VII-Pro Forma'!$G$8="Yes",'Part VII-Pro Forma'!$G$9="Yes"),"Choose One!",IF('Part VII-Pro Forma'!$G$8="Yes",ROUND((-$K$8*(1+'Part VII-Pro Forma'!$B$6)^('Part VII-Pro Forma'!I42-1)),),IF('Part VII-Pro Forma'!$G$9="Yes",ROUND((-(SUM(I43:I46)*'Part VII-Pro Forma'!$K$9)),),"Choose mgt fee")))</f>
        <v>-34040</v>
      </c>
      <c r="J49" s="25">
        <f>IF(AND('Part VII-Pro Forma'!$G$8="Yes",'Part VII-Pro Forma'!$G$9="Yes"),"Choose One!",IF('Part VII-Pro Forma'!$G$8="Yes",ROUND((-$K$8*(1+'Part VII-Pro Forma'!$B$6)^('Part VII-Pro Forma'!J42-1)),),IF('Part VII-Pro Forma'!$G$9="Yes",ROUND((-(SUM(J43:J46)*'Part VII-Pro Forma'!$K$9)),),"Choose mgt fee")))</f>
        <v>-34721</v>
      </c>
      <c r="K49" s="25">
        <f>IF(AND('Part VII-Pro Forma'!$G$8="Yes",'Part VII-Pro Forma'!$G$9="Yes"),"Choose One!",IF('Part VII-Pro Forma'!$G$8="Yes",ROUND((-$K$8*(1+'Part VII-Pro Forma'!$B$6)^('Part VII-Pro Forma'!K42-1)),),IF('Part VII-Pro Forma'!$G$9="Yes",ROUND((-(SUM(K43:K46)*'Part VII-Pro Forma'!$K$9)),),"Choose mgt fee")))</f>
        <v>-35415</v>
      </c>
      <c r="M49" s="1513"/>
      <c r="N49" s="1514"/>
    </row>
    <row r="50" spans="1:14" ht="13.15" customHeight="1">
      <c r="A50" s="24" t="s">
        <v>1621</v>
      </c>
      <c r="B50" s="25">
        <f t="shared" ref="B50:K50" si="19">$B$21*(1+$B$7)^(B42-1)</f>
        <v>-23048.165905751688</v>
      </c>
      <c r="C50" s="25">
        <f t="shared" si="19"/>
        <v>-23739.61088292424</v>
      </c>
      <c r="D50" s="25">
        <f t="shared" si="19"/>
        <v>-24451.799209411962</v>
      </c>
      <c r="E50" s="25">
        <f t="shared" si="19"/>
        <v>-25185.353185694323</v>
      </c>
      <c r="F50" s="25">
        <f t="shared" si="19"/>
        <v>-25940.913781265153</v>
      </c>
      <c r="G50" s="25">
        <f t="shared" si="19"/>
        <v>-26719.141194703108</v>
      </c>
      <c r="H50" s="25">
        <f t="shared" si="19"/>
        <v>-27520.715430544198</v>
      </c>
      <c r="I50" s="25">
        <f t="shared" si="19"/>
        <v>-28346.336893460524</v>
      </c>
      <c r="J50" s="25">
        <f t="shared" si="19"/>
        <v>-29196.727000264342</v>
      </c>
      <c r="K50" s="26">
        <f t="shared" si="19"/>
        <v>-30072.628810272268</v>
      </c>
      <c r="M50" s="1513"/>
      <c r="N50" s="1514"/>
    </row>
    <row r="51" spans="1:14" ht="13.15" customHeight="1">
      <c r="A51" s="24" t="s">
        <v>1622</v>
      </c>
      <c r="B51" s="25">
        <f t="shared" ref="B51:K51" si="20">SUM(B43:B50)</f>
        <v>52967.157139085823</v>
      </c>
      <c r="C51" s="25">
        <f t="shared" si="20"/>
        <v>51733.85417633575</v>
      </c>
      <c r="D51" s="25">
        <f t="shared" si="20"/>
        <v>50405.925371164798</v>
      </c>
      <c r="E51" s="25">
        <f t="shared" si="20"/>
        <v>48980.67421322938</v>
      </c>
      <c r="F51" s="25">
        <f t="shared" si="20"/>
        <v>47455.268342174553</v>
      </c>
      <c r="G51" s="25">
        <f t="shared" si="20"/>
        <v>45822.734973038961</v>
      </c>
      <c r="H51" s="25">
        <f t="shared" si="20"/>
        <v>44080.956174441526</v>
      </c>
      <c r="I51" s="25">
        <f t="shared" si="20"/>
        <v>42223.663994930146</v>
      </c>
      <c r="J51" s="25">
        <f t="shared" si="20"/>
        <v>40247.435432738646</v>
      </c>
      <c r="K51" s="26">
        <f t="shared" si="20"/>
        <v>38147.687244040593</v>
      </c>
      <c r="M51" s="1513"/>
      <c r="N51" s="1514"/>
    </row>
    <row r="52" spans="1:14" ht="13.15" customHeight="1">
      <c r="A52" s="24" t="str">
        <f>$A23</f>
        <v>Mortgage A</v>
      </c>
      <c r="B52" s="1618">
        <f>IF('Part III-Sources of Funds'!$M$32="", 0,-'Part III-Sources of Funds'!$M$32)</f>
        <v>-37878</v>
      </c>
      <c r="C52" s="1618">
        <f>IF('Part III-Sources of Funds'!$M$32="", 0,-'Part III-Sources of Funds'!$M$32)</f>
        <v>-37878</v>
      </c>
      <c r="D52" s="1618">
        <f>IF('Part III-Sources of Funds'!$M$32="", 0,-'Part III-Sources of Funds'!$M$32)</f>
        <v>-37878</v>
      </c>
      <c r="E52" s="1618">
        <f>IF('Part III-Sources of Funds'!$M$32="", 0,-'Part III-Sources of Funds'!$M$32)</f>
        <v>-37878</v>
      </c>
      <c r="F52" s="1618">
        <f>IF('Part III-Sources of Funds'!$M$32="", 0,-'Part III-Sources of Funds'!$M$32)</f>
        <v>-37878</v>
      </c>
      <c r="G52" s="1618">
        <f>IF('Part III-Sources of Funds'!$M$32="", 0,-'Part III-Sources of Funds'!$M$32)</f>
        <v>-37878</v>
      </c>
      <c r="H52" s="1618">
        <f>IF('Part III-Sources of Funds'!$M$32="", 0,-'Part III-Sources of Funds'!$M$32)</f>
        <v>-37878</v>
      </c>
      <c r="I52" s="1618">
        <f>IF('Part III-Sources of Funds'!$M$32="", 0,-'Part III-Sources of Funds'!$M$32)</f>
        <v>-37878</v>
      </c>
      <c r="J52" s="1618">
        <f>IF('Part III-Sources of Funds'!$M$32="", 0,-'Part III-Sources of Funds'!$M$32)</f>
        <v>-37878</v>
      </c>
      <c r="K52" s="1618">
        <f>IF('Part III-Sources of Funds'!$M$32="", 0,-'Part III-Sources of Funds'!$M$32)</f>
        <v>-37878</v>
      </c>
      <c r="M52" s="1513"/>
      <c r="N52" s="1514"/>
    </row>
    <row r="53" spans="1:14" ht="13.15" customHeight="1">
      <c r="A53" s="24" t="str">
        <f>$A24</f>
        <v>Mortgage B</v>
      </c>
      <c r="B53" s="1619">
        <f>IF('Part III-Sources of Funds'!$M$33="", 0,-'Part III-Sources of Funds'!$M$33)</f>
        <v>0</v>
      </c>
      <c r="C53" s="1619">
        <f>IF('Part III-Sources of Funds'!$M$33="", 0,-'Part III-Sources of Funds'!$M$33)</f>
        <v>0</v>
      </c>
      <c r="D53" s="1619">
        <f>IF('Part III-Sources of Funds'!$M$33="", 0,-'Part III-Sources of Funds'!$M$33)</f>
        <v>0</v>
      </c>
      <c r="E53" s="1619">
        <f>IF('Part III-Sources of Funds'!$M$33="", 0,-'Part III-Sources of Funds'!$M$33)</f>
        <v>0</v>
      </c>
      <c r="F53" s="1619">
        <f>IF('Part III-Sources of Funds'!$M$33="", 0,-'Part III-Sources of Funds'!$M$33)</f>
        <v>0</v>
      </c>
      <c r="G53" s="1619">
        <f>IF('Part III-Sources of Funds'!$M$33="", 0,-'Part III-Sources of Funds'!$M$33)</f>
        <v>0</v>
      </c>
      <c r="H53" s="1619">
        <f>IF('Part III-Sources of Funds'!$M$33="", 0,-'Part III-Sources of Funds'!$M$33)</f>
        <v>0</v>
      </c>
      <c r="I53" s="1619">
        <f>IF('Part III-Sources of Funds'!$M$33="", 0,-'Part III-Sources of Funds'!$M$33)</f>
        <v>0</v>
      </c>
      <c r="J53" s="1619">
        <f>IF('Part III-Sources of Funds'!$M$33="", 0,-'Part III-Sources of Funds'!$M$33)</f>
        <v>0</v>
      </c>
      <c r="K53" s="1619">
        <f>IF('Part III-Sources of Funds'!$M$33="", 0,-'Part III-Sources of Funds'!$M$33)</f>
        <v>0</v>
      </c>
      <c r="M53" s="1513"/>
      <c r="N53" s="1514"/>
    </row>
    <row r="54" spans="1:14" ht="13.15" customHeight="1">
      <c r="A54" s="24" t="str">
        <f>$A25</f>
        <v>Mortgage C</v>
      </c>
      <c r="B54" s="1619">
        <f>IF('Part III-Sources of Funds'!$M$34="", 0,-'Part III-Sources of Funds'!$M$34)</f>
        <v>0</v>
      </c>
      <c r="C54" s="1619">
        <f>IF('Part III-Sources of Funds'!$M$34="", 0,-'Part III-Sources of Funds'!$M$34)</f>
        <v>0</v>
      </c>
      <c r="D54" s="1619">
        <f>IF('Part III-Sources of Funds'!$M$34="", 0,-'Part III-Sources of Funds'!$M$34)</f>
        <v>0</v>
      </c>
      <c r="E54" s="1619">
        <f>IF('Part III-Sources of Funds'!$M$34="", 0,-'Part III-Sources of Funds'!$M$34)</f>
        <v>0</v>
      </c>
      <c r="F54" s="1619">
        <f>IF('Part III-Sources of Funds'!$M$34="", 0,-'Part III-Sources of Funds'!$M$34)</f>
        <v>0</v>
      </c>
      <c r="G54" s="1619">
        <f>IF('Part III-Sources of Funds'!$M$34="", 0,-'Part III-Sources of Funds'!$M$34)</f>
        <v>0</v>
      </c>
      <c r="H54" s="1619">
        <f>IF('Part III-Sources of Funds'!$M$34="", 0,-'Part III-Sources of Funds'!$M$34)</f>
        <v>0</v>
      </c>
      <c r="I54" s="1619">
        <f>IF('Part III-Sources of Funds'!$M$34="", 0,-'Part III-Sources of Funds'!$M$34)</f>
        <v>0</v>
      </c>
      <c r="J54" s="1619">
        <f>IF('Part III-Sources of Funds'!$M$34="", 0,-'Part III-Sources of Funds'!$M$34)</f>
        <v>0</v>
      </c>
      <c r="K54" s="1619">
        <f>IF('Part III-Sources of Funds'!$M$34="", 0,-'Part III-Sources of Funds'!$M$34)</f>
        <v>0</v>
      </c>
      <c r="M54" s="1513"/>
      <c r="N54" s="1514"/>
    </row>
    <row r="55" spans="1:14" ht="13.15" customHeight="1">
      <c r="A55" s="24" t="str">
        <f>$A26</f>
        <v>D/S Other Source</v>
      </c>
      <c r="B55" s="1619">
        <f>IF('Part III-Sources of Funds'!$M$35="", 0,-'Part III-Sources of Funds'!$M$35)</f>
        <v>0</v>
      </c>
      <c r="C55" s="1619">
        <f>IF('Part III-Sources of Funds'!$M$35="", 0,-'Part III-Sources of Funds'!$M$35)</f>
        <v>0</v>
      </c>
      <c r="D55" s="1619">
        <f>IF('Part III-Sources of Funds'!$M$35="", 0,-'Part III-Sources of Funds'!$M$35)</f>
        <v>0</v>
      </c>
      <c r="E55" s="1619">
        <f>IF('Part III-Sources of Funds'!$M$35="", 0,-'Part III-Sources of Funds'!$M$35)</f>
        <v>0</v>
      </c>
      <c r="F55" s="1619">
        <f>IF('Part III-Sources of Funds'!$M$35="", 0,-'Part III-Sources of Funds'!$M$35)</f>
        <v>0</v>
      </c>
      <c r="G55" s="1619">
        <f>IF('Part III-Sources of Funds'!$M$35="", 0,-'Part III-Sources of Funds'!$M$35)</f>
        <v>0</v>
      </c>
      <c r="H55" s="1619">
        <f>IF('Part III-Sources of Funds'!$M$35="", 0,-'Part III-Sources of Funds'!$M$35)</f>
        <v>0</v>
      </c>
      <c r="I55" s="1619">
        <f>IF('Part III-Sources of Funds'!$M$35="", 0,-'Part III-Sources of Funds'!$M$35)</f>
        <v>0</v>
      </c>
      <c r="J55" s="1619">
        <f>IF('Part III-Sources of Funds'!$M$35="", 0,-'Part III-Sources of Funds'!$M$35)</f>
        <v>0</v>
      </c>
      <c r="K55" s="1619">
        <f>IF('Part III-Sources of Funds'!$M$35="", 0,-'Part III-Sources of Funds'!$M$35)</f>
        <v>0</v>
      </c>
      <c r="M55" s="1513"/>
      <c r="N55" s="1514"/>
    </row>
    <row r="56" spans="1:14" ht="13.15" customHeight="1">
      <c r="A56" s="24" t="s">
        <v>1149</v>
      </c>
      <c r="B56" s="1620"/>
      <c r="C56" s="1620"/>
      <c r="D56" s="1620"/>
      <c r="E56" s="1620"/>
      <c r="F56" s="1620"/>
      <c r="G56" s="1620"/>
      <c r="H56" s="1620"/>
      <c r="I56" s="1620"/>
      <c r="J56" s="1620"/>
      <c r="K56" s="1620"/>
      <c r="M56" s="1513"/>
      <c r="N56" s="1514"/>
    </row>
    <row r="57" spans="1:14" ht="13.15" customHeight="1">
      <c r="A57" s="24" t="s">
        <v>1577</v>
      </c>
      <c r="B57" s="1619">
        <f>+K28</f>
        <v>0</v>
      </c>
      <c r="C57" s="1619">
        <f t="shared" ref="C57:K57" si="21">+B57</f>
        <v>0</v>
      </c>
      <c r="D57" s="1619">
        <f t="shared" si="21"/>
        <v>0</v>
      </c>
      <c r="E57" s="1619">
        <f t="shared" si="21"/>
        <v>0</v>
      </c>
      <c r="F57" s="1619">
        <f t="shared" si="21"/>
        <v>0</v>
      </c>
      <c r="G57" s="1619">
        <f t="shared" si="21"/>
        <v>0</v>
      </c>
      <c r="H57" s="1619">
        <f t="shared" si="21"/>
        <v>0</v>
      </c>
      <c r="I57" s="1619">
        <f t="shared" si="21"/>
        <v>0</v>
      </c>
      <c r="J57" s="1619">
        <f t="shared" si="21"/>
        <v>0</v>
      </c>
      <c r="K57" s="1619">
        <f t="shared" si="21"/>
        <v>0</v>
      </c>
      <c r="M57" s="1513"/>
      <c r="N57" s="1514"/>
    </row>
    <row r="58" spans="1:14" ht="13.15" customHeight="1">
      <c r="A58" s="24" t="s">
        <v>1623</v>
      </c>
      <c r="B58" s="1621">
        <f>-'Part III-Sources of Funds'!$M$37</f>
        <v>-3664</v>
      </c>
      <c r="C58" s="1621">
        <f>-'Part III-Sources of Funds'!$M$37</f>
        <v>-3664</v>
      </c>
      <c r="D58" s="1621">
        <f>-'Part III-Sources of Funds'!$M$37</f>
        <v>-3664</v>
      </c>
      <c r="E58" s="1621">
        <f>-'Part III-Sources of Funds'!$M$37</f>
        <v>-3664</v>
      </c>
      <c r="F58" s="1621">
        <f>-'Part III-Sources of Funds'!$M$37</f>
        <v>-3664</v>
      </c>
      <c r="G58" s="1621">
        <v>0</v>
      </c>
      <c r="H58" s="1621">
        <v>0</v>
      </c>
      <c r="I58" s="1621">
        <v>0</v>
      </c>
      <c r="J58" s="1621">
        <v>0</v>
      </c>
      <c r="K58" s="1621">
        <v>0</v>
      </c>
      <c r="M58" s="1513"/>
      <c r="N58" s="1514"/>
    </row>
    <row r="59" spans="1:14" ht="13.15" customHeight="1">
      <c r="A59" s="24" t="s">
        <v>1578</v>
      </c>
      <c r="B59" s="25">
        <f t="shared" ref="B59:K59" si="22">SUM(B51:B58)</f>
        <v>11425.157139085823</v>
      </c>
      <c r="C59" s="25">
        <f t="shared" si="22"/>
        <v>10191.85417633575</v>
      </c>
      <c r="D59" s="25">
        <f t="shared" si="22"/>
        <v>8863.925371164798</v>
      </c>
      <c r="E59" s="25">
        <f t="shared" si="22"/>
        <v>7438.6742132293803</v>
      </c>
      <c r="F59" s="25">
        <f t="shared" si="22"/>
        <v>5913.2683421745533</v>
      </c>
      <c r="G59" s="25">
        <f t="shared" si="22"/>
        <v>7944.7349730389615</v>
      </c>
      <c r="H59" s="25">
        <f t="shared" si="22"/>
        <v>6202.9561744415259</v>
      </c>
      <c r="I59" s="25">
        <f t="shared" si="22"/>
        <v>4345.6639949301461</v>
      </c>
      <c r="J59" s="25">
        <f t="shared" si="22"/>
        <v>2369.4354327386463</v>
      </c>
      <c r="K59" s="23">
        <f t="shared" si="22"/>
        <v>269.68724404059321</v>
      </c>
      <c r="M59" s="1513"/>
      <c r="N59" s="1514"/>
    </row>
    <row r="60" spans="1:14" ht="13.15" customHeight="1">
      <c r="A60" s="24" t="str">
        <f>$A31</f>
        <v>DCR Mortgage A</v>
      </c>
      <c r="B60" s="27">
        <f>IF(B52=0,"",-B51/B52)</f>
        <v>1.3983620344021812</v>
      </c>
      <c r="C60" s="27">
        <f t="shared" ref="C60:K60" si="23">IF(C52=0,"",-C51/C52)</f>
        <v>1.3658021589401697</v>
      </c>
      <c r="D60" s="27">
        <f t="shared" si="23"/>
        <v>1.3307441092762236</v>
      </c>
      <c r="E60" s="27">
        <f t="shared" si="23"/>
        <v>1.2931166960565337</v>
      </c>
      <c r="F60" s="27">
        <f t="shared" si="23"/>
        <v>1.2528451434123913</v>
      </c>
      <c r="G60" s="27">
        <f t="shared" si="23"/>
        <v>1.2097453659918411</v>
      </c>
      <c r="H60" s="27">
        <f t="shared" si="23"/>
        <v>1.1637614492434005</v>
      </c>
      <c r="I60" s="27">
        <f t="shared" si="23"/>
        <v>1.1147279158068046</v>
      </c>
      <c r="J60" s="27">
        <f t="shared" si="23"/>
        <v>1.0625543965557487</v>
      </c>
      <c r="K60" s="28">
        <f t="shared" si="23"/>
        <v>1.0071198913364114</v>
      </c>
      <c r="M60" s="1513"/>
      <c r="N60" s="1514"/>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513"/>
      <c r="N61" s="1514"/>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513"/>
      <c r="N62" s="1514"/>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513"/>
      <c r="N63" s="1514"/>
    </row>
    <row r="64" spans="1:14" ht="13.15" customHeight="1">
      <c r="A64" s="24" t="s">
        <v>1157</v>
      </c>
      <c r="B64" s="341">
        <f>IF(OR(B49="Choose mgt fee",B49="Choose One!"),"",(B43+B44+B45+B46+B47) / -(B48+B49+B50))</f>
        <v>1.2045327659266298</v>
      </c>
      <c r="C64" s="341">
        <f t="shared" ref="C64:K64" si="27">IF(OR(C49="Choose mgt fee",C49="Choose One!"),"",(C43+C44+C45+C46+C47) / -(C48+C49+C50))</f>
        <v>1.1941680234675829</v>
      </c>
      <c r="D64" s="341">
        <f t="shared" si="27"/>
        <v>1.1838760132944819</v>
      </c>
      <c r="E64" s="341">
        <f t="shared" si="27"/>
        <v>1.1736620459389044</v>
      </c>
      <c r="F64" s="341">
        <f t="shared" si="27"/>
        <v>1.1635306590560499</v>
      </c>
      <c r="G64" s="341">
        <f t="shared" si="27"/>
        <v>1.1534702314252476</v>
      </c>
      <c r="H64" s="341">
        <f t="shared" si="27"/>
        <v>1.1434893654043541</v>
      </c>
      <c r="I64" s="341">
        <f t="shared" si="27"/>
        <v>1.1335810667471089</v>
      </c>
      <c r="J64" s="341">
        <f t="shared" si="27"/>
        <v>1.1237496620204361</v>
      </c>
      <c r="K64" s="342">
        <f t="shared" si="27"/>
        <v>1.113995501567363</v>
      </c>
      <c r="M64" s="1513"/>
      <c r="N64" s="1514"/>
    </row>
    <row r="65" spans="1:14" ht="13.15" customHeight="1">
      <c r="A65" s="564" t="s">
        <v>3416</v>
      </c>
      <c r="B65" s="1622">
        <v>1138277</v>
      </c>
      <c r="C65" s="1622">
        <v>1103890</v>
      </c>
      <c r="D65" s="1622">
        <v>1066278</v>
      </c>
      <c r="E65" s="1622">
        <v>1025137</v>
      </c>
      <c r="F65" s="1622">
        <v>980138</v>
      </c>
      <c r="G65" s="1622">
        <v>930917</v>
      </c>
      <c r="H65" s="1622">
        <v>877078</v>
      </c>
      <c r="I65" s="1622">
        <v>818189</v>
      </c>
      <c r="J65" s="1622">
        <v>753776</v>
      </c>
      <c r="K65" s="1622">
        <v>683321</v>
      </c>
      <c r="M65" s="1513"/>
      <c r="N65" s="1514"/>
    </row>
    <row r="66" spans="1:14" ht="13.15" customHeight="1">
      <c r="A66" s="564" t="s">
        <v>3417</v>
      </c>
      <c r="B66" s="1619" t="str">
        <f>IF('Part III-Sources of Funds'!$H$33="","",-FV('Part III-Sources of Funds'!$J$33/12,12,B53/12,K37))</f>
        <v/>
      </c>
      <c r="C66" s="1619" t="str">
        <f>IF('Part III-Sources of Funds'!$H$33="","",-FV('Part III-Sources of Funds'!$J$33/12,12,C53/12,B66))</f>
        <v/>
      </c>
      <c r="D66" s="1619" t="str">
        <f>IF('Part III-Sources of Funds'!$H$33="","",-FV('Part III-Sources of Funds'!$J$33/12,12,D53/12,C66))</f>
        <v/>
      </c>
      <c r="E66" s="1619" t="str">
        <f>IF('Part III-Sources of Funds'!$H$33="","",-FV('Part III-Sources of Funds'!$J$33/12,12,E53/12,D66))</f>
        <v/>
      </c>
      <c r="F66" s="1619" t="str">
        <f>IF('Part III-Sources of Funds'!$H$33="","",-FV('Part III-Sources of Funds'!$J$33/12,12,F53/12,E66))</f>
        <v/>
      </c>
      <c r="G66" s="1619" t="str">
        <f>IF('Part III-Sources of Funds'!$H$33="","",-FV('Part III-Sources of Funds'!$J$33/12,12,G53/12,F66))</f>
        <v/>
      </c>
      <c r="H66" s="1619" t="str">
        <f>IF('Part III-Sources of Funds'!$H$33="","",-FV('Part III-Sources of Funds'!$J$33/12,12,H53/12,G66))</f>
        <v/>
      </c>
      <c r="I66" s="1619" t="str">
        <f>IF('Part III-Sources of Funds'!$H$33="","",-FV('Part III-Sources of Funds'!$J$33/12,12,I53/12,H66))</f>
        <v/>
      </c>
      <c r="J66" s="1619" t="str">
        <f>IF('Part III-Sources of Funds'!$H$33="","",-FV('Part III-Sources of Funds'!$J$33/12,12,J53/12,I66))</f>
        <v/>
      </c>
      <c r="K66" s="1619" t="str">
        <f>IF('Part III-Sources of Funds'!$H$33="","",-FV('Part III-Sources of Funds'!$J$33/12,12,K53/12,J66))</f>
        <v/>
      </c>
      <c r="M66" s="1513"/>
      <c r="N66" s="1514"/>
    </row>
    <row r="67" spans="1:14" ht="13.15" customHeight="1">
      <c r="A67" s="564" t="s">
        <v>3418</v>
      </c>
      <c r="B67" s="1619" t="str">
        <f>IF('Part III-Sources of Funds'!$H$34="","",-FV('Part III-Sources of Funds'!$J$34/12,12,B54/12,K38))</f>
        <v/>
      </c>
      <c r="C67" s="1619" t="str">
        <f>IF('Part III-Sources of Funds'!$H$34="","",-FV('Part III-Sources of Funds'!$J$34/12,12,C54/12,B67))</f>
        <v/>
      </c>
      <c r="D67" s="1619" t="str">
        <f>IF('Part III-Sources of Funds'!$H$34="","",-FV('Part III-Sources of Funds'!$J$34/12,12,D54/12,C67))</f>
        <v/>
      </c>
      <c r="E67" s="1619" t="str">
        <f>IF('Part III-Sources of Funds'!$H$34="","",-FV('Part III-Sources of Funds'!$J$34/12,12,E54/12,D67))</f>
        <v/>
      </c>
      <c r="F67" s="1619" t="str">
        <f>IF('Part III-Sources of Funds'!$H$34="","",-FV('Part III-Sources of Funds'!$J$34/12,12,F54/12,E67))</f>
        <v/>
      </c>
      <c r="G67" s="1619" t="str">
        <f>IF('Part III-Sources of Funds'!$H$34="","",-FV('Part III-Sources of Funds'!$J$34/12,12,G54/12,F67))</f>
        <v/>
      </c>
      <c r="H67" s="1619" t="str">
        <f>IF('Part III-Sources of Funds'!$H$34="","",-FV('Part III-Sources of Funds'!$J$34/12,12,H54/12,G67))</f>
        <v/>
      </c>
      <c r="I67" s="1619" t="str">
        <f>IF('Part III-Sources of Funds'!$H$34="","",-FV('Part III-Sources of Funds'!$J$34/12,12,I54/12,H67))</f>
        <v/>
      </c>
      <c r="J67" s="1619" t="str">
        <f>IF('Part III-Sources of Funds'!$H$34="","",-FV('Part III-Sources of Funds'!$J$34/12,12,J54/12,I67))</f>
        <v/>
      </c>
      <c r="K67" s="1619" t="str">
        <f>IF('Part III-Sources of Funds'!$H$34="","",-FV('Part III-Sources of Funds'!$J$34/12,12,K54/12,J67))</f>
        <v/>
      </c>
      <c r="M67" s="1513"/>
      <c r="N67" s="1514"/>
    </row>
    <row r="68" spans="1:14" ht="13.15" customHeight="1">
      <c r="A68" s="24" t="s">
        <v>1175</v>
      </c>
      <c r="B68" s="1619" t="str">
        <f>IF('Part III-Sources of Funds'!$H$35="","",-FV('Part III-Sources of Funds'!$J$35/12,12,B55/12,K39))</f>
        <v/>
      </c>
      <c r="C68" s="1619" t="str">
        <f>IF('Part III-Sources of Funds'!$H$35="","",-FV('Part III-Sources of Funds'!$J$35/12,12,C55/12,B68))</f>
        <v/>
      </c>
      <c r="D68" s="1619" t="str">
        <f>IF('Part III-Sources of Funds'!$H$35="","",-FV('Part III-Sources of Funds'!$J$35/12,12,D55/12,C68))</f>
        <v/>
      </c>
      <c r="E68" s="1619" t="str">
        <f>IF('Part III-Sources of Funds'!$H$35="","",-FV('Part III-Sources of Funds'!$J$35/12,12,E55/12,D68))</f>
        <v/>
      </c>
      <c r="F68" s="1619" t="str">
        <f>IF('Part III-Sources of Funds'!$H$35="","",-FV('Part III-Sources of Funds'!$J$35/12,12,F55/12,E68))</f>
        <v/>
      </c>
      <c r="G68" s="1619" t="str">
        <f>IF('Part III-Sources of Funds'!$H$35="","",-FV('Part III-Sources of Funds'!$J$35/12,12,G55/12,F68))</f>
        <v/>
      </c>
      <c r="H68" s="1619" t="str">
        <f>IF('Part III-Sources of Funds'!$H$35="","",-FV('Part III-Sources of Funds'!$J$35/12,12,H55/12,G68))</f>
        <v/>
      </c>
      <c r="I68" s="1619" t="str">
        <f>IF('Part III-Sources of Funds'!$H$35="","",-FV('Part III-Sources of Funds'!$J$35/12,12,I55/12,H68))</f>
        <v/>
      </c>
      <c r="J68" s="1619" t="str">
        <f>IF('Part III-Sources of Funds'!$H$35="","",-FV('Part III-Sources of Funds'!$J$35/12,12,J55/12,I68))</f>
        <v/>
      </c>
      <c r="K68" s="1619" t="str">
        <f>IF('Part III-Sources of Funds'!$H$35="","",-FV('Part III-Sources of Funds'!$J$35/12,12,K55/12,J68))</f>
        <v/>
      </c>
      <c r="M68" s="1513"/>
      <c r="N68" s="1514"/>
    </row>
    <row r="69" spans="1:14" ht="13.15" customHeight="1">
      <c r="A69" s="29" t="s">
        <v>1658</v>
      </c>
      <c r="B69" s="1621">
        <f>IF('Part III-Sources of Funds'!$H$37="","",-FV('Part III-Sources of Funds'!$J$37/12,12,B58/12,K40))</f>
        <v>14656</v>
      </c>
      <c r="C69" s="1621">
        <f>IF('Part III-Sources of Funds'!$H$37="","",-FV('Part III-Sources of Funds'!$J$37/12,12,C58/12,B69))</f>
        <v>10992</v>
      </c>
      <c r="D69" s="1621">
        <f>IF('Part III-Sources of Funds'!$H$37="","",-FV('Part III-Sources of Funds'!$J$37/12,12,D58/12,C69))</f>
        <v>7328</v>
      </c>
      <c r="E69" s="1621">
        <f>IF('Part III-Sources of Funds'!$H$37="","",-FV('Part III-Sources of Funds'!$J$37/12,12,E58/12,D69))</f>
        <v>3664</v>
      </c>
      <c r="F69" s="1621">
        <f>IF('Part III-Sources of Funds'!$H$37="","",-FV('Part III-Sources of Funds'!$J$37/12,12,F58/12,E69))</f>
        <v>0</v>
      </c>
      <c r="G69" s="1621">
        <f>IF('Part III-Sources of Funds'!$H$37="","",-FV('Part III-Sources of Funds'!$J$37/12,12,G58/12,F69))</f>
        <v>0</v>
      </c>
      <c r="H69" s="1621">
        <f>IF('Part III-Sources of Funds'!$H$37="","",-FV('Part III-Sources of Funds'!$J$37/12,12,H58/12,G69))</f>
        <v>0</v>
      </c>
      <c r="I69" s="1621">
        <f>IF('Part III-Sources of Funds'!$H$37="","",-FV('Part III-Sources of Funds'!$J$37/12,12,I58/12,H69))</f>
        <v>0</v>
      </c>
      <c r="J69" s="1621">
        <f>IF('Part III-Sources of Funds'!$H$37="","",-FV('Part III-Sources of Funds'!$J$37/12,12,J58/12,I69))</f>
        <v>0</v>
      </c>
      <c r="K69" s="1621">
        <f>IF('Part III-Sources of Funds'!$H$37="","",-FV('Part III-Sources of Funds'!$J$37/12,12,K58/12,J69))</f>
        <v>0</v>
      </c>
      <c r="M69" s="1516"/>
      <c r="N69" s="1517"/>
    </row>
    <row r="70" spans="1:14" ht="4.1500000000000004" customHeight="1">
      <c r="B70" s="20"/>
      <c r="C70" s="20"/>
      <c r="D70" s="20"/>
      <c r="E70" s="20"/>
      <c r="F70" s="20"/>
      <c r="G70" s="20"/>
      <c r="H70" s="20"/>
      <c r="I70" s="20"/>
      <c r="J70" s="20"/>
      <c r="K70" s="20"/>
    </row>
    <row r="71" spans="1:14" ht="14.45" customHeight="1">
      <c r="A71" s="16" t="s">
        <v>3261</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915" t="s">
        <v>3422</v>
      </c>
      <c r="N71" s="915"/>
    </row>
    <row r="72" spans="1:14" ht="13.15" customHeight="1">
      <c r="A72" s="21" t="s">
        <v>3166</v>
      </c>
      <c r="B72" s="22">
        <f t="shared" ref="B72:K72" si="29">$B$14*(1+$B$5)^(B71-1)</f>
        <v>400849.16953912086</v>
      </c>
      <c r="C72" s="22">
        <f t="shared" si="29"/>
        <v>408866.15292990324</v>
      </c>
      <c r="D72" s="22">
        <f t="shared" si="29"/>
        <v>417043.47598850133</v>
      </c>
      <c r="E72" s="22">
        <f t="shared" si="29"/>
        <v>425384.34550827125</v>
      </c>
      <c r="F72" s="22">
        <f t="shared" si="29"/>
        <v>433892.03241843672</v>
      </c>
      <c r="G72" s="22">
        <f t="shared" si="29"/>
        <v>442569.87306680542</v>
      </c>
      <c r="H72" s="22">
        <f t="shared" si="29"/>
        <v>451421.27052814158</v>
      </c>
      <c r="I72" s="22">
        <f t="shared" si="29"/>
        <v>460449.69593870436</v>
      </c>
      <c r="J72" s="22">
        <f t="shared" si="29"/>
        <v>469658.68985747854</v>
      </c>
      <c r="K72" s="23">
        <f t="shared" si="29"/>
        <v>479051.86365462805</v>
      </c>
      <c r="M72" s="1511"/>
      <c r="N72" s="1512"/>
    </row>
    <row r="73" spans="1:14" ht="13.15" customHeight="1">
      <c r="A73" s="24" t="s">
        <v>1417</v>
      </c>
      <c r="B73" s="25">
        <f t="shared" ref="B73:K73" si="30">$B$15*(1+$B$5)^(B71-1)</f>
        <v>8016.9833907824168</v>
      </c>
      <c r="C73" s="25">
        <f t="shared" si="30"/>
        <v>8177.3230585980646</v>
      </c>
      <c r="D73" s="25">
        <f t="shared" si="30"/>
        <v>8340.8695197700254</v>
      </c>
      <c r="E73" s="25">
        <f t="shared" si="30"/>
        <v>8507.6869101654247</v>
      </c>
      <c r="F73" s="25">
        <f t="shared" si="30"/>
        <v>8677.840648368734</v>
      </c>
      <c r="G73" s="25">
        <f t="shared" si="30"/>
        <v>8851.3974613361079</v>
      </c>
      <c r="H73" s="25">
        <f t="shared" si="30"/>
        <v>9028.4254105628315</v>
      </c>
      <c r="I73" s="25">
        <f t="shared" si="30"/>
        <v>9208.9939187740874</v>
      </c>
      <c r="J73" s="25">
        <f t="shared" si="30"/>
        <v>9393.1737971495695</v>
      </c>
      <c r="K73" s="26">
        <f t="shared" si="30"/>
        <v>9581.037273092561</v>
      </c>
      <c r="M73" s="1513"/>
      <c r="N73" s="1514"/>
    </row>
    <row r="74" spans="1:14" ht="13.15" customHeight="1">
      <c r="A74" s="24" t="s">
        <v>3167</v>
      </c>
      <c r="B74" s="25">
        <f t="shared" ref="B74:K74" si="31">-(B72+B73)*$B$8</f>
        <v>-28620.630705093234</v>
      </c>
      <c r="C74" s="25">
        <f t="shared" si="31"/>
        <v>-29193.043319195098</v>
      </c>
      <c r="D74" s="25">
        <f t="shared" si="31"/>
        <v>-29776.904185578998</v>
      </c>
      <c r="E74" s="25">
        <f t="shared" si="31"/>
        <v>-30372.442269290568</v>
      </c>
      <c r="F74" s="25">
        <f t="shared" si="31"/>
        <v>-30979.891114676386</v>
      </c>
      <c r="G74" s="25">
        <f t="shared" si="31"/>
        <v>-31599.488936969909</v>
      </c>
      <c r="H74" s="25">
        <f t="shared" si="31"/>
        <v>-32231.478715709312</v>
      </c>
      <c r="I74" s="25">
        <f t="shared" si="31"/>
        <v>-32876.108290023491</v>
      </c>
      <c r="J74" s="25">
        <f t="shared" si="31"/>
        <v>-33533.630455823972</v>
      </c>
      <c r="K74" s="26">
        <f t="shared" si="31"/>
        <v>-34204.303064940446</v>
      </c>
      <c r="M74" s="1513"/>
      <c r="N74" s="1514"/>
    </row>
    <row r="75" spans="1:14" ht="13.15" customHeight="1">
      <c r="A75" s="24" t="s">
        <v>56</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513"/>
      <c r="N75" s="1514"/>
    </row>
    <row r="76" spans="1:14" ht="13.15" customHeight="1">
      <c r="A76" s="24" t="s">
        <v>57</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513"/>
      <c r="N76" s="1514"/>
    </row>
    <row r="77" spans="1:14" ht="13.15" customHeight="1">
      <c r="A77" s="24" t="s">
        <v>793</v>
      </c>
      <c r="B77" s="25">
        <f t="shared" ref="B77:K77" si="32">$B$19*(1+$B$6)^(B71-1)</f>
        <v>-277229.04396558157</v>
      </c>
      <c r="C77" s="25">
        <f t="shared" si="32"/>
        <v>-285545.915284549</v>
      </c>
      <c r="D77" s="25">
        <f t="shared" si="32"/>
        <v>-294112.29274308548</v>
      </c>
      <c r="E77" s="25">
        <f t="shared" si="32"/>
        <v>-302935.66152537806</v>
      </c>
      <c r="F77" s="25">
        <f t="shared" si="32"/>
        <v>-312023.73137113935</v>
      </c>
      <c r="G77" s="25">
        <f t="shared" si="32"/>
        <v>-321384.44331227354</v>
      </c>
      <c r="H77" s="25">
        <f t="shared" si="32"/>
        <v>-331025.97661164182</v>
      </c>
      <c r="I77" s="25">
        <f t="shared" si="32"/>
        <v>-340956.75590999104</v>
      </c>
      <c r="J77" s="25">
        <f t="shared" si="32"/>
        <v>-351185.45858729078</v>
      </c>
      <c r="K77" s="26">
        <f t="shared" si="32"/>
        <v>-361721.02234490943</v>
      </c>
      <c r="M77" s="1513"/>
      <c r="N77" s="1514"/>
    </row>
    <row r="78" spans="1:14" ht="13.15" customHeight="1">
      <c r="A78" s="24" t="s">
        <v>1522</v>
      </c>
      <c r="B78" s="25">
        <f>IF(AND('Part VII-Pro Forma'!$G$8="Yes",'Part VII-Pro Forma'!$G$9="Yes"),"Choose One!",IF('Part VII-Pro Forma'!$G$8="Yes",ROUND((-$K$8*(1+'Part VII-Pro Forma'!$B$6)^('Part VII-Pro Forma'!B71-1)),),IF('Part VII-Pro Forma'!$G$9="Yes",ROUND((-(SUM(B72:B75)*'Part VII-Pro Forma'!$K$9)),),"Choose mgt fee")))</f>
        <v>-36123</v>
      </c>
      <c r="C78" s="25">
        <f>IF(AND('Part VII-Pro Forma'!$G$8="Yes",'Part VII-Pro Forma'!$G$9="Yes"),"Choose One!",IF('Part VII-Pro Forma'!$G$8="Yes",ROUND((-$K$8*(1+'Part VII-Pro Forma'!$B$6)^('Part VII-Pro Forma'!C71-1)),),IF('Part VII-Pro Forma'!$G$9="Yes",ROUND((-(SUM(C72:C75)*'Part VII-Pro Forma'!$K$9)),),"Choose mgt fee")))</f>
        <v>-36846</v>
      </c>
      <c r="D78" s="25">
        <f>IF(AND('Part VII-Pro Forma'!$G$8="Yes",'Part VII-Pro Forma'!$G$9="Yes"),"Choose One!",IF('Part VII-Pro Forma'!$G$8="Yes",ROUND((-$K$8*(1+'Part VII-Pro Forma'!$B$6)^('Part VII-Pro Forma'!D71-1)),),IF('Part VII-Pro Forma'!$G$9="Yes",ROUND((-(SUM(D72:D75)*'Part VII-Pro Forma'!$K$9)),),"Choose mgt fee")))</f>
        <v>-37583</v>
      </c>
      <c r="E78" s="25">
        <f>IF(AND('Part VII-Pro Forma'!$G$8="Yes",'Part VII-Pro Forma'!$G$9="Yes"),"Choose One!",IF('Part VII-Pro Forma'!$G$8="Yes",ROUND((-$K$8*(1+'Part VII-Pro Forma'!$B$6)^('Part VII-Pro Forma'!E71-1)),),IF('Part VII-Pro Forma'!$G$9="Yes",ROUND((-(SUM(E72:E75)*'Part VII-Pro Forma'!$K$9)),),"Choose mgt fee")))</f>
        <v>-38334</v>
      </c>
      <c r="F78" s="25">
        <f>IF(AND('Part VII-Pro Forma'!$G$8="Yes",'Part VII-Pro Forma'!$G$9="Yes"),"Choose One!",IF('Part VII-Pro Forma'!$G$8="Yes",ROUND((-$K$8*(1+'Part VII-Pro Forma'!$B$6)^('Part VII-Pro Forma'!F71-1)),),IF('Part VII-Pro Forma'!$G$9="Yes",ROUND((-(SUM(F72:F75)*'Part VII-Pro Forma'!$K$9)),),"Choose mgt fee")))</f>
        <v>-39101</v>
      </c>
      <c r="G78" s="25">
        <f>IF(AND('Part VII-Pro Forma'!$G$8="Yes",'Part VII-Pro Forma'!$G$9="Yes"),"Choose One!",IF('Part VII-Pro Forma'!$G$8="Yes",ROUND((-$K$8*(1+'Part VII-Pro Forma'!$B$6)^('Part VII-Pro Forma'!G71-1)),),IF('Part VII-Pro Forma'!$G$9="Yes",ROUND((-(SUM(G72:G75)*'Part VII-Pro Forma'!$K$9)),),"Choose mgt fee")))</f>
        <v>-39883</v>
      </c>
      <c r="H78" s="25">
        <f>IF(AND('Part VII-Pro Forma'!$G$8="Yes",'Part VII-Pro Forma'!$G$9="Yes"),"Choose One!",IF('Part VII-Pro Forma'!$G$8="Yes",ROUND((-$K$8*(1+'Part VII-Pro Forma'!$B$6)^('Part VII-Pro Forma'!H71-1)),),IF('Part VII-Pro Forma'!$G$9="Yes",ROUND((-(SUM(H72:H75)*'Part VII-Pro Forma'!$K$9)),),"Choose mgt fee")))</f>
        <v>-40681</v>
      </c>
      <c r="I78" s="25">
        <f>IF(AND('Part VII-Pro Forma'!$G$8="Yes",'Part VII-Pro Forma'!$G$9="Yes"),"Choose One!",IF('Part VII-Pro Forma'!$G$8="Yes",ROUND((-$K$8*(1+'Part VII-Pro Forma'!$B$6)^('Part VII-Pro Forma'!I71-1)),),IF('Part VII-Pro Forma'!$G$9="Yes",ROUND((-(SUM(I72:I75)*'Part VII-Pro Forma'!$K$9)),),"Choose mgt fee")))</f>
        <v>-41494</v>
      </c>
      <c r="J78" s="25">
        <f>IF(AND('Part VII-Pro Forma'!$G$8="Yes",'Part VII-Pro Forma'!$G$9="Yes"),"Choose One!",IF('Part VII-Pro Forma'!$G$8="Yes",ROUND((-$K$8*(1+'Part VII-Pro Forma'!$B$6)^('Part VII-Pro Forma'!J71-1)),),IF('Part VII-Pro Forma'!$G$9="Yes",ROUND((-(SUM(J72:J75)*'Part VII-Pro Forma'!$K$9)),),"Choose mgt fee")))</f>
        <v>-42324</v>
      </c>
      <c r="K78" s="25">
        <f>IF(AND('Part VII-Pro Forma'!$G$8="Yes",'Part VII-Pro Forma'!$G$9="Yes"),"Choose One!",IF('Part VII-Pro Forma'!$G$8="Yes",ROUND((-$K$8*(1+'Part VII-Pro Forma'!$B$6)^('Part VII-Pro Forma'!K71-1)),),IF('Part VII-Pro Forma'!$G$9="Yes",ROUND((-(SUM(K72:K75)*'Part VII-Pro Forma'!$K$9)),),"Choose mgt fee")))</f>
        <v>-43171</v>
      </c>
      <c r="M78" s="1513"/>
      <c r="N78" s="1514"/>
    </row>
    <row r="79" spans="1:14" ht="13.15" customHeight="1">
      <c r="A79" s="24" t="s">
        <v>1621</v>
      </c>
      <c r="B79" s="25">
        <f t="shared" ref="B79:K79" si="33">$B$21*(1+$B$7)^(B71-1)</f>
        <v>-30974.807674580436</v>
      </c>
      <c r="C79" s="25">
        <f t="shared" si="33"/>
        <v>-31904.051904817847</v>
      </c>
      <c r="D79" s="25">
        <f t="shared" si="33"/>
        <v>-32861.173461962382</v>
      </c>
      <c r="E79" s="25">
        <f t="shared" si="33"/>
        <v>-33847.00866582126</v>
      </c>
      <c r="F79" s="25">
        <f t="shared" si="33"/>
        <v>-34862.418925795893</v>
      </c>
      <c r="G79" s="25">
        <f t="shared" si="33"/>
        <v>-35908.29149356977</v>
      </c>
      <c r="H79" s="25">
        <f t="shared" si="33"/>
        <v>-36985.540238376867</v>
      </c>
      <c r="I79" s="25">
        <f t="shared" si="33"/>
        <v>-38095.106445528167</v>
      </c>
      <c r="J79" s="25">
        <f t="shared" si="33"/>
        <v>-39237.959638894012</v>
      </c>
      <c r="K79" s="26">
        <f t="shared" si="33"/>
        <v>-40415.098428060832</v>
      </c>
      <c r="M79" s="1513"/>
      <c r="N79" s="1514"/>
    </row>
    <row r="80" spans="1:14" ht="13.15" customHeight="1">
      <c r="A80" s="24" t="s">
        <v>1622</v>
      </c>
      <c r="B80" s="25">
        <f t="shared" ref="B80:K80" si="34">SUM(B72:B79)</f>
        <v>35918.670584648084</v>
      </c>
      <c r="C80" s="25">
        <f t="shared" si="34"/>
        <v>33554.465479939383</v>
      </c>
      <c r="D80" s="25">
        <f t="shared" si="34"/>
        <v>31050.975117644521</v>
      </c>
      <c r="E80" s="25">
        <f t="shared" si="34"/>
        <v>28402.919957946775</v>
      </c>
      <c r="F80" s="25">
        <f t="shared" si="34"/>
        <v>25602.831655193862</v>
      </c>
      <c r="G80" s="25">
        <f t="shared" si="34"/>
        <v>22646.046785328326</v>
      </c>
      <c r="H80" s="25">
        <f t="shared" si="34"/>
        <v>19525.70037297644</v>
      </c>
      <c r="I80" s="25">
        <f t="shared" si="34"/>
        <v>16236.719211935757</v>
      </c>
      <c r="J80" s="25">
        <f t="shared" si="34"/>
        <v>12770.814972619351</v>
      </c>
      <c r="K80" s="26">
        <f t="shared" si="34"/>
        <v>9121.4770898098868</v>
      </c>
      <c r="M80" s="1513"/>
      <c r="N80" s="1514"/>
    </row>
    <row r="81" spans="1:14" ht="13.15" customHeight="1">
      <c r="A81" s="24" t="str">
        <f>$A52</f>
        <v>Mortgage A</v>
      </c>
      <c r="B81" s="1618">
        <f>IF('Part III-Sources of Funds'!$M$32="", 0,-'Part III-Sources of Funds'!$M$32)</f>
        <v>-37878</v>
      </c>
      <c r="C81" s="1618">
        <f>IF('Part III-Sources of Funds'!$M$32="", 0,-'Part III-Sources of Funds'!$M$32)</f>
        <v>-37878</v>
      </c>
      <c r="D81" s="1618">
        <f>IF('Part III-Sources of Funds'!$M$32="", 0,-'Part III-Sources of Funds'!$M$32)</f>
        <v>-37878</v>
      </c>
      <c r="E81" s="1618">
        <f>IF('Part III-Sources of Funds'!$M$32="", 0,-'Part III-Sources of Funds'!$M$32)</f>
        <v>-37878</v>
      </c>
      <c r="F81" s="1618">
        <f>IF('Part III-Sources of Funds'!$M$32="", 0,-'Part III-Sources of Funds'!$M$32)</f>
        <v>-37878</v>
      </c>
      <c r="G81" s="1618">
        <f>IF('Part III-Sources of Funds'!$M$32="", 0,-'Part III-Sources of Funds'!$M$32)</f>
        <v>-37878</v>
      </c>
      <c r="H81" s="1618">
        <f>IF('Part III-Sources of Funds'!$M$32="", 0,-'Part III-Sources of Funds'!$M$32)</f>
        <v>-37878</v>
      </c>
      <c r="I81" s="1618">
        <v>0</v>
      </c>
      <c r="J81" s="1618">
        <v>0</v>
      </c>
      <c r="K81" s="1618">
        <v>0</v>
      </c>
      <c r="M81" s="1513"/>
      <c r="N81" s="1514"/>
    </row>
    <row r="82" spans="1:14" ht="13.15" customHeight="1">
      <c r="A82" s="24" t="str">
        <f>$A53</f>
        <v>Mortgage B</v>
      </c>
      <c r="B82" s="1619">
        <f>IF('Part III-Sources of Funds'!$M$33="", 0,-'Part III-Sources of Funds'!$M$33)</f>
        <v>0</v>
      </c>
      <c r="C82" s="1619">
        <f>IF('Part III-Sources of Funds'!$M$33="", 0,-'Part III-Sources of Funds'!$M$33)</f>
        <v>0</v>
      </c>
      <c r="D82" s="1619">
        <f>IF('Part III-Sources of Funds'!$M$33="", 0,-'Part III-Sources of Funds'!$M$33)</f>
        <v>0</v>
      </c>
      <c r="E82" s="1619">
        <f>IF('Part III-Sources of Funds'!$M$33="", 0,-'Part III-Sources of Funds'!$M$33)</f>
        <v>0</v>
      </c>
      <c r="F82" s="1619">
        <f>IF('Part III-Sources of Funds'!$M$33="", 0,-'Part III-Sources of Funds'!$M$33)</f>
        <v>0</v>
      </c>
      <c r="G82" s="1619">
        <f>IF('Part III-Sources of Funds'!$M$33="", 0,-'Part III-Sources of Funds'!$M$33)</f>
        <v>0</v>
      </c>
      <c r="H82" s="1619">
        <f>IF('Part III-Sources of Funds'!$M$33="", 0,-'Part III-Sources of Funds'!$M$33)</f>
        <v>0</v>
      </c>
      <c r="I82" s="1619">
        <f>IF('Part III-Sources of Funds'!$M$33="", 0,-'Part III-Sources of Funds'!$M$33)</f>
        <v>0</v>
      </c>
      <c r="J82" s="1619">
        <f>IF('Part III-Sources of Funds'!$M$33="", 0,-'Part III-Sources of Funds'!$M$33)</f>
        <v>0</v>
      </c>
      <c r="K82" s="1619">
        <f>IF('Part III-Sources of Funds'!$M$33="", 0,-'Part III-Sources of Funds'!$M$33)</f>
        <v>0</v>
      </c>
      <c r="M82" s="1513"/>
      <c r="N82" s="1514"/>
    </row>
    <row r="83" spans="1:14" ht="13.15" customHeight="1">
      <c r="A83" s="24" t="str">
        <f>$A54</f>
        <v>Mortgage C</v>
      </c>
      <c r="B83" s="1619">
        <f>IF('Part III-Sources of Funds'!$M$34="", 0,-'Part III-Sources of Funds'!$M$34)</f>
        <v>0</v>
      </c>
      <c r="C83" s="1619">
        <f>IF('Part III-Sources of Funds'!$M$34="", 0,-'Part III-Sources of Funds'!$M$34)</f>
        <v>0</v>
      </c>
      <c r="D83" s="1619">
        <f>IF('Part III-Sources of Funds'!$M$34="", 0,-'Part III-Sources of Funds'!$M$34)</f>
        <v>0</v>
      </c>
      <c r="E83" s="1619">
        <f>IF('Part III-Sources of Funds'!$M$34="", 0,-'Part III-Sources of Funds'!$M$34)</f>
        <v>0</v>
      </c>
      <c r="F83" s="1619">
        <f>IF('Part III-Sources of Funds'!$M$34="", 0,-'Part III-Sources of Funds'!$M$34)</f>
        <v>0</v>
      </c>
      <c r="G83" s="1619">
        <f>IF('Part III-Sources of Funds'!$M$34="", 0,-'Part III-Sources of Funds'!$M$34)</f>
        <v>0</v>
      </c>
      <c r="H83" s="1619">
        <f>IF('Part III-Sources of Funds'!$M$34="", 0,-'Part III-Sources of Funds'!$M$34)</f>
        <v>0</v>
      </c>
      <c r="I83" s="1619">
        <f>IF('Part III-Sources of Funds'!$M$34="", 0,-'Part III-Sources of Funds'!$M$34)</f>
        <v>0</v>
      </c>
      <c r="J83" s="1619">
        <f>IF('Part III-Sources of Funds'!$M$34="", 0,-'Part III-Sources of Funds'!$M$34)</f>
        <v>0</v>
      </c>
      <c r="K83" s="1619">
        <f>IF('Part III-Sources of Funds'!$M$34="", 0,-'Part III-Sources of Funds'!$M$34)</f>
        <v>0</v>
      </c>
      <c r="M83" s="1513"/>
      <c r="N83" s="1514"/>
    </row>
    <row r="84" spans="1:14" ht="13.15" customHeight="1">
      <c r="A84" s="24" t="str">
        <f>$A55</f>
        <v>D/S Other Source</v>
      </c>
      <c r="B84" s="1619">
        <f>IF('Part III-Sources of Funds'!$M$35="", 0,-'Part III-Sources of Funds'!$M$35)</f>
        <v>0</v>
      </c>
      <c r="C84" s="1619">
        <f>IF('Part III-Sources of Funds'!$M$35="", 0,-'Part III-Sources of Funds'!$M$35)</f>
        <v>0</v>
      </c>
      <c r="D84" s="1619">
        <f>IF('Part III-Sources of Funds'!$M$35="", 0,-'Part III-Sources of Funds'!$M$35)</f>
        <v>0</v>
      </c>
      <c r="E84" s="1619">
        <f>IF('Part III-Sources of Funds'!$M$35="", 0,-'Part III-Sources of Funds'!$M$35)</f>
        <v>0</v>
      </c>
      <c r="F84" s="1619">
        <f>IF('Part III-Sources of Funds'!$M$35="", 0,-'Part III-Sources of Funds'!$M$35)</f>
        <v>0</v>
      </c>
      <c r="G84" s="1619">
        <f>IF('Part III-Sources of Funds'!$M$35="", 0,-'Part III-Sources of Funds'!$M$35)</f>
        <v>0</v>
      </c>
      <c r="H84" s="1619">
        <f>IF('Part III-Sources of Funds'!$M$35="", 0,-'Part III-Sources of Funds'!$M$35)</f>
        <v>0</v>
      </c>
      <c r="I84" s="1619">
        <f>IF('Part III-Sources of Funds'!$M$35="", 0,-'Part III-Sources of Funds'!$M$35)</f>
        <v>0</v>
      </c>
      <c r="J84" s="1619">
        <f>IF('Part III-Sources of Funds'!$M$35="", 0,-'Part III-Sources of Funds'!$M$35)</f>
        <v>0</v>
      </c>
      <c r="K84" s="1619">
        <f>IF('Part III-Sources of Funds'!$M$35="", 0,-'Part III-Sources of Funds'!$M$35)</f>
        <v>0</v>
      </c>
      <c r="M84" s="1513"/>
      <c r="N84" s="1514"/>
    </row>
    <row r="85" spans="1:14" ht="13.15" customHeight="1">
      <c r="A85" s="24" t="s">
        <v>1149</v>
      </c>
      <c r="B85" s="1620"/>
      <c r="C85" s="1620"/>
      <c r="D85" s="1620"/>
      <c r="E85" s="1620"/>
      <c r="F85" s="1620"/>
      <c r="G85" s="1620"/>
      <c r="H85" s="1620"/>
      <c r="I85" s="1620"/>
      <c r="J85" s="1620"/>
      <c r="K85" s="1620"/>
      <c r="M85" s="1513"/>
      <c r="N85" s="1514"/>
    </row>
    <row r="86" spans="1:14" ht="13.15" customHeight="1">
      <c r="A86" s="24" t="s">
        <v>1577</v>
      </c>
      <c r="B86" s="1619">
        <f>+K57</f>
        <v>0</v>
      </c>
      <c r="C86" s="1619">
        <f t="shared" ref="C86:K86" si="35">+B86</f>
        <v>0</v>
      </c>
      <c r="D86" s="1619">
        <f t="shared" si="35"/>
        <v>0</v>
      </c>
      <c r="E86" s="1619">
        <f t="shared" si="35"/>
        <v>0</v>
      </c>
      <c r="F86" s="1619">
        <f t="shared" si="35"/>
        <v>0</v>
      </c>
      <c r="G86" s="1619">
        <f t="shared" si="35"/>
        <v>0</v>
      </c>
      <c r="H86" s="1619">
        <f t="shared" si="35"/>
        <v>0</v>
      </c>
      <c r="I86" s="1619">
        <f t="shared" si="35"/>
        <v>0</v>
      </c>
      <c r="J86" s="1619">
        <f t="shared" si="35"/>
        <v>0</v>
      </c>
      <c r="K86" s="1619">
        <f t="shared" si="35"/>
        <v>0</v>
      </c>
      <c r="M86" s="1513"/>
      <c r="N86" s="1514"/>
    </row>
    <row r="87" spans="1:14" ht="13.15" customHeight="1">
      <c r="A87" s="24" t="s">
        <v>1623</v>
      </c>
      <c r="B87" s="1621">
        <v>0</v>
      </c>
      <c r="C87" s="1621">
        <v>0</v>
      </c>
      <c r="D87" s="1621">
        <v>0</v>
      </c>
      <c r="E87" s="1621">
        <v>0</v>
      </c>
      <c r="F87" s="1621">
        <v>0</v>
      </c>
      <c r="G87" s="1621">
        <v>0</v>
      </c>
      <c r="H87" s="1621">
        <v>0</v>
      </c>
      <c r="I87" s="1621">
        <v>0</v>
      </c>
      <c r="J87" s="1621">
        <v>0</v>
      </c>
      <c r="K87" s="1619">
        <v>0</v>
      </c>
      <c r="M87" s="1513"/>
      <c r="N87" s="1514"/>
    </row>
    <row r="88" spans="1:14" ht="13.15" customHeight="1">
      <c r="A88" s="24" t="s">
        <v>1578</v>
      </c>
      <c r="B88" s="25">
        <f t="shared" ref="B88:K88" si="36">SUM(B80:B87)</f>
        <v>-1959.3294153519164</v>
      </c>
      <c r="C88" s="25">
        <f t="shared" si="36"/>
        <v>-4323.5345200606171</v>
      </c>
      <c r="D88" s="25">
        <f t="shared" si="36"/>
        <v>-6827.0248823554793</v>
      </c>
      <c r="E88" s="25">
        <f t="shared" si="36"/>
        <v>-9475.080042053225</v>
      </c>
      <c r="F88" s="25">
        <f t="shared" si="36"/>
        <v>-12275.168344806138</v>
      </c>
      <c r="G88" s="25">
        <f t="shared" si="36"/>
        <v>-15231.953214671674</v>
      </c>
      <c r="H88" s="25">
        <f t="shared" si="36"/>
        <v>-18352.29962702356</v>
      </c>
      <c r="I88" s="25">
        <f t="shared" si="36"/>
        <v>16236.719211935757</v>
      </c>
      <c r="J88" s="25">
        <f t="shared" si="36"/>
        <v>12770.814972619351</v>
      </c>
      <c r="K88" s="23">
        <f t="shared" si="36"/>
        <v>9121.4770898098868</v>
      </c>
      <c r="M88" s="1513"/>
      <c r="N88" s="1514"/>
    </row>
    <row r="89" spans="1:14" ht="13.15" customHeight="1">
      <c r="A89" s="24" t="str">
        <f>$A60</f>
        <v>DCR Mortgage A</v>
      </c>
      <c r="B89" s="27">
        <f>IF(B81=0,"",-B80/B81)</f>
        <v>0.94827262750536156</v>
      </c>
      <c r="C89" s="27">
        <f t="shared" ref="C89:K89" si="37">IF(C81=0,"",-C80/C81)</f>
        <v>0.88585631448174096</v>
      </c>
      <c r="D89" s="27">
        <f t="shared" si="37"/>
        <v>0.81976279417193409</v>
      </c>
      <c r="E89" s="27">
        <f t="shared" si="37"/>
        <v>0.74985268382561843</v>
      </c>
      <c r="F89" s="27">
        <f t="shared" si="37"/>
        <v>0.67592881501647029</v>
      </c>
      <c r="G89" s="27">
        <f t="shared" si="37"/>
        <v>0.59786807078854021</v>
      </c>
      <c r="H89" s="27">
        <f t="shared" si="37"/>
        <v>0.51548921202218811</v>
      </c>
      <c r="I89" s="27" t="str">
        <f t="shared" si="37"/>
        <v/>
      </c>
      <c r="J89" s="27" t="str">
        <f t="shared" si="37"/>
        <v/>
      </c>
      <c r="K89" s="28" t="str">
        <f t="shared" si="37"/>
        <v/>
      </c>
      <c r="M89" s="1513"/>
      <c r="N89" s="1514"/>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513"/>
      <c r="N90" s="1514"/>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513"/>
      <c r="N91" s="1514"/>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513"/>
      <c r="N92" s="1514"/>
    </row>
    <row r="93" spans="1:14" ht="13.15" customHeight="1">
      <c r="A93" s="24" t="s">
        <v>1157</v>
      </c>
      <c r="B93" s="341">
        <f>IF(OR(B78="Choose mgt fee",B78="Choose One!"),"",(B72+B73+B74+B75+B76) / -(B77+B78+B79))</f>
        <v>1.1043156245687886</v>
      </c>
      <c r="C93" s="341">
        <f t="shared" ref="C93:K93" si="41">IF(OR(C78="Choose mgt fee",C78="Choose One!"),"",(C72+C73+C74+C75+C76) / -(C77+C78+C79))</f>
        <v>1.0947074440223727</v>
      </c>
      <c r="D93" s="341">
        <f t="shared" si="41"/>
        <v>1.0851746656447445</v>
      </c>
      <c r="E93" s="341">
        <f t="shared" si="41"/>
        <v>1.0757175626011759</v>
      </c>
      <c r="F93" s="341">
        <f t="shared" si="41"/>
        <v>1.0663307875288022</v>
      </c>
      <c r="G93" s="341">
        <f t="shared" si="41"/>
        <v>1.0570176997252831</v>
      </c>
      <c r="H93" s="341">
        <f t="shared" si="41"/>
        <v>1.0477760163642584</v>
      </c>
      <c r="I93" s="341">
        <f t="shared" si="41"/>
        <v>1.0386086766399085</v>
      </c>
      <c r="J93" s="341">
        <f t="shared" si="41"/>
        <v>1.0295110136646601</v>
      </c>
      <c r="K93" s="342">
        <f t="shared" si="41"/>
        <v>1.0204835644082599</v>
      </c>
      <c r="M93" s="1513"/>
      <c r="N93" s="1514"/>
    </row>
    <row r="94" spans="1:14" ht="13.15" customHeight="1">
      <c r="A94" s="564" t="s">
        <v>3416</v>
      </c>
      <c r="B94" s="1622">
        <v>606257</v>
      </c>
      <c r="C94" s="1622">
        <v>521963</v>
      </c>
      <c r="D94" s="1622">
        <v>429762</v>
      </c>
      <c r="E94" s="1622">
        <v>328912</v>
      </c>
      <c r="F94" s="1622">
        <v>218601</v>
      </c>
      <c r="G94" s="1622">
        <v>97943</v>
      </c>
      <c r="H94" s="1622">
        <v>0</v>
      </c>
      <c r="I94" s="1622">
        <v>0</v>
      </c>
      <c r="J94" s="1622">
        <v>0</v>
      </c>
      <c r="K94" s="1622">
        <v>0</v>
      </c>
      <c r="M94" s="1513"/>
      <c r="N94" s="1514"/>
    </row>
    <row r="95" spans="1:14" ht="13.15" customHeight="1">
      <c r="A95" s="564" t="s">
        <v>3417</v>
      </c>
      <c r="B95" s="1619" t="str">
        <f>IF('Part III-Sources of Funds'!$H$33="","",-FV('Part III-Sources of Funds'!$J$33/12,12,B82/12,K66))</f>
        <v/>
      </c>
      <c r="C95" s="1619" t="str">
        <f>IF('Part III-Sources of Funds'!$H$33="","",-FV('Part III-Sources of Funds'!$J$33/12,12,C82/12,B95))</f>
        <v/>
      </c>
      <c r="D95" s="1619" t="str">
        <f>IF('Part III-Sources of Funds'!$H$33="","",-FV('Part III-Sources of Funds'!$J$33/12,12,D82/12,C95))</f>
        <v/>
      </c>
      <c r="E95" s="1619" t="str">
        <f>IF('Part III-Sources of Funds'!$H$33="","",-FV('Part III-Sources of Funds'!$J$33/12,12,E82/12,D95))</f>
        <v/>
      </c>
      <c r="F95" s="1619" t="str">
        <f>IF('Part III-Sources of Funds'!$H$33="","",-FV('Part III-Sources of Funds'!$J$33/12,12,F82/12,E95))</f>
        <v/>
      </c>
      <c r="G95" s="1619" t="str">
        <f>IF('Part III-Sources of Funds'!$H$33="","",-FV('Part III-Sources of Funds'!$J$33/12,12,G82/12,F95))</f>
        <v/>
      </c>
      <c r="H95" s="1619" t="str">
        <f>IF('Part III-Sources of Funds'!$H$33="","",-FV('Part III-Sources of Funds'!$J$33/12,12,H82/12,G95))</f>
        <v/>
      </c>
      <c r="I95" s="1619" t="str">
        <f>IF('Part III-Sources of Funds'!$H$33="","",-FV('Part III-Sources of Funds'!$J$33/12,12,I82/12,H95))</f>
        <v/>
      </c>
      <c r="J95" s="1619" t="str">
        <f>IF('Part III-Sources of Funds'!$H$33="","",-FV('Part III-Sources of Funds'!$J$33/12,12,J82/12,I95))</f>
        <v/>
      </c>
      <c r="K95" s="1619" t="str">
        <f>IF('Part III-Sources of Funds'!$H$33="","",-FV('Part III-Sources of Funds'!$J$33/12,12,K82/12,J95))</f>
        <v/>
      </c>
      <c r="M95" s="1513"/>
      <c r="N95" s="1514"/>
    </row>
    <row r="96" spans="1:14" ht="13.15" customHeight="1">
      <c r="A96" s="564" t="s">
        <v>3418</v>
      </c>
      <c r="B96" s="1619" t="str">
        <f>IF('Part III-Sources of Funds'!$H$34="","",-FV('Part III-Sources of Funds'!$J$34/12,12,B83/12,K67))</f>
        <v/>
      </c>
      <c r="C96" s="1619" t="str">
        <f>IF('Part III-Sources of Funds'!$H$34="","",-FV('Part III-Sources of Funds'!$J$34/12,12,C83/12,B96))</f>
        <v/>
      </c>
      <c r="D96" s="1619" t="str">
        <f>IF('Part III-Sources of Funds'!$H$34="","",-FV('Part III-Sources of Funds'!$J$34/12,12,D83/12,C96))</f>
        <v/>
      </c>
      <c r="E96" s="1619" t="str">
        <f>IF('Part III-Sources of Funds'!$H$34="","",-FV('Part III-Sources of Funds'!$J$34/12,12,E83/12,D96))</f>
        <v/>
      </c>
      <c r="F96" s="1619" t="str">
        <f>IF('Part III-Sources of Funds'!$H$34="","",-FV('Part III-Sources of Funds'!$J$34/12,12,F83/12,E96))</f>
        <v/>
      </c>
      <c r="G96" s="1619" t="str">
        <f>IF('Part III-Sources of Funds'!$H$34="","",-FV('Part III-Sources of Funds'!$J$34/12,12,G83/12,F96))</f>
        <v/>
      </c>
      <c r="H96" s="1619" t="str">
        <f>IF('Part III-Sources of Funds'!$H$34="","",-FV('Part III-Sources of Funds'!$J$34/12,12,H83/12,G96))</f>
        <v/>
      </c>
      <c r="I96" s="1619" t="str">
        <f>IF('Part III-Sources of Funds'!$H$34="","",-FV('Part III-Sources of Funds'!$J$34/12,12,I83/12,H96))</f>
        <v/>
      </c>
      <c r="J96" s="1619" t="str">
        <f>IF('Part III-Sources of Funds'!$H$34="","",-FV('Part III-Sources of Funds'!$J$34/12,12,J83/12,I96))</f>
        <v/>
      </c>
      <c r="K96" s="1619" t="str">
        <f>IF('Part III-Sources of Funds'!$H$34="","",-FV('Part III-Sources of Funds'!$J$34/12,12,K83/12,J96))</f>
        <v/>
      </c>
      <c r="M96" s="1513"/>
      <c r="N96" s="1514"/>
    </row>
    <row r="97" spans="1:14" ht="13.15" customHeight="1">
      <c r="A97" s="24" t="s">
        <v>1175</v>
      </c>
      <c r="B97" s="1619" t="str">
        <f>IF('Part III-Sources of Funds'!$H$35="","",-FV('Part III-Sources of Funds'!$J$35/12,12,B84/12,K68))</f>
        <v/>
      </c>
      <c r="C97" s="1619" t="str">
        <f>IF('Part III-Sources of Funds'!$H$35="","",-FV('Part III-Sources of Funds'!$J$35/12,12,C84/12,B97))</f>
        <v/>
      </c>
      <c r="D97" s="1619" t="str">
        <f>IF('Part III-Sources of Funds'!$H$35="","",-FV('Part III-Sources of Funds'!$J$35/12,12,D84/12,C97))</f>
        <v/>
      </c>
      <c r="E97" s="1619" t="str">
        <f>IF('Part III-Sources of Funds'!$H$35="","",-FV('Part III-Sources of Funds'!$J$35/12,12,E84/12,D97))</f>
        <v/>
      </c>
      <c r="F97" s="1619" t="str">
        <f>IF('Part III-Sources of Funds'!$H$35="","",-FV('Part III-Sources of Funds'!$J$35/12,12,F84/12,E97))</f>
        <v/>
      </c>
      <c r="G97" s="1619" t="str">
        <f>IF('Part III-Sources of Funds'!$H$35="","",-FV('Part III-Sources of Funds'!$J$35/12,12,G84/12,F97))</f>
        <v/>
      </c>
      <c r="H97" s="1619" t="str">
        <f>IF('Part III-Sources of Funds'!$H$35="","",-FV('Part III-Sources of Funds'!$J$35/12,12,H84/12,G97))</f>
        <v/>
      </c>
      <c r="I97" s="1619" t="str">
        <f>IF('Part III-Sources of Funds'!$H$35="","",-FV('Part III-Sources of Funds'!$J$35/12,12,I84/12,H97))</f>
        <v/>
      </c>
      <c r="J97" s="1619" t="str">
        <f>IF('Part III-Sources of Funds'!$H$35="","",-FV('Part III-Sources of Funds'!$J$35/12,12,J84/12,I97))</f>
        <v/>
      </c>
      <c r="K97" s="1619" t="str">
        <f>IF('Part III-Sources of Funds'!$H$35="","",-FV('Part III-Sources of Funds'!$J$35/12,12,K84/12,J97))</f>
        <v/>
      </c>
      <c r="M97" s="1513"/>
      <c r="N97" s="1514"/>
    </row>
    <row r="98" spans="1:14" ht="13.15" customHeight="1">
      <c r="A98" s="29" t="s">
        <v>1658</v>
      </c>
      <c r="B98" s="1621">
        <f>IF('Part III-Sources of Funds'!$H$37="","",-FV('Part III-Sources of Funds'!$J$37/12,12,B87/12,K69))</f>
        <v>0</v>
      </c>
      <c r="C98" s="1621">
        <f>IF('Part III-Sources of Funds'!$H$37="","",-FV('Part III-Sources of Funds'!$J$37/12,12,C87/12,B98))</f>
        <v>0</v>
      </c>
      <c r="D98" s="1621">
        <f>IF('Part III-Sources of Funds'!$H$37="","",-FV('Part III-Sources of Funds'!$J$37/12,12,D87/12,C98))</f>
        <v>0</v>
      </c>
      <c r="E98" s="1621">
        <f>IF('Part III-Sources of Funds'!$H$37="","",-FV('Part III-Sources of Funds'!$J$37/12,12,E87/12,D98))</f>
        <v>0</v>
      </c>
      <c r="F98" s="1621">
        <f>IF('Part III-Sources of Funds'!$H$37="","",-FV('Part III-Sources of Funds'!$J$37/12,12,F87/12,E98))</f>
        <v>0</v>
      </c>
      <c r="G98" s="1621">
        <f>IF('Part III-Sources of Funds'!$H$37="","",-FV('Part III-Sources of Funds'!$J$37/12,12,G87/12,F98))</f>
        <v>0</v>
      </c>
      <c r="H98" s="1621">
        <f>IF('Part III-Sources of Funds'!$H$37="","",-FV('Part III-Sources of Funds'!$J$37/12,12,H87/12,G98))</f>
        <v>0</v>
      </c>
      <c r="I98" s="1621">
        <f>IF('Part III-Sources of Funds'!$H$37="","",-FV('Part III-Sources of Funds'!$J$37/12,12,I87/12,H98))</f>
        <v>0</v>
      </c>
      <c r="J98" s="1621">
        <f>IF('Part III-Sources of Funds'!$H$37="","",-FV('Part III-Sources of Funds'!$J$37/12,12,J87/12,I98))</f>
        <v>0</v>
      </c>
      <c r="K98" s="1621">
        <f>IF('Part III-Sources of Funds'!$H$37="","",-FV('Part III-Sources of Funds'!$J$37/12,12,K87/12,J98))</f>
        <v>0</v>
      </c>
      <c r="M98" s="1516"/>
      <c r="N98" s="1517"/>
    </row>
    <row r="99" spans="1:14" ht="4.1500000000000004" customHeight="1">
      <c r="B99" s="20"/>
      <c r="C99" s="20"/>
      <c r="D99" s="20"/>
      <c r="E99" s="20"/>
      <c r="F99" s="20"/>
      <c r="G99" s="20"/>
      <c r="H99" s="20"/>
      <c r="I99" s="20"/>
      <c r="J99" s="20"/>
      <c r="K99" s="20"/>
    </row>
    <row r="100" spans="1:14" ht="4.1500000000000004" customHeight="1"/>
    <row r="101" spans="1:14" ht="12" customHeight="1">
      <c r="A101" s="16" t="s">
        <v>742</v>
      </c>
      <c r="B101" s="16"/>
      <c r="G101" s="16" t="s">
        <v>1434</v>
      </c>
    </row>
    <row r="102" spans="1:14" ht="12" customHeight="1">
      <c r="B102" s="35"/>
    </row>
    <row r="103" spans="1:14" ht="210" customHeight="1">
      <c r="A103" s="1393" t="s">
        <v>4188</v>
      </c>
      <c r="B103" s="1623"/>
      <c r="C103" s="1623"/>
      <c r="D103" s="1623"/>
      <c r="E103" s="1623"/>
      <c r="F103" s="1624"/>
      <c r="G103" s="1396"/>
      <c r="H103" s="1623"/>
      <c r="I103" s="1623"/>
      <c r="J103" s="1623"/>
      <c r="K103" s="1624"/>
      <c r="M103" s="924" t="s">
        <v>3594</v>
      </c>
      <c r="N103" s="924"/>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zoomScaleNormal="100" zoomScaleSheetLayoutView="40" workbookViewId="0">
      <selection activeCell="A292"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3.9" customHeight="1">
      <c r="A1" s="928" t="str">
        <f>CONCATENATE("PART EIGHT - THRESHOLD CRITERIA","  -  ",'Part I-Project Information'!$O$4," ",'Part I-Project Information'!$F$23,", ",'Part I-Project Information'!F26,", ",'Part I-Project Information'!J27," County")</f>
        <v>PART EIGHT - THRESHOLD CRITERIA  -  2013-007 Country Grove Apartments, Monroe, Walton County</v>
      </c>
      <c r="B1" s="929"/>
      <c r="C1" s="929"/>
      <c r="D1" s="929"/>
      <c r="E1" s="929"/>
      <c r="F1" s="929"/>
      <c r="G1" s="929"/>
      <c r="H1" s="929"/>
      <c r="I1" s="929"/>
      <c r="J1" s="929"/>
      <c r="K1" s="929"/>
      <c r="L1" s="929"/>
      <c r="M1" s="929"/>
      <c r="N1" s="929"/>
      <c r="O1" s="929"/>
      <c r="P1" s="929"/>
      <c r="Q1" s="929"/>
    </row>
    <row r="2" spans="1:32" s="31" customFormat="1" ht="3" customHeight="1">
      <c r="S2" s="43"/>
      <c r="T2" s="43"/>
      <c r="AE2" s="142"/>
      <c r="AF2" s="142"/>
    </row>
    <row r="3" spans="1:32" ht="13.5" customHeight="1">
      <c r="A3" s="1120"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120"/>
      <c r="C3" s="1120"/>
      <c r="D3" s="1120"/>
      <c r="E3" s="1120"/>
      <c r="F3" s="1120"/>
      <c r="G3" s="1120"/>
      <c r="H3" s="1120"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120"/>
      <c r="J3" s="1120"/>
      <c r="K3" s="1120"/>
      <c r="L3" s="1120"/>
      <c r="M3" s="1120"/>
      <c r="N3" s="1121"/>
      <c r="O3" s="1122" t="s">
        <v>1330</v>
      </c>
      <c r="P3" s="1123"/>
      <c r="Q3" s="274" t="s">
        <v>2542</v>
      </c>
    </row>
    <row r="4" spans="1:32" ht="3" customHeight="1">
      <c r="A4" s="811"/>
      <c r="B4" s="1114"/>
      <c r="C4" s="1114"/>
      <c r="D4" s="1114"/>
      <c r="E4" s="811"/>
      <c r="F4" s="811"/>
      <c r="G4" s="811"/>
      <c r="H4" s="811"/>
      <c r="I4" s="811"/>
      <c r="J4" s="811"/>
      <c r="K4" s="811"/>
      <c r="L4" s="811"/>
      <c r="M4" s="811"/>
      <c r="N4" s="811"/>
      <c r="P4" s="811"/>
      <c r="Q4" s="811"/>
    </row>
    <row r="5" spans="1:32" ht="10.9" hidden="1" customHeight="1">
      <c r="A5" s="811"/>
      <c r="B5" s="811"/>
      <c r="C5" s="811"/>
      <c r="D5" s="811"/>
      <c r="E5" s="811"/>
      <c r="F5" s="811"/>
      <c r="G5" s="811"/>
      <c r="H5" s="811"/>
      <c r="I5" s="811"/>
      <c r="J5" s="811"/>
      <c r="K5" s="811"/>
      <c r="L5" s="811"/>
      <c r="M5" s="811"/>
      <c r="N5" s="811"/>
      <c r="P5" s="811"/>
      <c r="Q5" s="811"/>
    </row>
    <row r="6" spans="1:32" ht="15" customHeight="1">
      <c r="A6" s="156" t="s">
        <v>734</v>
      </c>
      <c r="J6" s="811"/>
      <c r="K6" s="811"/>
      <c r="L6" s="811"/>
      <c r="M6" s="811"/>
      <c r="N6" s="811"/>
      <c r="P6" s="1115"/>
      <c r="Q6" s="1116"/>
    </row>
    <row r="7" spans="1:32" ht="12.6" customHeight="1">
      <c r="A7" s="157" t="s">
        <v>304</v>
      </c>
      <c r="C7" s="158"/>
      <c r="D7" s="158"/>
      <c r="J7" s="811"/>
      <c r="K7" s="811"/>
      <c r="L7" s="811"/>
      <c r="M7" s="811"/>
      <c r="N7" s="811"/>
    </row>
    <row r="8" spans="1:32" ht="24.6" customHeight="1">
      <c r="A8" s="1117" t="s">
        <v>1847</v>
      </c>
      <c r="B8" s="1118"/>
      <c r="C8" s="1118"/>
      <c r="D8" s="1118"/>
      <c r="E8" s="1118"/>
      <c r="F8" s="1118"/>
      <c r="G8" s="1118"/>
      <c r="H8" s="1118"/>
      <c r="I8" s="1118"/>
      <c r="J8" s="1118"/>
      <c r="K8" s="1118"/>
      <c r="L8" s="1118"/>
      <c r="M8" s="1118"/>
      <c r="N8" s="1118"/>
      <c r="O8" s="1118"/>
      <c r="P8" s="1118"/>
      <c r="Q8" s="1119"/>
      <c r="R8" s="1083" t="s">
        <v>2742</v>
      </c>
      <c r="S8" s="826"/>
    </row>
    <row r="9" spans="1:32" ht="24.6" customHeight="1">
      <c r="A9" s="1094" t="s">
        <v>247</v>
      </c>
      <c r="B9" s="1095"/>
      <c r="C9" s="1095"/>
      <c r="D9" s="1095"/>
      <c r="E9" s="1095"/>
      <c r="F9" s="1095"/>
      <c r="G9" s="1095"/>
      <c r="H9" s="1095"/>
      <c r="I9" s="1095"/>
      <c r="J9" s="1095"/>
      <c r="K9" s="1095"/>
      <c r="L9" s="1095"/>
      <c r="M9" s="1095"/>
      <c r="N9" s="1095"/>
      <c r="O9" s="1095"/>
      <c r="P9" s="1095"/>
      <c r="Q9" s="1096"/>
      <c r="R9" s="1083"/>
      <c r="S9" s="826"/>
    </row>
    <row r="10" spans="1:32" ht="24.6" customHeight="1">
      <c r="A10" s="1094" t="s">
        <v>1843</v>
      </c>
      <c r="B10" s="1095"/>
      <c r="C10" s="1095"/>
      <c r="D10" s="1095"/>
      <c r="E10" s="1095"/>
      <c r="F10" s="1095"/>
      <c r="G10" s="1095"/>
      <c r="H10" s="1095"/>
      <c r="I10" s="1095"/>
      <c r="J10" s="1095"/>
      <c r="K10" s="1095"/>
      <c r="L10" s="1095"/>
      <c r="M10" s="1095"/>
      <c r="N10" s="1095"/>
      <c r="O10" s="1095"/>
      <c r="P10" s="1095"/>
      <c r="Q10" s="1096"/>
      <c r="R10" s="1083"/>
      <c r="S10" s="826"/>
    </row>
    <row r="11" spans="1:32" ht="24.6" customHeight="1">
      <c r="A11" s="1094" t="s">
        <v>1844</v>
      </c>
      <c r="B11" s="1095"/>
      <c r="C11" s="1095"/>
      <c r="D11" s="1095"/>
      <c r="E11" s="1095"/>
      <c r="F11" s="1095"/>
      <c r="G11" s="1095"/>
      <c r="H11" s="1095"/>
      <c r="I11" s="1095"/>
      <c r="J11" s="1095"/>
      <c r="K11" s="1095"/>
      <c r="L11" s="1095"/>
      <c r="M11" s="1095"/>
      <c r="N11" s="1095"/>
      <c r="O11" s="1095"/>
      <c r="P11" s="1095"/>
      <c r="Q11" s="1096"/>
      <c r="R11" s="1083"/>
      <c r="S11" s="826"/>
    </row>
    <row r="12" spans="1:32" ht="24.6" customHeight="1">
      <c r="A12" s="1094" t="s">
        <v>1845</v>
      </c>
      <c r="B12" s="1095"/>
      <c r="C12" s="1095"/>
      <c r="D12" s="1095"/>
      <c r="E12" s="1095"/>
      <c r="F12" s="1095"/>
      <c r="G12" s="1095"/>
      <c r="H12" s="1095"/>
      <c r="I12" s="1095"/>
      <c r="J12" s="1095"/>
      <c r="K12" s="1095"/>
      <c r="L12" s="1095"/>
      <c r="M12" s="1095"/>
      <c r="N12" s="1095"/>
      <c r="O12" s="1095"/>
      <c r="P12" s="1095"/>
      <c r="Q12" s="1096"/>
      <c r="R12" s="787"/>
      <c r="S12" s="787"/>
    </row>
    <row r="13" spans="1:32" ht="24.6" customHeight="1">
      <c r="A13" s="1094" t="s">
        <v>1846</v>
      </c>
      <c r="B13" s="1095"/>
      <c r="C13" s="1095"/>
      <c r="D13" s="1095"/>
      <c r="E13" s="1095"/>
      <c r="F13" s="1095"/>
      <c r="G13" s="1095"/>
      <c r="H13" s="1095"/>
      <c r="I13" s="1095"/>
      <c r="J13" s="1095"/>
      <c r="K13" s="1095"/>
      <c r="L13" s="1095"/>
      <c r="M13" s="1095"/>
      <c r="N13" s="1095"/>
      <c r="O13" s="1095"/>
      <c r="P13" s="1095"/>
      <c r="Q13" s="1096"/>
      <c r="R13" s="787"/>
      <c r="S13" s="787"/>
    </row>
    <row r="14" spans="1:32" ht="24.6" customHeight="1">
      <c r="A14" s="1094" t="s">
        <v>1848</v>
      </c>
      <c r="B14" s="1095"/>
      <c r="C14" s="1095"/>
      <c r="D14" s="1095"/>
      <c r="E14" s="1095"/>
      <c r="F14" s="1095"/>
      <c r="G14" s="1095"/>
      <c r="H14" s="1095"/>
      <c r="I14" s="1095"/>
      <c r="J14" s="1095"/>
      <c r="K14" s="1095"/>
      <c r="L14" s="1095"/>
      <c r="M14" s="1095"/>
      <c r="N14" s="1095"/>
      <c r="O14" s="1095"/>
      <c r="P14" s="1095"/>
      <c r="Q14" s="1096"/>
    </row>
    <row r="15" spans="1:32" ht="24.6" customHeight="1">
      <c r="A15" s="1094" t="s">
        <v>2729</v>
      </c>
      <c r="B15" s="1095"/>
      <c r="C15" s="1095"/>
      <c r="D15" s="1095"/>
      <c r="E15" s="1095"/>
      <c r="F15" s="1095"/>
      <c r="G15" s="1095"/>
      <c r="H15" s="1095"/>
      <c r="I15" s="1095"/>
      <c r="J15" s="1095"/>
      <c r="K15" s="1095"/>
      <c r="L15" s="1095"/>
      <c r="M15" s="1095"/>
      <c r="N15" s="1095"/>
      <c r="O15" s="1095"/>
      <c r="P15" s="1095"/>
      <c r="Q15" s="1096"/>
      <c r="R15" s="826" t="s">
        <v>2742</v>
      </c>
      <c r="S15" s="826"/>
    </row>
    <row r="16" spans="1:32" ht="24.6" customHeight="1">
      <c r="A16" s="1094" t="s">
        <v>2730</v>
      </c>
      <c r="B16" s="1095"/>
      <c r="C16" s="1095"/>
      <c r="D16" s="1095"/>
      <c r="E16" s="1095"/>
      <c r="F16" s="1095"/>
      <c r="G16" s="1095"/>
      <c r="H16" s="1095"/>
      <c r="I16" s="1095"/>
      <c r="J16" s="1095"/>
      <c r="K16" s="1095"/>
      <c r="L16" s="1095"/>
      <c r="M16" s="1095"/>
      <c r="N16" s="1095"/>
      <c r="O16" s="1095"/>
      <c r="P16" s="1095"/>
      <c r="Q16" s="1096"/>
      <c r="R16" s="826"/>
      <c r="S16" s="826"/>
    </row>
    <row r="17" spans="1:19" ht="24.6" customHeight="1">
      <c r="A17" s="1094" t="s">
        <v>2731</v>
      </c>
      <c r="B17" s="1095"/>
      <c r="C17" s="1095"/>
      <c r="D17" s="1095"/>
      <c r="E17" s="1095"/>
      <c r="F17" s="1095"/>
      <c r="G17" s="1095"/>
      <c r="H17" s="1095"/>
      <c r="I17" s="1095"/>
      <c r="J17" s="1095"/>
      <c r="K17" s="1095"/>
      <c r="L17" s="1095"/>
      <c r="M17" s="1095"/>
      <c r="N17" s="1095"/>
      <c r="O17" s="1095"/>
      <c r="P17" s="1095"/>
      <c r="Q17" s="1096"/>
      <c r="R17" s="826"/>
      <c r="S17" s="826"/>
    </row>
    <row r="18" spans="1:19" ht="24.6" customHeight="1">
      <c r="A18" s="1094" t="s">
        <v>2732</v>
      </c>
      <c r="B18" s="1095"/>
      <c r="C18" s="1095"/>
      <c r="D18" s="1095"/>
      <c r="E18" s="1095"/>
      <c r="F18" s="1095"/>
      <c r="G18" s="1095"/>
      <c r="H18" s="1095"/>
      <c r="I18" s="1095"/>
      <c r="J18" s="1095"/>
      <c r="K18" s="1095"/>
      <c r="L18" s="1095"/>
      <c r="M18" s="1095"/>
      <c r="N18" s="1095"/>
      <c r="O18" s="1095"/>
      <c r="P18" s="1095"/>
      <c r="Q18" s="1096"/>
      <c r="R18" s="826"/>
      <c r="S18" s="826"/>
    </row>
    <row r="19" spans="1:19" ht="24.6" customHeight="1">
      <c r="A19" s="1094" t="s">
        <v>2733</v>
      </c>
      <c r="B19" s="1095"/>
      <c r="C19" s="1095"/>
      <c r="D19" s="1095"/>
      <c r="E19" s="1095"/>
      <c r="F19" s="1095"/>
      <c r="G19" s="1095"/>
      <c r="H19" s="1095"/>
      <c r="I19" s="1095"/>
      <c r="J19" s="1095"/>
      <c r="K19" s="1095"/>
      <c r="L19" s="1095"/>
      <c r="M19" s="1095"/>
      <c r="N19" s="1095"/>
      <c r="O19" s="1095"/>
      <c r="P19" s="1095"/>
      <c r="Q19" s="1096"/>
      <c r="R19" s="787"/>
      <c r="S19" s="787"/>
    </row>
    <row r="20" spans="1:19" ht="24.6" customHeight="1">
      <c r="A20" s="1094" t="s">
        <v>2734</v>
      </c>
      <c r="B20" s="1095"/>
      <c r="C20" s="1095"/>
      <c r="D20" s="1095"/>
      <c r="E20" s="1095"/>
      <c r="F20" s="1095"/>
      <c r="G20" s="1095"/>
      <c r="H20" s="1095"/>
      <c r="I20" s="1095"/>
      <c r="J20" s="1095"/>
      <c r="K20" s="1095"/>
      <c r="L20" s="1095"/>
      <c r="M20" s="1095"/>
      <c r="N20" s="1095"/>
      <c r="O20" s="1095"/>
      <c r="P20" s="1095"/>
      <c r="Q20" s="1096"/>
      <c r="R20" s="787"/>
      <c r="S20" s="787"/>
    </row>
    <row r="21" spans="1:19" ht="24.6" customHeight="1">
      <c r="A21" s="1094" t="s">
        <v>2735</v>
      </c>
      <c r="B21" s="1095"/>
      <c r="C21" s="1095"/>
      <c r="D21" s="1095"/>
      <c r="E21" s="1095"/>
      <c r="F21" s="1095"/>
      <c r="G21" s="1095"/>
      <c r="H21" s="1095"/>
      <c r="I21" s="1095"/>
      <c r="J21" s="1095"/>
      <c r="K21" s="1095"/>
      <c r="L21" s="1095"/>
      <c r="M21" s="1095"/>
      <c r="N21" s="1095"/>
      <c r="O21" s="1095"/>
      <c r="P21" s="1095"/>
      <c r="Q21" s="1096"/>
    </row>
    <row r="22" spans="1:19" ht="24.6" customHeight="1">
      <c r="A22" s="1094" t="s">
        <v>2736</v>
      </c>
      <c r="B22" s="1095"/>
      <c r="C22" s="1095"/>
      <c r="D22" s="1095"/>
      <c r="E22" s="1095"/>
      <c r="F22" s="1095"/>
      <c r="G22" s="1095"/>
      <c r="H22" s="1095"/>
      <c r="I22" s="1095"/>
      <c r="J22" s="1095"/>
      <c r="K22" s="1095"/>
      <c r="L22" s="1095"/>
      <c r="M22" s="1095"/>
      <c r="N22" s="1095"/>
      <c r="O22" s="1095"/>
      <c r="P22" s="1095"/>
      <c r="Q22" s="1096"/>
      <c r="R22" s="826" t="s">
        <v>2742</v>
      </c>
      <c r="S22" s="826"/>
    </row>
    <row r="23" spans="1:19" ht="24.6" customHeight="1">
      <c r="A23" s="1094" t="s">
        <v>2737</v>
      </c>
      <c r="B23" s="1095"/>
      <c r="C23" s="1095"/>
      <c r="D23" s="1095"/>
      <c r="E23" s="1095"/>
      <c r="F23" s="1095"/>
      <c r="G23" s="1095"/>
      <c r="H23" s="1095"/>
      <c r="I23" s="1095"/>
      <c r="J23" s="1095"/>
      <c r="K23" s="1095"/>
      <c r="L23" s="1095"/>
      <c r="M23" s="1095"/>
      <c r="N23" s="1095"/>
      <c r="O23" s="1095"/>
      <c r="P23" s="1095"/>
      <c r="Q23" s="1096"/>
      <c r="R23" s="826"/>
      <c r="S23" s="826"/>
    </row>
    <row r="24" spans="1:19" ht="24.6" customHeight="1">
      <c r="A24" s="1094" t="s">
        <v>2738</v>
      </c>
      <c r="B24" s="1095"/>
      <c r="C24" s="1095"/>
      <c r="D24" s="1095"/>
      <c r="E24" s="1095"/>
      <c r="F24" s="1095"/>
      <c r="G24" s="1095"/>
      <c r="H24" s="1095"/>
      <c r="I24" s="1095"/>
      <c r="J24" s="1095"/>
      <c r="K24" s="1095"/>
      <c r="L24" s="1095"/>
      <c r="M24" s="1095"/>
      <c r="N24" s="1095"/>
      <c r="O24" s="1095"/>
      <c r="P24" s="1095"/>
      <c r="Q24" s="1096"/>
      <c r="R24" s="826"/>
      <c r="S24" s="826"/>
    </row>
    <row r="25" spans="1:19" ht="24.6" customHeight="1">
      <c r="A25" s="1094" t="s">
        <v>2739</v>
      </c>
      <c r="B25" s="1095"/>
      <c r="C25" s="1095"/>
      <c r="D25" s="1095"/>
      <c r="E25" s="1095"/>
      <c r="F25" s="1095"/>
      <c r="G25" s="1095"/>
      <c r="H25" s="1095"/>
      <c r="I25" s="1095"/>
      <c r="J25" s="1095"/>
      <c r="K25" s="1095"/>
      <c r="L25" s="1095"/>
      <c r="M25" s="1095"/>
      <c r="N25" s="1095"/>
      <c r="O25" s="1095"/>
      <c r="P25" s="1095"/>
      <c r="Q25" s="1096"/>
      <c r="R25" s="826"/>
      <c r="S25" s="826"/>
    </row>
    <row r="26" spans="1:19" ht="24.6" customHeight="1">
      <c r="A26" s="1094" t="s">
        <v>2740</v>
      </c>
      <c r="B26" s="1095"/>
      <c r="C26" s="1095"/>
      <c r="D26" s="1095"/>
      <c r="E26" s="1095"/>
      <c r="F26" s="1095"/>
      <c r="G26" s="1095"/>
      <c r="H26" s="1095"/>
      <c r="I26" s="1095"/>
      <c r="J26" s="1095"/>
      <c r="K26" s="1095"/>
      <c r="L26" s="1095"/>
      <c r="M26" s="1095"/>
      <c r="N26" s="1095"/>
      <c r="O26" s="1095"/>
      <c r="P26" s="1095"/>
      <c r="Q26" s="1096"/>
      <c r="R26" s="787"/>
      <c r="S26" s="787"/>
    </row>
    <row r="27" spans="1:19" ht="24.6" customHeight="1">
      <c r="A27" s="1097" t="s">
        <v>2741</v>
      </c>
      <c r="B27" s="1098"/>
      <c r="C27" s="1098"/>
      <c r="D27" s="1098"/>
      <c r="E27" s="1098"/>
      <c r="F27" s="1098"/>
      <c r="G27" s="1098"/>
      <c r="H27" s="1098"/>
      <c r="I27" s="1098"/>
      <c r="J27" s="1098"/>
      <c r="K27" s="1098"/>
      <c r="L27" s="1098"/>
      <c r="M27" s="1098"/>
      <c r="N27" s="1098"/>
      <c r="O27" s="1098"/>
      <c r="P27" s="1098"/>
      <c r="Q27" s="1099"/>
      <c r="R27" s="787"/>
      <c r="S27" s="787"/>
    </row>
    <row r="28" spans="1:19" ht="6" customHeight="1"/>
    <row r="29" spans="1:19" ht="13.9" customHeight="1">
      <c r="A29" s="159">
        <v>1</v>
      </c>
      <c r="B29" s="160" t="s">
        <v>3485</v>
      </c>
      <c r="C29" s="161"/>
      <c r="D29" s="104"/>
      <c r="E29" s="104"/>
      <c r="F29" s="104"/>
      <c r="G29" s="104"/>
      <c r="I29" s="162"/>
      <c r="J29" s="162"/>
      <c r="K29" s="162"/>
      <c r="L29" s="811"/>
      <c r="M29" s="811"/>
      <c r="O29" s="163" t="s">
        <v>2571</v>
      </c>
      <c r="P29" s="1060"/>
      <c r="Q29" s="1063"/>
    </row>
    <row r="30" spans="1:19" ht="3" customHeight="1"/>
    <row r="31" spans="1:19" ht="12" customHeight="1">
      <c r="B31" s="174" t="s">
        <v>2693</v>
      </c>
      <c r="C31" s="61" t="s">
        <v>3927</v>
      </c>
      <c r="E31" s="38"/>
      <c r="F31" s="38"/>
      <c r="G31" s="38"/>
      <c r="H31" s="38"/>
      <c r="I31" s="49"/>
      <c r="J31" s="40"/>
      <c r="K31" s="49"/>
      <c r="L31" s="40"/>
      <c r="M31" s="40"/>
      <c r="O31" s="78" t="s">
        <v>772</v>
      </c>
      <c r="P31" s="1625" t="s">
        <v>4063</v>
      </c>
      <c r="Q31" s="210"/>
    </row>
    <row r="32" spans="1:19" ht="12" customHeight="1">
      <c r="B32" s="54" t="s">
        <v>2696</v>
      </c>
      <c r="C32" s="61" t="s">
        <v>906</v>
      </c>
      <c r="E32" s="38"/>
      <c r="F32" s="38"/>
      <c r="G32" s="38"/>
      <c r="H32" s="38"/>
      <c r="J32" s="1626" t="s">
        <v>2874</v>
      </c>
      <c r="K32" s="1627"/>
      <c r="L32" s="1627"/>
      <c r="M32" s="1627"/>
      <c r="N32" s="1628"/>
      <c r="O32" s="78"/>
      <c r="P32" s="78"/>
      <c r="Q32" s="78"/>
    </row>
    <row r="33" spans="1:31" ht="11.25" customHeight="1">
      <c r="B33" s="79" t="s">
        <v>2569</v>
      </c>
      <c r="C33" s="79"/>
      <c r="D33" s="79"/>
      <c r="E33" s="79"/>
      <c r="F33" s="79"/>
      <c r="G33" s="162"/>
      <c r="H33" s="162"/>
      <c r="I33" s="162"/>
      <c r="J33" s="162"/>
      <c r="K33" s="811"/>
      <c r="L33" s="811"/>
      <c r="M33" s="811"/>
      <c r="N33" s="811"/>
      <c r="O33" s="811"/>
      <c r="P33" s="59"/>
      <c r="S33" s="195"/>
      <c r="T33" s="195"/>
    </row>
    <row r="34" spans="1:31" ht="63.75" customHeight="1">
      <c r="A34" s="1629" t="s">
        <v>4118</v>
      </c>
      <c r="B34" s="1630"/>
      <c r="C34" s="1630"/>
      <c r="D34" s="1630"/>
      <c r="E34" s="1630"/>
      <c r="F34" s="1630"/>
      <c r="G34" s="1630"/>
      <c r="H34" s="1630"/>
      <c r="I34" s="1630"/>
      <c r="J34" s="1630"/>
      <c r="K34" s="1630"/>
      <c r="L34" s="1630"/>
      <c r="M34" s="1630"/>
      <c r="N34" s="1630"/>
      <c r="O34" s="1630"/>
      <c r="P34" s="1630"/>
      <c r="Q34" s="1631"/>
      <c r="R34" s="614" t="s">
        <v>1676</v>
      </c>
      <c r="S34" s="615"/>
      <c r="T34" s="195"/>
      <c r="U34" s="168"/>
      <c r="V34" s="168"/>
      <c r="W34" s="168"/>
      <c r="X34" s="168"/>
      <c r="Y34" s="168"/>
      <c r="Z34" s="168"/>
      <c r="AA34" s="168"/>
      <c r="AB34" s="168"/>
      <c r="AC34" s="168"/>
      <c r="AD34" s="168"/>
      <c r="AE34" s="656"/>
    </row>
    <row r="35" spans="1:31" ht="11.25" customHeight="1">
      <c r="B35" s="169" t="s">
        <v>2570</v>
      </c>
      <c r="C35" s="170"/>
      <c r="D35" s="818"/>
      <c r="E35" s="818"/>
      <c r="F35" s="818"/>
      <c r="G35" s="818"/>
      <c r="H35" s="818"/>
      <c r="I35" s="818"/>
      <c r="J35" s="818"/>
      <c r="K35" s="818"/>
      <c r="L35" s="818"/>
      <c r="M35" s="818"/>
      <c r="N35" s="818"/>
      <c r="O35" s="818"/>
      <c r="P35" s="818"/>
    </row>
    <row r="36" spans="1:31" ht="12" customHeight="1">
      <c r="A36" s="1091"/>
      <c r="B36" s="1092"/>
      <c r="C36" s="1092"/>
      <c r="D36" s="1092"/>
      <c r="E36" s="1092"/>
      <c r="F36" s="1092"/>
      <c r="G36" s="1092"/>
      <c r="H36" s="1092"/>
      <c r="I36" s="1092"/>
      <c r="J36" s="1092"/>
      <c r="K36" s="1092"/>
      <c r="L36" s="1092"/>
      <c r="M36" s="1092"/>
      <c r="N36" s="1092"/>
      <c r="O36" s="1092"/>
      <c r="P36" s="1092"/>
      <c r="Q36" s="1093"/>
      <c r="R36" s="614" t="s">
        <v>1676</v>
      </c>
      <c r="S36" s="615"/>
    </row>
    <row r="37" spans="1:31" ht="12" customHeight="1">
      <c r="A37" s="1104"/>
      <c r="B37" s="1105"/>
      <c r="C37" s="1105"/>
      <c r="D37" s="1105"/>
      <c r="E37" s="1105"/>
      <c r="F37" s="1105"/>
      <c r="G37" s="1105"/>
      <c r="H37" s="1105"/>
      <c r="I37" s="1105"/>
      <c r="J37" s="1105"/>
      <c r="K37" s="1105"/>
      <c r="L37" s="1105"/>
      <c r="M37" s="1105"/>
      <c r="N37" s="1105"/>
      <c r="O37" s="1105"/>
      <c r="P37" s="1105"/>
      <c r="Q37" s="1106"/>
    </row>
    <row r="38" spans="1:31" ht="12" customHeight="1">
      <c r="A38" s="1104"/>
      <c r="B38" s="1105"/>
      <c r="C38" s="1105"/>
      <c r="D38" s="1105"/>
      <c r="E38" s="1105"/>
      <c r="F38" s="1105"/>
      <c r="G38" s="1105"/>
      <c r="H38" s="1105"/>
      <c r="I38" s="1105"/>
      <c r="J38" s="1105"/>
      <c r="K38" s="1105"/>
      <c r="L38" s="1105"/>
      <c r="M38" s="1105"/>
      <c r="N38" s="1105"/>
      <c r="O38" s="1105"/>
      <c r="P38" s="1105"/>
      <c r="Q38" s="1106"/>
    </row>
    <row r="39" spans="1:31" ht="12" customHeight="1">
      <c r="A39" s="1088"/>
      <c r="B39" s="1089"/>
      <c r="C39" s="1089"/>
      <c r="D39" s="1089"/>
      <c r="E39" s="1089"/>
      <c r="F39" s="1089"/>
      <c r="G39" s="1089"/>
      <c r="H39" s="1089"/>
      <c r="I39" s="1089"/>
      <c r="J39" s="1089"/>
      <c r="K39" s="1089"/>
      <c r="L39" s="1089"/>
      <c r="M39" s="1089"/>
      <c r="N39" s="1089"/>
      <c r="O39" s="1089"/>
      <c r="P39" s="1089"/>
      <c r="Q39" s="1090"/>
    </row>
    <row r="40" spans="1:31" ht="3" customHeight="1">
      <c r="B40" s="162"/>
      <c r="C40" s="818"/>
      <c r="D40" s="818"/>
      <c r="E40" s="818"/>
      <c r="F40" s="818"/>
      <c r="G40" s="818"/>
      <c r="H40" s="818"/>
      <c r="I40" s="818"/>
      <c r="J40" s="818"/>
      <c r="K40" s="818"/>
      <c r="L40" s="818"/>
      <c r="M40" s="818"/>
      <c r="N40" s="818"/>
      <c r="O40" s="818"/>
      <c r="P40" s="818"/>
      <c r="Q40" s="811"/>
    </row>
    <row r="41" spans="1:31" ht="13.9" customHeight="1">
      <c r="A41" s="820">
        <v>2</v>
      </c>
      <c r="B41" s="5" t="s">
        <v>3640</v>
      </c>
      <c r="C41" s="5"/>
      <c r="D41" s="5"/>
      <c r="E41" s="818"/>
      <c r="F41" s="818"/>
      <c r="G41" s="818"/>
      <c r="H41" s="818"/>
      <c r="K41" s="818"/>
      <c r="L41" s="818"/>
      <c r="M41" s="818"/>
      <c r="O41" s="163" t="s">
        <v>2571</v>
      </c>
      <c r="P41" s="1060"/>
      <c r="Q41" s="1063"/>
    </row>
    <row r="42" spans="1:31" ht="3" customHeight="1">
      <c r="K42" s="818"/>
      <c r="L42" s="818"/>
    </row>
    <row r="43" spans="1:31" ht="12.75" customHeight="1">
      <c r="A43" s="1050" t="s">
        <v>3925</v>
      </c>
      <c r="B43" s="1050"/>
      <c r="C43" s="1050"/>
      <c r="D43" s="1050"/>
      <c r="E43" s="1050"/>
      <c r="F43" s="1632" t="s">
        <v>3647</v>
      </c>
      <c r="G43" s="1633"/>
      <c r="H43" s="1633"/>
      <c r="I43" s="1634"/>
      <c r="K43" s="1632" t="s">
        <v>3649</v>
      </c>
      <c r="L43" s="1633"/>
      <c r="M43" s="1633"/>
      <c r="N43" s="1634"/>
      <c r="P43" s="719" t="s">
        <v>3748</v>
      </c>
    </row>
    <row r="44" spans="1:31" ht="12.75" customHeight="1">
      <c r="A44" s="1050"/>
      <c r="B44" s="1050"/>
      <c r="C44" s="1050"/>
      <c r="D44" s="1050"/>
      <c r="E44" s="1050"/>
      <c r="F44" s="1635" t="s">
        <v>3648</v>
      </c>
      <c r="G44" s="1636"/>
      <c r="H44" s="1636"/>
      <c r="I44" s="1637"/>
      <c r="K44" s="1635" t="s">
        <v>3650</v>
      </c>
      <c r="L44" s="1636"/>
      <c r="M44" s="1636"/>
      <c r="N44" s="1637"/>
      <c r="P44" s="1625" t="s">
        <v>4068</v>
      </c>
    </row>
    <row r="45" spans="1:31" ht="10.5" customHeight="1">
      <c r="A45" s="1050"/>
      <c r="B45" s="1050"/>
      <c r="C45" s="1050"/>
      <c r="D45" s="1050"/>
      <c r="E45" s="1050"/>
      <c r="F45" s="1111" t="s">
        <v>3644</v>
      </c>
      <c r="G45" s="1112"/>
      <c r="H45" s="1112"/>
      <c r="I45" s="1113"/>
      <c r="K45" s="1638" t="s">
        <v>3646</v>
      </c>
      <c r="L45" s="1639"/>
      <c r="M45" s="1639"/>
      <c r="N45" s="1640"/>
      <c r="P45" s="1109" t="s">
        <v>3654</v>
      </c>
      <c r="Q45" s="1109"/>
    </row>
    <row r="46" spans="1:31" ht="22.5" customHeight="1">
      <c r="A46" s="1050"/>
      <c r="B46" s="1050"/>
      <c r="C46" s="1050"/>
      <c r="D46" s="1050"/>
      <c r="E46" s="1050"/>
      <c r="F46" s="1641" t="s">
        <v>3664</v>
      </c>
      <c r="G46" s="172"/>
      <c r="I46" s="1102" t="s">
        <v>3663</v>
      </c>
      <c r="K46" s="1641" t="s">
        <v>3664</v>
      </c>
      <c r="M46" s="818"/>
      <c r="N46" s="1102" t="s">
        <v>3663</v>
      </c>
      <c r="O46" s="818"/>
      <c r="P46" s="1109"/>
      <c r="Q46" s="1109"/>
    </row>
    <row r="47" spans="1:31" ht="12.75" customHeight="1">
      <c r="A47" s="171"/>
      <c r="D47" s="1642" t="s">
        <v>3643</v>
      </c>
      <c r="F47" s="1643"/>
      <c r="G47" s="1644" t="s">
        <v>3645</v>
      </c>
      <c r="I47" s="1103"/>
      <c r="K47" s="1643"/>
      <c r="L47" s="1644" t="s">
        <v>3645</v>
      </c>
      <c r="N47" s="1103"/>
      <c r="O47" s="818"/>
      <c r="P47" s="1110"/>
      <c r="Q47" s="1110"/>
    </row>
    <row r="48" spans="1:31" ht="11.45" customHeight="1">
      <c r="A48" s="171"/>
      <c r="D48" s="1645" t="s">
        <v>735</v>
      </c>
      <c r="F48" s="536">
        <f>'Part VI-Revenues &amp; Expenses'!H62-'Part VI-Revenues &amp; Expenses'!H82</f>
        <v>0</v>
      </c>
      <c r="G48" s="1646">
        <f>'DCA Underwriting Assumptions'!$J$11</f>
        <v>110481</v>
      </c>
      <c r="H48" s="575" t="str">
        <f>CONCATENATE("x ", F48," units = ")</f>
        <v xml:space="preserve">x 0 units = </v>
      </c>
      <c r="I48" s="678">
        <f>F48*G48</f>
        <v>0</v>
      </c>
      <c r="K48" s="536">
        <f>IF(AND('Part IV-Uses of Funds'!$T$162 = "Yes", 'Part IX A-Scoring Criteria'!$O$240 &gt; 0),'Part VI-Revenues &amp; Expenses'!H$82,0)</f>
        <v>0</v>
      </c>
      <c r="L48" s="1646">
        <f>'DCA Underwriting Assumptions'!$J$12</f>
        <v>121529</v>
      </c>
      <c r="M48" s="575" t="str">
        <f>CONCATENATE("x ", K48," units = ")</f>
        <v xml:space="preserve">x 0 units = </v>
      </c>
      <c r="N48" s="678">
        <f>K48*L48</f>
        <v>0</v>
      </c>
      <c r="O48" s="818"/>
      <c r="P48" s="1107">
        <f>IF(AND('Part I-Project Information'!I159="Yes",'Part I-Project Information'!O159&gt;1),'Part I-Project Information'!O159, IF(AND('Part IV-Uses of Funds'!$T$162="Yes",'Part IX A-Scoring Criteria'!$O$240&gt;0),I53+N53,I53))</f>
        <v>7108451</v>
      </c>
      <c r="Q48" s="1108"/>
    </row>
    <row r="49" spans="1:31" ht="11.45" customHeight="1">
      <c r="A49" s="171"/>
      <c r="D49" s="1645" t="s">
        <v>3641</v>
      </c>
      <c r="F49" s="536">
        <f>'Part VI-Revenues &amp; Expenses'!I62-'Part VI-Revenues &amp; Expenses'!I82</f>
        <v>16</v>
      </c>
      <c r="G49" s="1646">
        <f>'DCA Underwriting Assumptions'!$K$11</f>
        <v>126647</v>
      </c>
      <c r="H49" s="575" t="str">
        <f>CONCATENATE("x ", F49," units = ")</f>
        <v xml:space="preserve">x 16 units = </v>
      </c>
      <c r="I49" s="678">
        <f>F49*G49</f>
        <v>2026352</v>
      </c>
      <c r="K49" s="536">
        <f>IF(AND('Part IV-Uses of Funds'!$T$162 = "Yes", 'Part IX A-Scoring Criteria'!$O$240 &gt; 0),'Part VI-Revenues &amp; Expenses'!I$82,0)</f>
        <v>0</v>
      </c>
      <c r="L49" s="1646">
        <f>'DCA Underwriting Assumptions'!$K$12</f>
        <v>139312</v>
      </c>
      <c r="M49" s="575" t="str">
        <f>CONCATENATE("x ", K49," units = ")</f>
        <v xml:space="preserve">x 0 units = </v>
      </c>
      <c r="N49" s="678">
        <f>K49*L49</f>
        <v>0</v>
      </c>
      <c r="O49" s="818"/>
      <c r="P49" s="1055" t="s">
        <v>3731</v>
      </c>
      <c r="Q49" s="1055"/>
    </row>
    <row r="50" spans="1:31" ht="11.45" customHeight="1">
      <c r="A50" s="171"/>
      <c r="D50" s="1645" t="s">
        <v>3642</v>
      </c>
      <c r="F50" s="536">
        <f>'Part VI-Revenues &amp; Expenses'!J62-'Part VI-Revenues &amp; Expenses'!J82</f>
        <v>33</v>
      </c>
      <c r="G50" s="1646">
        <f>'DCA Underwriting Assumptions'!$L$11</f>
        <v>154003</v>
      </c>
      <c r="H50" s="575" t="str">
        <f>CONCATENATE("x ", F50," units = ")</f>
        <v xml:space="preserve">x 33 units = </v>
      </c>
      <c r="I50" s="678">
        <f>F50*G50</f>
        <v>5082099</v>
      </c>
      <c r="K50" s="536">
        <f>IF(AND('Part IV-Uses of Funds'!$T$162 = "Yes", 'Part IX A-Scoring Criteria'!$O$240 &gt; 0),'Part VI-Revenues &amp; Expenses'!J$82,0)</f>
        <v>0</v>
      </c>
      <c r="L50" s="1646">
        <f>'DCA Underwriting Assumptions'!$L$12</f>
        <v>169403</v>
      </c>
      <c r="M50" s="575" t="str">
        <f>CONCATENATE("x ", K50," units = ")</f>
        <v xml:space="preserve">x 0 units = </v>
      </c>
      <c r="N50" s="678">
        <f>K50*L50</f>
        <v>0</v>
      </c>
      <c r="O50" s="818"/>
      <c r="P50" s="1056"/>
      <c r="Q50" s="1056"/>
    </row>
    <row r="51" spans="1:31" ht="11.45" customHeight="1">
      <c r="A51" s="171"/>
      <c r="D51" s="1645" t="s">
        <v>3651</v>
      </c>
      <c r="F51" s="536">
        <f>'Part VI-Revenues &amp; Expenses'!K62-'Part VI-Revenues &amp; Expenses'!K82</f>
        <v>0</v>
      </c>
      <c r="G51" s="1646">
        <f>'DCA Underwriting Assumptions'!$M$11</f>
        <v>199229</v>
      </c>
      <c r="H51" s="575" t="str">
        <f>CONCATENATE("x ", F51," units = ")</f>
        <v xml:space="preserve">x 0 units = </v>
      </c>
      <c r="I51" s="678">
        <f>F51*G51</f>
        <v>0</v>
      </c>
      <c r="K51" s="536">
        <f>IF(AND('Part IV-Uses of Funds'!$T$162 = "Yes", 'Part IX A-Scoring Criteria'!$O$240 &gt; 0),'Part VI-Revenues &amp; Expenses'!K$82,0)</f>
        <v>0</v>
      </c>
      <c r="L51" s="1646">
        <f>'DCA Underwriting Assumptions'!$M$12</f>
        <v>219152</v>
      </c>
      <c r="M51" s="575" t="str">
        <f>CONCATENATE("x ", K51," units = ")</f>
        <v xml:space="preserve">x 0 units = </v>
      </c>
      <c r="N51" s="678">
        <f>K51*L51</f>
        <v>0</v>
      </c>
      <c r="O51" s="818"/>
      <c r="P51" s="1056"/>
      <c r="Q51" s="1056"/>
    </row>
    <row r="52" spans="1:31" ht="11.45" customHeight="1">
      <c r="A52" s="171"/>
      <c r="D52" s="1647" t="s">
        <v>3652</v>
      </c>
      <c r="F52" s="536">
        <f>'Part VI-Revenues &amp; Expenses'!L62-'Part VI-Revenues &amp; Expenses'!L82</f>
        <v>0</v>
      </c>
      <c r="G52" s="1646">
        <f>'DCA Underwriting Assumptions'!$N$11</f>
        <v>199229</v>
      </c>
      <c r="H52" s="575" t="str">
        <f>CONCATENATE("x ", F52," units = ")</f>
        <v xml:space="preserve">x 0 units = </v>
      </c>
      <c r="I52" s="678">
        <f>F52*G52</f>
        <v>0</v>
      </c>
      <c r="K52" s="536">
        <f>IF(AND('Part IV-Uses of Funds'!$T$162 = "Yes", 'Part IX A-Scoring Criteria'!$O$240 &gt; 0),'Part VI-Revenues &amp; Expenses'!L$82,0)</f>
        <v>0</v>
      </c>
      <c r="L52" s="1646">
        <f>'DCA Underwriting Assumptions'!$N$12</f>
        <v>219152</v>
      </c>
      <c r="M52" s="575" t="str">
        <f>CONCATENATE("x ", K52," units = ")</f>
        <v xml:space="preserve">x 0 units = </v>
      </c>
      <c r="N52" s="678">
        <f>K52*L52</f>
        <v>0</v>
      </c>
      <c r="O52" s="818"/>
      <c r="P52" s="1056"/>
      <c r="Q52" s="1056"/>
    </row>
    <row r="53" spans="1:31" ht="11.45" customHeight="1">
      <c r="A53" s="171"/>
      <c r="C53" s="172"/>
      <c r="D53" s="676" t="s">
        <v>3653</v>
      </c>
      <c r="F53" s="675">
        <f>SUM(F48:F52)</f>
        <v>49</v>
      </c>
      <c r="G53" s="1648"/>
      <c r="H53" s="536"/>
      <c r="I53" s="677">
        <f>SUM(I48:I52)</f>
        <v>7108451</v>
      </c>
      <c r="K53" s="675">
        <f>SUM(K48:K52)</f>
        <v>0</v>
      </c>
      <c r="M53" s="536"/>
      <c r="N53" s="677">
        <f>SUM(N48:N52)</f>
        <v>0</v>
      </c>
      <c r="O53" s="818"/>
      <c r="P53" s="1056"/>
      <c r="Q53" s="1056"/>
    </row>
    <row r="54" spans="1:31" ht="3.75" customHeight="1">
      <c r="A54" s="171"/>
      <c r="C54" s="172"/>
      <c r="E54" s="64"/>
      <c r="F54" s="1648"/>
      <c r="G54" s="64"/>
      <c r="I54" s="64"/>
      <c r="J54" s="64"/>
      <c r="K54" s="818"/>
      <c r="L54" s="1649"/>
      <c r="M54" s="818"/>
      <c r="N54" s="818"/>
      <c r="O54" s="818"/>
      <c r="P54" s="818"/>
      <c r="Q54" s="818"/>
    </row>
    <row r="55" spans="1:31" ht="11.25" customHeight="1">
      <c r="B55" s="116" t="s">
        <v>2569</v>
      </c>
      <c r="D55" s="116"/>
      <c r="E55" s="116"/>
      <c r="F55" s="116"/>
      <c r="G55" s="116"/>
      <c r="H55" s="822"/>
      <c r="I55" s="162"/>
      <c r="J55" s="162"/>
      <c r="K55" s="169" t="s">
        <v>2570</v>
      </c>
      <c r="L55" s="811"/>
      <c r="M55" s="811"/>
      <c r="N55" s="811"/>
      <c r="O55" s="811"/>
      <c r="P55" s="811"/>
      <c r="Q55" s="59"/>
    </row>
    <row r="56" spans="1:31" ht="30.75" customHeight="1">
      <c r="A56" s="1629" t="s">
        <v>4163</v>
      </c>
      <c r="B56" s="1630"/>
      <c r="C56" s="1630"/>
      <c r="D56" s="1630"/>
      <c r="E56" s="1630"/>
      <c r="F56" s="1630"/>
      <c r="G56" s="1630"/>
      <c r="H56" s="1630"/>
      <c r="I56" s="1630"/>
      <c r="J56" s="1631"/>
      <c r="K56" s="1057"/>
      <c r="L56" s="1058"/>
      <c r="M56" s="1058"/>
      <c r="N56" s="1058"/>
      <c r="O56" s="1058"/>
      <c r="P56" s="1058"/>
      <c r="Q56" s="1059"/>
      <c r="U56" s="168"/>
      <c r="V56" s="168"/>
      <c r="W56" s="168"/>
      <c r="X56" s="168"/>
      <c r="Y56" s="168"/>
      <c r="Z56" s="168"/>
      <c r="AA56" s="168"/>
      <c r="AB56" s="168"/>
      <c r="AC56" s="168"/>
      <c r="AD56" s="168"/>
      <c r="AE56" s="656"/>
    </row>
    <row r="57" spans="1:31" ht="3" customHeight="1">
      <c r="B57" s="162"/>
      <c r="C57" s="818"/>
      <c r="D57" s="818"/>
      <c r="E57" s="818"/>
      <c r="F57" s="818"/>
      <c r="G57" s="818"/>
      <c r="H57" s="818"/>
      <c r="I57" s="818"/>
      <c r="J57" s="818"/>
      <c r="K57" s="818"/>
      <c r="L57" s="818"/>
      <c r="M57" s="818"/>
      <c r="N57" s="818"/>
      <c r="O57" s="818"/>
      <c r="P57" s="818"/>
      <c r="Q57" s="811"/>
    </row>
    <row r="58" spans="1:31" ht="13.9" customHeight="1">
      <c r="A58" s="820">
        <v>3</v>
      </c>
      <c r="B58" s="5" t="s">
        <v>1605</v>
      </c>
      <c r="C58" s="5"/>
      <c r="D58" s="5"/>
      <c r="E58" s="818"/>
      <c r="F58" s="818"/>
      <c r="G58" s="818"/>
      <c r="H58" s="818"/>
      <c r="M58" s="818"/>
      <c r="O58" s="163" t="s">
        <v>2571</v>
      </c>
      <c r="P58" s="1060"/>
      <c r="Q58" s="1063"/>
    </row>
    <row r="59" spans="1:31" ht="3" customHeight="1"/>
    <row r="60" spans="1:31" ht="11.45" customHeight="1">
      <c r="A60" s="171"/>
      <c r="C60" s="172" t="s">
        <v>105</v>
      </c>
      <c r="D60" s="172"/>
      <c r="E60" s="172"/>
      <c r="F60" s="172"/>
      <c r="G60" s="172"/>
      <c r="H60" s="172"/>
      <c r="K60" s="1650" t="str">
        <f>'Part I-Project Information'!$H$65</f>
        <v>Family</v>
      </c>
      <c r="L60" s="1651"/>
      <c r="M60" s="1652"/>
      <c r="N60" s="818"/>
    </row>
    <row r="61" spans="1:31" ht="11.25" customHeight="1">
      <c r="B61" s="116" t="s">
        <v>2569</v>
      </c>
      <c r="D61" s="116"/>
      <c r="E61" s="116"/>
      <c r="F61" s="116"/>
      <c r="G61" s="116"/>
      <c r="H61" s="822"/>
      <c r="I61" s="162"/>
      <c r="J61" s="162"/>
      <c r="K61" s="169" t="s">
        <v>2570</v>
      </c>
      <c r="L61" s="811"/>
      <c r="M61" s="811"/>
      <c r="N61" s="811"/>
      <c r="O61" s="811"/>
      <c r="P61" s="811"/>
      <c r="Q61" s="59"/>
    </row>
    <row r="62" spans="1:31" ht="50.25" customHeight="1">
      <c r="A62" s="1629" t="s">
        <v>4167</v>
      </c>
      <c r="B62" s="1630"/>
      <c r="C62" s="1630"/>
      <c r="D62" s="1630"/>
      <c r="E62" s="1630"/>
      <c r="F62" s="1630"/>
      <c r="G62" s="1630"/>
      <c r="H62" s="1630"/>
      <c r="I62" s="1630"/>
      <c r="J62" s="1631"/>
      <c r="K62" s="1057"/>
      <c r="L62" s="1058"/>
      <c r="M62" s="1058"/>
      <c r="N62" s="1058"/>
      <c r="O62" s="1058"/>
      <c r="P62" s="1058"/>
      <c r="Q62" s="1059"/>
      <c r="U62" s="168"/>
      <c r="V62" s="168"/>
      <c r="W62" s="168"/>
      <c r="X62" s="168"/>
      <c r="Y62" s="168"/>
      <c r="Z62" s="168"/>
      <c r="AA62" s="168"/>
      <c r="AB62" s="168"/>
      <c r="AC62" s="168"/>
      <c r="AD62" s="168"/>
      <c r="AE62" s="656"/>
    </row>
    <row r="63" spans="1:31" ht="3" customHeight="1">
      <c r="A63" s="811"/>
      <c r="B63" s="162"/>
      <c r="C63" s="818"/>
      <c r="D63" s="818"/>
      <c r="E63" s="818"/>
      <c r="F63" s="818"/>
      <c r="G63" s="818"/>
      <c r="H63" s="818"/>
      <c r="I63" s="818"/>
      <c r="J63" s="818"/>
      <c r="K63" s="818"/>
      <c r="L63" s="818"/>
      <c r="M63" s="818"/>
      <c r="N63" s="818"/>
      <c r="O63" s="818"/>
      <c r="P63" s="818"/>
      <c r="Q63" s="811"/>
    </row>
    <row r="64" spans="1:31" ht="13.9" customHeight="1">
      <c r="A64" s="820">
        <v>4</v>
      </c>
      <c r="B64" s="820" t="s">
        <v>3486</v>
      </c>
      <c r="C64" s="136"/>
      <c r="D64" s="818"/>
      <c r="E64" s="818"/>
      <c r="F64" s="818"/>
      <c r="G64" s="818"/>
      <c r="H64" s="818"/>
      <c r="I64" s="818"/>
      <c r="J64" s="818"/>
      <c r="K64" s="818"/>
      <c r="L64" s="818"/>
      <c r="M64" s="818"/>
      <c r="O64" s="163" t="s">
        <v>2571</v>
      </c>
      <c r="P64" s="1060"/>
      <c r="Q64" s="1063"/>
    </row>
    <row r="65" spans="1:31" ht="3" customHeight="1"/>
    <row r="66" spans="1:31" ht="12.6" customHeight="1">
      <c r="B66" s="174" t="s">
        <v>2693</v>
      </c>
      <c r="C66" s="1100" t="s">
        <v>336</v>
      </c>
      <c r="D66" s="1101"/>
      <c r="E66" s="1101"/>
      <c r="F66" s="1101"/>
      <c r="G66" s="1101"/>
      <c r="H66" s="1101"/>
      <c r="I66" s="1101"/>
      <c r="J66" s="1101"/>
      <c r="K66" s="1101"/>
      <c r="L66" s="1101"/>
      <c r="M66" s="1101"/>
      <c r="O66" s="175"/>
      <c r="P66" s="1625" t="s">
        <v>4109</v>
      </c>
    </row>
    <row r="67" spans="1:31" ht="12" customHeight="1">
      <c r="B67" s="54" t="s">
        <v>2696</v>
      </c>
      <c r="C67" s="38" t="s">
        <v>3665</v>
      </c>
      <c r="D67" s="38"/>
      <c r="E67" s="38"/>
      <c r="F67" s="38"/>
      <c r="G67" s="38"/>
      <c r="H67" s="38"/>
      <c r="I67" s="38"/>
      <c r="J67" s="38"/>
      <c r="K67" s="38"/>
      <c r="L67" s="38"/>
      <c r="M67" s="38"/>
      <c r="O67" s="38"/>
      <c r="P67" s="38"/>
      <c r="Q67" s="38"/>
    </row>
    <row r="68" spans="1:31" ht="31.5" customHeight="1">
      <c r="A68" s="176"/>
      <c r="B68" s="49"/>
      <c r="C68" s="78" t="s">
        <v>2429</v>
      </c>
      <c r="D68" s="38" t="s">
        <v>746</v>
      </c>
      <c r="E68" s="816"/>
      <c r="F68" s="816"/>
      <c r="G68" s="816"/>
      <c r="H68" s="40"/>
      <c r="I68" s="49"/>
      <c r="J68" s="44" t="s">
        <v>3620</v>
      </c>
      <c r="K68" s="1653" t="s">
        <v>4119</v>
      </c>
      <c r="L68" s="1654"/>
      <c r="M68" s="1654"/>
      <c r="N68" s="1654"/>
      <c r="O68" s="1654"/>
      <c r="P68" s="1655"/>
      <c r="Q68" s="38"/>
    </row>
    <row r="69" spans="1:31" ht="10.9" customHeight="1">
      <c r="A69" s="176"/>
      <c r="B69" s="49"/>
      <c r="C69" s="78" t="s">
        <v>2430</v>
      </c>
      <c r="D69" s="38" t="s">
        <v>2506</v>
      </c>
      <c r="E69" s="816"/>
      <c r="F69" s="816"/>
      <c r="G69" s="816"/>
      <c r="H69" s="40"/>
      <c r="I69" s="49"/>
      <c r="J69" s="44" t="s">
        <v>3620</v>
      </c>
      <c r="K69" s="1656" t="s">
        <v>1368</v>
      </c>
      <c r="L69" s="1657"/>
      <c r="M69" s="1657"/>
      <c r="N69" s="1657"/>
      <c r="O69" s="1657"/>
      <c r="P69" s="1658"/>
      <c r="Q69" s="38"/>
    </row>
    <row r="70" spans="1:31" ht="10.9" customHeight="1">
      <c r="A70" s="176"/>
      <c r="B70" s="49"/>
      <c r="C70" s="78" t="s">
        <v>2431</v>
      </c>
      <c r="D70" s="38" t="s">
        <v>337</v>
      </c>
      <c r="E70" s="816"/>
      <c r="J70" s="44" t="s">
        <v>3620</v>
      </c>
      <c r="K70" s="1659" t="s">
        <v>1368</v>
      </c>
      <c r="L70" s="1660"/>
      <c r="M70" s="1660"/>
      <c r="N70" s="1660"/>
      <c r="O70" s="1660"/>
      <c r="P70" s="1661"/>
      <c r="Q70" s="38"/>
    </row>
    <row r="71" spans="1:31" ht="11.25" customHeight="1">
      <c r="B71" s="116" t="s">
        <v>2569</v>
      </c>
      <c r="D71" s="116"/>
      <c r="E71" s="116"/>
      <c r="F71" s="116"/>
      <c r="G71" s="116"/>
      <c r="H71" s="822"/>
      <c r="I71" s="162"/>
      <c r="J71" s="162"/>
      <c r="K71" s="162"/>
      <c r="L71" s="811"/>
      <c r="M71" s="811"/>
      <c r="N71" s="811"/>
      <c r="O71" s="811"/>
      <c r="P71" s="811"/>
      <c r="Q71" s="59"/>
    </row>
    <row r="72" spans="1:31" ht="12" customHeight="1">
      <c r="A72" s="1629"/>
      <c r="B72" s="1630"/>
      <c r="C72" s="1630"/>
      <c r="D72" s="1630"/>
      <c r="E72" s="1630"/>
      <c r="F72" s="1630"/>
      <c r="G72" s="1630"/>
      <c r="H72" s="1630"/>
      <c r="I72" s="1630"/>
      <c r="J72" s="1630"/>
      <c r="K72" s="1630"/>
      <c r="L72" s="1630"/>
      <c r="M72" s="1630"/>
      <c r="N72" s="1630"/>
      <c r="O72" s="1630"/>
      <c r="P72" s="1630"/>
      <c r="Q72" s="1631"/>
      <c r="U72" s="168"/>
      <c r="V72" s="168"/>
      <c r="W72" s="168"/>
      <c r="X72" s="168"/>
      <c r="Y72" s="168"/>
      <c r="Z72" s="168"/>
      <c r="AA72" s="168"/>
      <c r="AB72" s="168"/>
      <c r="AC72" s="168"/>
      <c r="AD72" s="168"/>
      <c r="AE72" s="656"/>
    </row>
    <row r="73" spans="1:31" ht="11.25" customHeight="1">
      <c r="B73" s="169" t="s">
        <v>2570</v>
      </c>
      <c r="C73" s="170"/>
      <c r="D73" s="818"/>
      <c r="E73" s="818"/>
      <c r="F73" s="818"/>
      <c r="G73" s="818"/>
      <c r="H73" s="818"/>
      <c r="I73" s="818"/>
      <c r="J73" s="818"/>
      <c r="K73" s="818"/>
      <c r="L73" s="818"/>
      <c r="M73" s="818"/>
      <c r="N73" s="818"/>
      <c r="O73" s="818"/>
      <c r="P73" s="818"/>
      <c r="Q73" s="818"/>
    </row>
    <row r="74" spans="1:31" ht="12" customHeight="1">
      <c r="A74" s="1057"/>
      <c r="B74" s="1058"/>
      <c r="C74" s="1058"/>
      <c r="D74" s="1058"/>
      <c r="E74" s="1058"/>
      <c r="F74" s="1058"/>
      <c r="G74" s="1058"/>
      <c r="H74" s="1058"/>
      <c r="I74" s="1058"/>
      <c r="J74" s="1058"/>
      <c r="K74" s="1058"/>
      <c r="L74" s="1058"/>
      <c r="M74" s="1058"/>
      <c r="N74" s="1058"/>
      <c r="O74" s="1058"/>
      <c r="P74" s="1058"/>
      <c r="Q74" s="1059"/>
    </row>
    <row r="75" spans="1:31" ht="4.9000000000000004" customHeight="1">
      <c r="A75" s="811"/>
      <c r="B75" s="162"/>
      <c r="C75" s="818"/>
      <c r="D75" s="818"/>
      <c r="E75" s="818"/>
      <c r="F75" s="818"/>
      <c r="G75" s="818"/>
      <c r="H75" s="818"/>
      <c r="I75" s="818"/>
      <c r="J75" s="818"/>
      <c r="K75" s="818"/>
      <c r="L75" s="818"/>
      <c r="M75" s="818"/>
      <c r="N75" s="818"/>
      <c r="O75" s="818"/>
      <c r="P75" s="818"/>
      <c r="Q75" s="811"/>
    </row>
    <row r="76" spans="1:31" ht="13.9" customHeight="1">
      <c r="A76" s="820">
        <v>5</v>
      </c>
      <c r="B76" s="820" t="s">
        <v>3487</v>
      </c>
      <c r="C76" s="820"/>
      <c r="D76" s="818"/>
      <c r="E76" s="818"/>
      <c r="F76" s="818"/>
      <c r="G76" s="818"/>
      <c r="H76" s="818"/>
      <c r="I76" s="818"/>
      <c r="J76" s="818"/>
      <c r="K76" s="818"/>
      <c r="O76" s="163" t="s">
        <v>2571</v>
      </c>
      <c r="P76" s="1060"/>
      <c r="Q76" s="1063"/>
    </row>
    <row r="77" spans="1:31" ht="3" customHeight="1"/>
    <row r="78" spans="1:31" ht="12" customHeight="1">
      <c r="B78" s="54" t="s">
        <v>2693</v>
      </c>
      <c r="C78" s="177" t="s">
        <v>3238</v>
      </c>
      <c r="D78" s="165"/>
      <c r="E78" s="165"/>
      <c r="F78" s="165"/>
      <c r="G78" s="165"/>
      <c r="H78" s="165"/>
      <c r="I78" s="49"/>
      <c r="J78" s="49"/>
      <c r="K78" s="49"/>
      <c r="L78" s="654" t="s">
        <v>2693</v>
      </c>
      <c r="M78" s="1662" t="s">
        <v>4110</v>
      </c>
      <c r="N78" s="1654"/>
      <c r="O78" s="1654"/>
      <c r="P78" s="1663"/>
      <c r="Q78" s="210"/>
    </row>
    <row r="79" spans="1:31" ht="12" customHeight="1">
      <c r="B79" s="54" t="s">
        <v>2696</v>
      </c>
      <c r="C79" s="61" t="s">
        <v>2748</v>
      </c>
      <c r="D79" s="165"/>
      <c r="E79" s="165"/>
      <c r="F79" s="165"/>
      <c r="L79" s="654" t="s">
        <v>2696</v>
      </c>
      <c r="M79" s="1656" t="s">
        <v>4190</v>
      </c>
      <c r="N79" s="1657"/>
      <c r="O79" s="1657"/>
      <c r="P79" s="1664"/>
      <c r="Q79" s="210"/>
    </row>
    <row r="80" spans="1:31" ht="12" customHeight="1">
      <c r="B80" s="54" t="s">
        <v>1053</v>
      </c>
      <c r="C80" s="61" t="s">
        <v>3239</v>
      </c>
      <c r="D80" s="165"/>
      <c r="E80" s="165"/>
      <c r="F80" s="165"/>
      <c r="L80" s="654" t="s">
        <v>1053</v>
      </c>
      <c r="M80" s="1656" t="s">
        <v>4190</v>
      </c>
      <c r="N80" s="1657"/>
      <c r="O80" s="1657"/>
      <c r="P80" s="1664"/>
      <c r="Q80" s="321"/>
    </row>
    <row r="81" spans="1:31" ht="12" customHeight="1">
      <c r="B81" s="54" t="s">
        <v>2829</v>
      </c>
      <c r="C81" s="61" t="s">
        <v>3240</v>
      </c>
      <c r="D81" s="165"/>
      <c r="E81" s="165"/>
      <c r="F81" s="165"/>
      <c r="L81" s="654" t="s">
        <v>2829</v>
      </c>
      <c r="M81" s="1665">
        <v>1.8E-3</v>
      </c>
      <c r="N81" s="1660"/>
      <c r="O81" s="1660"/>
      <c r="P81" s="1666"/>
      <c r="Q81" s="210"/>
    </row>
    <row r="82" spans="1:31" ht="22.15" customHeight="1">
      <c r="B82" s="174" t="s">
        <v>2427</v>
      </c>
      <c r="C82" s="1054" t="s">
        <v>3633</v>
      </c>
      <c r="D82" s="1054"/>
      <c r="E82" s="1054"/>
      <c r="F82" s="1054"/>
      <c r="G82" s="1054"/>
      <c r="H82" s="1054"/>
      <c r="I82" s="1054"/>
      <c r="J82" s="1054"/>
      <c r="K82" s="1054"/>
      <c r="L82" s="1054"/>
      <c r="M82" s="1054"/>
      <c r="N82" s="1054"/>
      <c r="O82" s="1054"/>
      <c r="P82" s="1054"/>
      <c r="Q82" s="1054"/>
    </row>
    <row r="83" spans="1:31" ht="12" customHeight="1">
      <c r="B83" s="54"/>
      <c r="C83" s="61"/>
      <c r="D83" s="669" t="s">
        <v>3134</v>
      </c>
      <c r="E83" s="38" t="s">
        <v>796</v>
      </c>
      <c r="F83" s="38"/>
      <c r="H83" s="61"/>
      <c r="I83" s="669" t="s">
        <v>3134</v>
      </c>
      <c r="J83" s="38" t="s">
        <v>796</v>
      </c>
      <c r="K83" s="38"/>
      <c r="M83" s="61"/>
      <c r="N83" s="669" t="s">
        <v>3134</v>
      </c>
      <c r="O83" s="38" t="s">
        <v>796</v>
      </c>
      <c r="P83" s="38"/>
      <c r="Q83" s="654"/>
    </row>
    <row r="84" spans="1:31" ht="12" customHeight="1">
      <c r="B84" s="54"/>
      <c r="C84" s="61">
        <v>1</v>
      </c>
      <c r="D84" s="1667" t="s">
        <v>4124</v>
      </c>
      <c r="E84" s="1668" t="s">
        <v>4124</v>
      </c>
      <c r="F84" s="1668"/>
      <c r="G84" s="1668"/>
      <c r="H84" s="61">
        <v>3</v>
      </c>
      <c r="I84" s="1667" t="s">
        <v>4124</v>
      </c>
      <c r="J84" s="1668" t="s">
        <v>4124</v>
      </c>
      <c r="K84" s="1668"/>
      <c r="L84" s="1668"/>
      <c r="M84" s="61">
        <v>5</v>
      </c>
      <c r="N84" s="1667" t="s">
        <v>4124</v>
      </c>
      <c r="O84" s="1668" t="s">
        <v>4124</v>
      </c>
      <c r="P84" s="1668"/>
      <c r="Q84" s="1668"/>
    </row>
    <row r="85" spans="1:31" ht="12" customHeight="1">
      <c r="B85" s="54"/>
      <c r="C85" s="61">
        <v>2</v>
      </c>
      <c r="D85" s="1667" t="s">
        <v>4124</v>
      </c>
      <c r="E85" s="1668" t="s">
        <v>4124</v>
      </c>
      <c r="F85" s="1668"/>
      <c r="G85" s="1668"/>
      <c r="H85" s="61">
        <v>4</v>
      </c>
      <c r="I85" s="1667" t="s">
        <v>4124</v>
      </c>
      <c r="J85" s="1668" t="s">
        <v>4124</v>
      </c>
      <c r="K85" s="1668"/>
      <c r="L85" s="1668"/>
      <c r="M85" s="61">
        <v>6</v>
      </c>
      <c r="N85" s="1667" t="s">
        <v>4124</v>
      </c>
      <c r="O85" s="1668" t="s">
        <v>4124</v>
      </c>
      <c r="P85" s="1668"/>
      <c r="Q85" s="1668"/>
    </row>
    <row r="86" spans="1:31" ht="12" customHeight="1">
      <c r="B86" s="54" t="s">
        <v>2428</v>
      </c>
      <c r="C86" s="61" t="s">
        <v>0</v>
      </c>
      <c r="D86" s="165"/>
      <c r="E86" s="165"/>
      <c r="F86" s="165"/>
      <c r="G86" s="165"/>
      <c r="H86" s="165"/>
      <c r="I86" s="49"/>
      <c r="J86" s="49"/>
      <c r="K86" s="165"/>
      <c r="L86" s="816"/>
      <c r="M86" s="816"/>
      <c r="O86" s="654" t="s">
        <v>2428</v>
      </c>
      <c r="P86" s="1669" t="s">
        <v>4068</v>
      </c>
      <c r="Q86" s="321"/>
    </row>
    <row r="87" spans="1:31" ht="11.25" customHeight="1">
      <c r="B87" s="173" t="s">
        <v>2569</v>
      </c>
      <c r="D87" s="173"/>
      <c r="E87" s="173"/>
      <c r="F87" s="173"/>
      <c r="G87" s="173"/>
      <c r="H87" s="822"/>
      <c r="I87" s="162"/>
      <c r="J87" s="162"/>
      <c r="K87" s="162"/>
      <c r="L87" s="811"/>
      <c r="M87" s="811"/>
      <c r="N87" s="811"/>
      <c r="O87" s="811"/>
      <c r="P87" s="811"/>
      <c r="Q87" s="59"/>
    </row>
    <row r="88" spans="1:31" ht="54" customHeight="1">
      <c r="A88" s="1629" t="s">
        <v>4191</v>
      </c>
      <c r="B88" s="1630"/>
      <c r="C88" s="1630"/>
      <c r="D88" s="1630"/>
      <c r="E88" s="1630"/>
      <c r="F88" s="1630"/>
      <c r="G88" s="1630"/>
      <c r="H88" s="1630"/>
      <c r="I88" s="1630"/>
      <c r="J88" s="1630"/>
      <c r="K88" s="1630"/>
      <c r="L88" s="1630"/>
      <c r="M88" s="1630"/>
      <c r="N88" s="1630"/>
      <c r="O88" s="1630"/>
      <c r="P88" s="1630"/>
      <c r="Q88" s="1631"/>
      <c r="U88" s="168"/>
      <c r="V88" s="168"/>
      <c r="W88" s="168"/>
      <c r="X88" s="168"/>
      <c r="Y88" s="168"/>
      <c r="Z88" s="168"/>
      <c r="AA88" s="168"/>
      <c r="AB88" s="168"/>
      <c r="AC88" s="168"/>
      <c r="AD88" s="168"/>
      <c r="AE88" s="656"/>
    </row>
    <row r="89" spans="1:31" ht="11.25" customHeight="1">
      <c r="B89" s="169" t="s">
        <v>2570</v>
      </c>
      <c r="C89" s="170"/>
      <c r="D89" s="818"/>
      <c r="E89" s="818"/>
      <c r="F89" s="818"/>
      <c r="G89" s="818"/>
      <c r="H89" s="818"/>
      <c r="I89" s="818"/>
      <c r="J89" s="818"/>
      <c r="K89" s="818"/>
      <c r="L89" s="818"/>
      <c r="M89" s="818"/>
      <c r="N89" s="818"/>
      <c r="O89" s="818"/>
      <c r="P89" s="818"/>
      <c r="Q89" s="818"/>
    </row>
    <row r="90" spans="1:31" ht="22.9" customHeight="1">
      <c r="A90" s="1057"/>
      <c r="B90" s="1058"/>
      <c r="C90" s="1058"/>
      <c r="D90" s="1058"/>
      <c r="E90" s="1058"/>
      <c r="F90" s="1058"/>
      <c r="G90" s="1058"/>
      <c r="H90" s="1058"/>
      <c r="I90" s="1058"/>
      <c r="J90" s="1058"/>
      <c r="K90" s="1058"/>
      <c r="L90" s="1058"/>
      <c r="M90" s="1058"/>
      <c r="N90" s="1058"/>
      <c r="O90" s="1058"/>
      <c r="P90" s="1058"/>
      <c r="Q90" s="1059"/>
    </row>
    <row r="91" spans="1:31" ht="13.9" customHeight="1">
      <c r="A91" s="820">
        <v>6</v>
      </c>
      <c r="B91" s="820" t="s">
        <v>3488</v>
      </c>
      <c r="C91" s="820"/>
      <c r="D91" s="818"/>
      <c r="E91" s="818"/>
      <c r="F91" s="818"/>
      <c r="G91" s="818"/>
      <c r="H91" s="818"/>
      <c r="I91" s="818"/>
      <c r="J91" s="818"/>
      <c r="K91" s="818"/>
      <c r="L91" s="818"/>
      <c r="M91" s="818"/>
      <c r="O91" s="163" t="s">
        <v>2571</v>
      </c>
      <c r="P91" s="1060"/>
      <c r="Q91" s="1063"/>
    </row>
    <row r="92" spans="1:31" ht="3" customHeight="1"/>
    <row r="93" spans="1:31" ht="12" customHeight="1">
      <c r="B93" s="54" t="s">
        <v>2693</v>
      </c>
      <c r="C93" s="61" t="s">
        <v>627</v>
      </c>
      <c r="D93" s="61"/>
      <c r="E93" s="61"/>
      <c r="F93" s="61"/>
      <c r="G93" s="61"/>
      <c r="H93" s="61"/>
      <c r="I93" s="61"/>
      <c r="J93" s="61"/>
      <c r="K93" s="61"/>
      <c r="L93" s="61"/>
      <c r="M93" s="61"/>
      <c r="O93" s="654" t="s">
        <v>2693</v>
      </c>
      <c r="P93" s="1625" t="s">
        <v>4068</v>
      </c>
      <c r="Q93" s="210"/>
    </row>
    <row r="94" spans="1:31" ht="12" customHeight="1">
      <c r="B94" s="54" t="s">
        <v>2696</v>
      </c>
      <c r="C94" s="61" t="s">
        <v>1737</v>
      </c>
      <c r="D94" s="61"/>
      <c r="E94" s="61"/>
      <c r="F94" s="61"/>
      <c r="G94" s="61"/>
      <c r="H94" s="61"/>
      <c r="I94" s="61"/>
      <c r="J94" s="61"/>
      <c r="K94" s="61"/>
      <c r="L94" s="38"/>
      <c r="M94" s="38"/>
      <c r="O94" s="654" t="s">
        <v>2696</v>
      </c>
      <c r="P94" s="1625" t="s">
        <v>4068</v>
      </c>
      <c r="Q94" s="210"/>
    </row>
    <row r="95" spans="1:31" ht="12" customHeight="1">
      <c r="A95" s="164"/>
      <c r="B95" s="44"/>
      <c r="D95" s="47" t="s">
        <v>720</v>
      </c>
      <c r="E95" s="49"/>
      <c r="F95" s="49"/>
      <c r="G95" s="49"/>
      <c r="H95" s="49"/>
      <c r="I95" s="49"/>
      <c r="L95" s="78" t="s">
        <v>721</v>
      </c>
      <c r="M95" s="1670" t="s">
        <v>4120</v>
      </c>
      <c r="N95" s="1671"/>
      <c r="O95" s="1671"/>
      <c r="P95" s="1672"/>
      <c r="Q95" s="210"/>
    </row>
    <row r="96" spans="1:31" ht="22.9" customHeight="1">
      <c r="A96" s="176"/>
      <c r="B96" s="162"/>
      <c r="C96" s="183" t="s">
        <v>2429</v>
      </c>
      <c r="D96" s="1036" t="s">
        <v>591</v>
      </c>
      <c r="E96" s="1673"/>
      <c r="F96" s="1673"/>
      <c r="G96" s="1673"/>
      <c r="H96" s="1673"/>
      <c r="I96" s="1673"/>
      <c r="J96" s="1673"/>
      <c r="K96" s="1673"/>
      <c r="L96" s="1673"/>
      <c r="M96" s="1673"/>
      <c r="N96" s="1673"/>
      <c r="O96" s="183" t="s">
        <v>2429</v>
      </c>
      <c r="P96" s="1625" t="s">
        <v>4063</v>
      </c>
      <c r="Q96" s="210"/>
    </row>
    <row r="97" spans="1:32" ht="12" customHeight="1">
      <c r="A97" s="176"/>
      <c r="B97" s="162"/>
      <c r="C97" s="78" t="s">
        <v>2430</v>
      </c>
      <c r="D97" s="61" t="s">
        <v>153</v>
      </c>
      <c r="E97" s="61"/>
      <c r="F97" s="61"/>
      <c r="G97" s="61"/>
      <c r="H97" s="61"/>
      <c r="I97" s="61"/>
      <c r="J97" s="61"/>
      <c r="K97" s="61"/>
      <c r="L97" s="61"/>
      <c r="M97" s="61"/>
      <c r="O97" s="78" t="s">
        <v>2430</v>
      </c>
      <c r="P97" s="1625" t="s">
        <v>4068</v>
      </c>
      <c r="Q97" s="210"/>
    </row>
    <row r="98" spans="1:32" s="164" customFormat="1" ht="24.75" customHeight="1">
      <c r="A98" s="176"/>
      <c r="B98" s="592"/>
      <c r="C98" s="183" t="s">
        <v>2431</v>
      </c>
      <c r="D98" s="1054" t="s">
        <v>3583</v>
      </c>
      <c r="E98" s="1054"/>
      <c r="F98" s="1054"/>
      <c r="G98" s="1054"/>
      <c r="H98" s="1054"/>
      <c r="I98" s="1054"/>
      <c r="J98" s="1054"/>
      <c r="K98" s="1054"/>
      <c r="L98" s="1054"/>
      <c r="M98" s="1054"/>
      <c r="N98" s="1054"/>
      <c r="O98" s="183" t="s">
        <v>2431</v>
      </c>
      <c r="P98" s="1674"/>
      <c r="Q98" s="323"/>
      <c r="AE98" s="657"/>
      <c r="AF98" s="657"/>
    </row>
    <row r="99" spans="1:32" ht="12" customHeight="1">
      <c r="B99" s="54" t="s">
        <v>1053</v>
      </c>
      <c r="C99" s="61" t="s">
        <v>154</v>
      </c>
      <c r="D99" s="61"/>
      <c r="E99" s="61"/>
      <c r="F99" s="61"/>
      <c r="G99" s="61"/>
      <c r="H99" s="61"/>
      <c r="I99" s="61"/>
      <c r="J99" s="61"/>
      <c r="K99" s="61"/>
      <c r="L99" s="61"/>
      <c r="M99" s="61"/>
      <c r="O99" s="654" t="s">
        <v>1053</v>
      </c>
      <c r="P99" s="1625" t="s">
        <v>4063</v>
      </c>
      <c r="Q99" s="210"/>
    </row>
    <row r="100" spans="1:32" ht="12" customHeight="1">
      <c r="B100" s="54" t="s">
        <v>2829</v>
      </c>
      <c r="C100" s="61" t="s">
        <v>1870</v>
      </c>
      <c r="D100" s="61"/>
      <c r="E100" s="61"/>
      <c r="G100" s="61"/>
      <c r="I100" s="61"/>
      <c r="K100" s="61"/>
      <c r="L100" s="38"/>
      <c r="M100" s="38"/>
      <c r="N100" s="38"/>
      <c r="O100" s="38"/>
      <c r="P100" s="38"/>
      <c r="Q100" s="38"/>
    </row>
    <row r="101" spans="1:32" ht="12" customHeight="1">
      <c r="B101" s="54"/>
      <c r="C101" s="78" t="s">
        <v>2429</v>
      </c>
      <c r="D101" s="61" t="s">
        <v>1871</v>
      </c>
      <c r="E101" s="61"/>
      <c r="F101" s="61"/>
      <c r="G101" s="61"/>
      <c r="H101" s="61"/>
      <c r="I101" s="61"/>
      <c r="J101" s="61"/>
      <c r="K101" s="61"/>
      <c r="L101" s="38"/>
      <c r="M101" s="38"/>
      <c r="O101" s="78" t="s">
        <v>2429</v>
      </c>
      <c r="P101" s="1625" t="s">
        <v>4063</v>
      </c>
      <c r="Q101" s="210"/>
    </row>
    <row r="102" spans="1:32" ht="12" customHeight="1">
      <c r="B102" s="54"/>
      <c r="C102" s="78" t="s">
        <v>2430</v>
      </c>
      <c r="D102" s="61" t="s">
        <v>1872</v>
      </c>
      <c r="E102" s="61"/>
      <c r="F102" s="61"/>
      <c r="G102" s="61"/>
      <c r="H102" s="61"/>
      <c r="I102" s="61"/>
      <c r="J102" s="61"/>
      <c r="K102" s="61"/>
      <c r="L102" s="38"/>
      <c r="M102" s="38"/>
      <c r="O102" s="78" t="s">
        <v>2430</v>
      </c>
      <c r="P102" s="1625" t="s">
        <v>4063</v>
      </c>
      <c r="Q102" s="210"/>
    </row>
    <row r="103" spans="1:32" ht="12" customHeight="1">
      <c r="B103" s="54"/>
      <c r="C103" s="78" t="s">
        <v>2431</v>
      </c>
      <c r="D103" s="61" t="s">
        <v>1873</v>
      </c>
      <c r="E103" s="61"/>
      <c r="F103" s="61"/>
      <c r="G103" s="61"/>
      <c r="H103" s="61"/>
      <c r="I103" s="61"/>
      <c r="J103" s="61"/>
      <c r="K103" s="61"/>
      <c r="L103" s="38"/>
      <c r="M103" s="38"/>
      <c r="O103" s="78" t="s">
        <v>2431</v>
      </c>
      <c r="P103" s="1625" t="s">
        <v>4063</v>
      </c>
      <c r="Q103" s="210"/>
    </row>
    <row r="104" spans="1:32" ht="11.25" customHeight="1">
      <c r="B104" s="173" t="s">
        <v>2569</v>
      </c>
      <c r="D104" s="173"/>
      <c r="E104" s="173"/>
      <c r="F104" s="173"/>
      <c r="G104" s="173"/>
      <c r="H104" s="822"/>
      <c r="I104" s="162"/>
      <c r="J104" s="162"/>
      <c r="K104" s="162"/>
      <c r="L104" s="811"/>
      <c r="M104" s="811"/>
      <c r="N104" s="811"/>
      <c r="O104" s="811"/>
      <c r="P104" s="811"/>
      <c r="Q104" s="59"/>
    </row>
    <row r="105" spans="1:32" ht="26.25" customHeight="1">
      <c r="A105" s="1629" t="s">
        <v>4125</v>
      </c>
      <c r="B105" s="1630"/>
      <c r="C105" s="1630"/>
      <c r="D105" s="1630"/>
      <c r="E105" s="1630"/>
      <c r="F105" s="1630"/>
      <c r="G105" s="1630"/>
      <c r="H105" s="1630"/>
      <c r="I105" s="1630"/>
      <c r="J105" s="1630"/>
      <c r="K105" s="1630"/>
      <c r="L105" s="1630"/>
      <c r="M105" s="1630"/>
      <c r="N105" s="1630"/>
      <c r="O105" s="1630"/>
      <c r="P105" s="1630"/>
      <c r="Q105" s="1631"/>
      <c r="U105" s="168"/>
      <c r="V105" s="168"/>
      <c r="W105" s="168"/>
      <c r="X105" s="168"/>
      <c r="Y105" s="168"/>
      <c r="Z105" s="168"/>
      <c r="AA105" s="168"/>
      <c r="AB105" s="168"/>
      <c r="AC105" s="168"/>
      <c r="AD105" s="168"/>
      <c r="AE105" s="656"/>
    </row>
    <row r="106" spans="1:32" ht="11.25" customHeight="1">
      <c r="B106" s="169" t="s">
        <v>2570</v>
      </c>
      <c r="C106" s="170"/>
      <c r="D106" s="818"/>
      <c r="E106" s="818"/>
      <c r="F106" s="818"/>
      <c r="G106" s="818"/>
      <c r="H106" s="818"/>
      <c r="I106" s="818"/>
      <c r="J106" s="818"/>
      <c r="K106" s="818"/>
      <c r="L106" s="818"/>
      <c r="M106" s="818"/>
      <c r="N106" s="818"/>
      <c r="O106" s="818"/>
      <c r="P106" s="818"/>
      <c r="Q106" s="818"/>
    </row>
    <row r="107" spans="1:32" ht="13.15" customHeight="1">
      <c r="A107" s="1057"/>
      <c r="B107" s="1058"/>
      <c r="C107" s="1058"/>
      <c r="D107" s="1058"/>
      <c r="E107" s="1058"/>
      <c r="F107" s="1058"/>
      <c r="G107" s="1058"/>
      <c r="H107" s="1058"/>
      <c r="I107" s="1058"/>
      <c r="J107" s="1058"/>
      <c r="K107" s="1058"/>
      <c r="L107" s="1058"/>
      <c r="M107" s="1058"/>
      <c r="N107" s="1058"/>
      <c r="O107" s="1058"/>
      <c r="P107" s="1058"/>
      <c r="Q107" s="1059"/>
    </row>
    <row r="108" spans="1:32" ht="4.9000000000000004" customHeight="1">
      <c r="A108" s="811"/>
      <c r="B108" s="162"/>
      <c r="C108" s="818"/>
      <c r="D108" s="818"/>
      <c r="E108" s="818"/>
      <c r="F108" s="818"/>
      <c r="G108" s="818"/>
      <c r="H108" s="818"/>
      <c r="I108" s="818"/>
      <c r="J108" s="818"/>
      <c r="K108" s="818"/>
      <c r="L108" s="818"/>
      <c r="M108" s="818"/>
      <c r="N108" s="818"/>
      <c r="O108" s="818"/>
      <c r="P108" s="818"/>
      <c r="Q108" s="811"/>
    </row>
    <row r="109" spans="1:32" ht="13.9" customHeight="1">
      <c r="A109" s="820">
        <v>7</v>
      </c>
      <c r="B109" s="820" t="s">
        <v>3489</v>
      </c>
      <c r="C109" s="822"/>
      <c r="D109" s="818"/>
      <c r="E109" s="818"/>
      <c r="F109" s="818"/>
      <c r="G109" s="818"/>
      <c r="H109" s="818"/>
      <c r="I109" s="818"/>
      <c r="J109" s="818"/>
      <c r="K109" s="818"/>
      <c r="L109" s="818"/>
      <c r="M109" s="818"/>
      <c r="O109" s="163" t="s">
        <v>2571</v>
      </c>
      <c r="P109" s="1060"/>
      <c r="Q109" s="1063"/>
    </row>
    <row r="110" spans="1:32" ht="6.6" customHeight="1"/>
    <row r="111" spans="1:32" ht="12" customHeight="1">
      <c r="B111" s="54" t="s">
        <v>2693</v>
      </c>
      <c r="C111" s="61" t="s">
        <v>3580</v>
      </c>
      <c r="D111" s="165"/>
      <c r="E111" s="165"/>
      <c r="F111" s="165"/>
      <c r="G111" s="165"/>
      <c r="H111" s="165"/>
      <c r="I111" s="49"/>
      <c r="J111" s="49"/>
      <c r="K111" s="49"/>
      <c r="L111" s="654" t="s">
        <v>2693</v>
      </c>
      <c r="M111" s="1675" t="s">
        <v>4111</v>
      </c>
      <c r="N111" s="1676"/>
      <c r="O111" s="1676"/>
      <c r="P111" s="1677"/>
      <c r="Q111" s="210"/>
    </row>
    <row r="112" spans="1:32" ht="12" customHeight="1">
      <c r="B112" s="54" t="s">
        <v>2696</v>
      </c>
      <c r="C112" s="61" t="s">
        <v>1996</v>
      </c>
      <c r="D112" s="165"/>
      <c r="E112" s="165"/>
      <c r="F112" s="165"/>
      <c r="G112" s="165"/>
      <c r="H112" s="165"/>
      <c r="I112" s="49"/>
      <c r="J112" s="49"/>
      <c r="K112" s="165"/>
      <c r="L112" s="165"/>
      <c r="M112" s="816"/>
      <c r="O112" s="654" t="s">
        <v>2696</v>
      </c>
      <c r="P112" s="1625" t="s">
        <v>4063</v>
      </c>
      <c r="Q112" s="321"/>
    </row>
    <row r="113" spans="2:17" ht="12" customHeight="1">
      <c r="B113" s="54" t="s">
        <v>1053</v>
      </c>
      <c r="C113" s="61" t="s">
        <v>165</v>
      </c>
      <c r="D113" s="165"/>
      <c r="E113" s="165"/>
      <c r="F113" s="165"/>
      <c r="G113" s="165"/>
      <c r="H113" s="165"/>
      <c r="I113" s="49"/>
      <c r="J113" s="49"/>
      <c r="K113" s="165"/>
      <c r="L113" s="816"/>
      <c r="M113" s="816"/>
      <c r="O113" s="654" t="s">
        <v>1053</v>
      </c>
      <c r="P113" s="1625" t="s">
        <v>4068</v>
      </c>
      <c r="Q113" s="210"/>
    </row>
    <row r="114" spans="2:17" ht="12" customHeight="1">
      <c r="B114" s="54"/>
      <c r="C114" s="77" t="s">
        <v>2429</v>
      </c>
      <c r="D114" s="61" t="s">
        <v>3581</v>
      </c>
      <c r="E114" s="165"/>
      <c r="F114" s="165"/>
      <c r="G114" s="165"/>
      <c r="H114" s="165"/>
      <c r="I114" s="49"/>
      <c r="J114" s="49"/>
      <c r="K114" s="165"/>
      <c r="L114" s="78" t="s">
        <v>2429</v>
      </c>
      <c r="M114" s="1675" t="s">
        <v>4121</v>
      </c>
      <c r="N114" s="1676"/>
      <c r="O114" s="1676"/>
      <c r="P114" s="1677"/>
      <c r="Q114" s="321"/>
    </row>
    <row r="115" spans="2:17" ht="12" customHeight="1">
      <c r="B115" s="171"/>
      <c r="C115" s="78" t="s">
        <v>2430</v>
      </c>
      <c r="D115" s="44" t="s">
        <v>3401</v>
      </c>
      <c r="E115" s="49"/>
      <c r="F115" s="49"/>
      <c r="G115" s="49"/>
      <c r="H115" s="61"/>
      <c r="I115" s="49"/>
      <c r="J115" s="49"/>
      <c r="K115" s="165"/>
      <c r="L115" s="816"/>
      <c r="M115" s="816"/>
      <c r="O115" s="654" t="s">
        <v>2430</v>
      </c>
      <c r="P115" s="1669" t="s">
        <v>4122</v>
      </c>
      <c r="Q115" s="321"/>
    </row>
    <row r="116" spans="2:17" ht="12" customHeight="1">
      <c r="B116" s="171"/>
      <c r="C116" s="654" t="s">
        <v>2431</v>
      </c>
      <c r="D116" s="61" t="s">
        <v>1818</v>
      </c>
      <c r="E116" s="49"/>
      <c r="F116" s="49"/>
      <c r="G116" s="49"/>
      <c r="H116" s="61"/>
      <c r="I116" s="49"/>
      <c r="J116" s="49"/>
      <c r="K116" s="165"/>
      <c r="L116" s="816"/>
      <c r="M116" s="816"/>
      <c r="N116" s="816"/>
      <c r="O116" s="816"/>
    </row>
    <row r="117" spans="2:17" ht="11.45" customHeight="1">
      <c r="B117" s="811"/>
      <c r="C117" s="78"/>
      <c r="D117" s="1678" t="s">
        <v>4123</v>
      </c>
      <c r="E117" s="1679"/>
      <c r="F117" s="1679"/>
      <c r="G117" s="1679"/>
      <c r="H117" s="1679"/>
      <c r="I117" s="1679"/>
      <c r="J117" s="1679"/>
      <c r="K117" s="1679"/>
      <c r="L117" s="1679"/>
      <c r="M117" s="1679"/>
      <c r="N117" s="1679"/>
      <c r="O117" s="1679"/>
      <c r="P117" s="1679"/>
      <c r="Q117" s="1680"/>
    </row>
    <row r="118" spans="2:17" ht="12" customHeight="1">
      <c r="B118" s="54" t="s">
        <v>2829</v>
      </c>
      <c r="C118" s="61" t="s">
        <v>1684</v>
      </c>
      <c r="D118" s="165"/>
      <c r="E118" s="165"/>
      <c r="F118" s="165"/>
      <c r="G118" s="165"/>
      <c r="H118" s="165"/>
      <c r="I118" s="49"/>
      <c r="J118" s="49"/>
      <c r="K118" s="165"/>
      <c r="L118" s="816"/>
      <c r="M118" s="816"/>
      <c r="N118" s="816"/>
      <c r="O118" s="654" t="s">
        <v>2829</v>
      </c>
    </row>
    <row r="119" spans="2:17" ht="12" customHeight="1">
      <c r="B119" s="54"/>
      <c r="C119" s="78" t="s">
        <v>2429</v>
      </c>
      <c r="D119" s="61" t="s">
        <v>163</v>
      </c>
      <c r="E119" s="165"/>
      <c r="F119" s="165"/>
      <c r="G119" s="165"/>
      <c r="H119" s="165"/>
      <c r="I119" s="49"/>
      <c r="J119" s="49"/>
      <c r="K119" s="165"/>
      <c r="L119" s="816"/>
      <c r="M119" s="816"/>
      <c r="O119" s="78" t="s">
        <v>2429</v>
      </c>
      <c r="P119" s="1625" t="s">
        <v>4063</v>
      </c>
      <c r="Q119" s="210"/>
    </row>
    <row r="120" spans="2:17" ht="12" customHeight="1">
      <c r="B120" s="54"/>
      <c r="C120" s="78" t="s">
        <v>2430</v>
      </c>
      <c r="D120" s="61" t="s">
        <v>1685</v>
      </c>
      <c r="E120" s="165"/>
      <c r="F120" s="165"/>
      <c r="G120" s="165"/>
      <c r="H120" s="49"/>
      <c r="I120" s="49"/>
      <c r="J120" s="49"/>
      <c r="K120" s="165"/>
      <c r="L120" s="816"/>
      <c r="M120" s="816"/>
      <c r="O120" s="78" t="s">
        <v>2430</v>
      </c>
      <c r="P120" s="1669" t="s">
        <v>4063</v>
      </c>
      <c r="Q120" s="321"/>
    </row>
    <row r="121" spans="2:17" ht="12" customHeight="1">
      <c r="B121" s="54"/>
      <c r="C121" s="78"/>
      <c r="D121" s="61" t="s">
        <v>3464</v>
      </c>
      <c r="E121" s="608" t="s">
        <v>3201</v>
      </c>
      <c r="F121" s="61" t="s">
        <v>3465</v>
      </c>
      <c r="G121" s="49"/>
      <c r="H121" s="61"/>
      <c r="I121" s="49"/>
      <c r="J121" s="49"/>
      <c r="K121" s="165"/>
      <c r="L121" s="816"/>
      <c r="M121" s="816"/>
      <c r="O121" s="608" t="s">
        <v>3201</v>
      </c>
      <c r="P121" s="1681" t="s">
        <v>1368</v>
      </c>
      <c r="Q121" s="385"/>
    </row>
    <row r="122" spans="2:17" ht="12" customHeight="1">
      <c r="B122" s="54"/>
      <c r="C122" s="78"/>
      <c r="E122" s="608" t="s">
        <v>3202</v>
      </c>
      <c r="F122" s="61" t="s">
        <v>3466</v>
      </c>
      <c r="G122" s="49"/>
      <c r="H122" s="61"/>
      <c r="I122" s="49"/>
      <c r="J122" s="49"/>
      <c r="K122" s="165"/>
      <c r="L122" s="816"/>
      <c r="M122" s="816"/>
      <c r="O122" s="608" t="s">
        <v>3202</v>
      </c>
      <c r="P122" s="1669"/>
      <c r="Q122" s="321"/>
    </row>
    <row r="123" spans="2:17" ht="12" customHeight="1">
      <c r="B123" s="54"/>
      <c r="C123" s="78"/>
      <c r="E123" s="608" t="s">
        <v>3203</v>
      </c>
      <c r="F123" s="61" t="s">
        <v>3467</v>
      </c>
      <c r="G123" s="49"/>
      <c r="H123" s="61"/>
      <c r="I123" s="49"/>
      <c r="J123" s="49"/>
      <c r="K123" s="165"/>
      <c r="L123" s="816"/>
      <c r="M123" s="816"/>
      <c r="O123" s="608" t="s">
        <v>3203</v>
      </c>
      <c r="P123" s="1669"/>
      <c r="Q123" s="321"/>
    </row>
    <row r="124" spans="2:17" ht="12" customHeight="1">
      <c r="B124" s="54"/>
      <c r="C124" s="78" t="s">
        <v>2431</v>
      </c>
      <c r="D124" s="61" t="s">
        <v>1686</v>
      </c>
      <c r="E124" s="165"/>
      <c r="F124" s="165"/>
      <c r="G124" s="165"/>
      <c r="H124" s="61"/>
      <c r="I124" s="49"/>
      <c r="J124" s="49"/>
      <c r="K124" s="165"/>
      <c r="L124" s="816"/>
      <c r="M124" s="816"/>
      <c r="O124" s="78" t="s">
        <v>2431</v>
      </c>
      <c r="P124" s="1625" t="s">
        <v>4063</v>
      </c>
      <c r="Q124" s="210"/>
    </row>
    <row r="125" spans="2:17" ht="12" customHeight="1">
      <c r="B125" s="54"/>
      <c r="C125" s="78"/>
      <c r="D125" s="61" t="s">
        <v>3464</v>
      </c>
      <c r="E125" s="608" t="s">
        <v>3201</v>
      </c>
      <c r="F125" s="61" t="s">
        <v>3468</v>
      </c>
      <c r="G125" s="49"/>
      <c r="H125" s="61"/>
      <c r="I125" s="49"/>
      <c r="J125" s="49"/>
      <c r="K125" s="165"/>
      <c r="L125" s="816"/>
      <c r="O125" s="608" t="s">
        <v>3201</v>
      </c>
      <c r="P125" s="1681" t="s">
        <v>1368</v>
      </c>
      <c r="Q125" s="322"/>
    </row>
    <row r="126" spans="2:17" ht="12" customHeight="1">
      <c r="B126" s="54"/>
      <c r="C126" s="78"/>
      <c r="E126" s="608" t="s">
        <v>3202</v>
      </c>
      <c r="F126" s="61" t="s">
        <v>3469</v>
      </c>
      <c r="G126" s="49"/>
      <c r="H126" s="61"/>
      <c r="I126" s="49"/>
      <c r="J126" s="49"/>
      <c r="K126" s="165"/>
      <c r="L126" s="816"/>
      <c r="O126" s="608" t="s">
        <v>3202</v>
      </c>
      <c r="P126" s="1669"/>
      <c r="Q126" s="321"/>
    </row>
    <row r="127" spans="2:17" ht="12" customHeight="1">
      <c r="B127" s="54"/>
      <c r="C127" s="78"/>
      <c r="E127" s="608" t="s">
        <v>3203</v>
      </c>
      <c r="F127" s="61" t="s">
        <v>3467</v>
      </c>
      <c r="G127" s="49"/>
      <c r="H127" s="61"/>
      <c r="I127" s="49"/>
      <c r="J127" s="49"/>
      <c r="K127" s="165"/>
      <c r="L127" s="816"/>
      <c r="O127" s="608" t="s">
        <v>3203</v>
      </c>
      <c r="P127" s="1669"/>
      <c r="Q127" s="321"/>
    </row>
    <row r="128" spans="2:17" ht="12" customHeight="1">
      <c r="B128" s="44"/>
      <c r="C128" s="78" t="s">
        <v>3119</v>
      </c>
      <c r="D128" s="61" t="s">
        <v>3470</v>
      </c>
      <c r="E128" s="165"/>
      <c r="F128" s="165"/>
      <c r="G128" s="165"/>
      <c r="H128" s="165"/>
      <c r="I128" s="49"/>
      <c r="J128" s="49"/>
      <c r="K128" s="165"/>
      <c r="L128" s="816"/>
      <c r="M128" s="816"/>
      <c r="O128" s="78" t="s">
        <v>3119</v>
      </c>
      <c r="P128" s="1625" t="s">
        <v>4063</v>
      </c>
      <c r="Q128" s="210"/>
    </row>
    <row r="129" spans="1:31" ht="12" customHeight="1">
      <c r="B129" s="54" t="s">
        <v>2427</v>
      </c>
      <c r="C129" s="178" t="s">
        <v>3178</v>
      </c>
      <c r="D129" s="165"/>
      <c r="E129" s="165"/>
      <c r="F129" s="165"/>
      <c r="G129" s="165"/>
      <c r="H129" s="165"/>
      <c r="I129" s="49"/>
      <c r="J129" s="49"/>
      <c r="K129" s="165"/>
      <c r="L129" s="816"/>
      <c r="M129" s="816"/>
      <c r="N129" s="816"/>
      <c r="O129" s="816"/>
      <c r="P129" s="816"/>
      <c r="Q129" s="816"/>
    </row>
    <row r="130" spans="1:31" ht="12" customHeight="1">
      <c r="B130" s="54"/>
      <c r="C130" s="78" t="s">
        <v>2429</v>
      </c>
      <c r="D130" s="61" t="s">
        <v>3179</v>
      </c>
      <c r="E130" s="165"/>
      <c r="F130" s="1682" t="s">
        <v>4063</v>
      </c>
      <c r="G130" s="324"/>
      <c r="H130" s="78" t="s">
        <v>3119</v>
      </c>
      <c r="I130" s="61" t="s">
        <v>2011</v>
      </c>
      <c r="J130" s="1682" t="s">
        <v>4063</v>
      </c>
      <c r="K130" s="324"/>
      <c r="L130" s="654" t="s">
        <v>104</v>
      </c>
      <c r="M130" s="61" t="s">
        <v>2012</v>
      </c>
      <c r="O130" s="1682" t="s">
        <v>4063</v>
      </c>
      <c r="P130" s="324"/>
    </row>
    <row r="131" spans="1:31" ht="12" customHeight="1">
      <c r="B131" s="44"/>
      <c r="C131" s="78" t="s">
        <v>2430</v>
      </c>
      <c r="D131" s="61" t="s">
        <v>3276</v>
      </c>
      <c r="E131" s="165"/>
      <c r="F131" s="1683" t="s">
        <v>4063</v>
      </c>
      <c r="G131" s="473"/>
      <c r="H131" s="78" t="s">
        <v>2008</v>
      </c>
      <c r="I131" s="61" t="s">
        <v>3666</v>
      </c>
      <c r="J131" s="1683" t="s">
        <v>4063</v>
      </c>
      <c r="K131" s="473"/>
      <c r="L131" s="654" t="s">
        <v>677</v>
      </c>
      <c r="M131" s="64" t="s">
        <v>3472</v>
      </c>
      <c r="O131" s="1683" t="s">
        <v>4063</v>
      </c>
      <c r="P131" s="473"/>
    </row>
    <row r="132" spans="1:31" ht="12" customHeight="1">
      <c r="B132" s="44"/>
      <c r="C132" s="78" t="s">
        <v>2431</v>
      </c>
      <c r="D132" s="61" t="s">
        <v>3471</v>
      </c>
      <c r="E132" s="165"/>
      <c r="F132" s="1684" t="s">
        <v>4063</v>
      </c>
      <c r="G132" s="325"/>
      <c r="H132" s="78" t="s">
        <v>2009</v>
      </c>
      <c r="I132" s="61" t="s">
        <v>2010</v>
      </c>
      <c r="J132" s="1684" t="s">
        <v>4063</v>
      </c>
      <c r="K132" s="325"/>
      <c r="L132" s="654" t="s">
        <v>678</v>
      </c>
      <c r="M132" s="64" t="s">
        <v>3473</v>
      </c>
      <c r="O132" s="1684" t="s">
        <v>4063</v>
      </c>
      <c r="P132" s="325"/>
    </row>
    <row r="133" spans="1:31" ht="12" customHeight="1">
      <c r="B133" s="44"/>
      <c r="C133" s="654" t="s">
        <v>679</v>
      </c>
      <c r="D133" s="61" t="s">
        <v>3960</v>
      </c>
      <c r="E133" s="165"/>
      <c r="F133" s="165"/>
      <c r="G133" s="165"/>
      <c r="H133" s="165"/>
      <c r="J133" s="1675" t="s">
        <v>4124</v>
      </c>
      <c r="K133" s="1676"/>
      <c r="L133" s="1676"/>
      <c r="M133" s="1676"/>
      <c r="N133" s="1676"/>
      <c r="O133" s="1676"/>
      <c r="P133" s="1677"/>
      <c r="Q133" s="210"/>
    </row>
    <row r="134" spans="1:31" ht="12" customHeight="1">
      <c r="B134" s="54" t="s">
        <v>2428</v>
      </c>
      <c r="C134" s="61" t="s">
        <v>1717</v>
      </c>
      <c r="D134" s="165"/>
      <c r="E134" s="165"/>
      <c r="F134" s="165"/>
      <c r="G134" s="165"/>
      <c r="H134" s="165"/>
      <c r="I134" s="49"/>
      <c r="J134" s="49"/>
      <c r="K134" s="165"/>
      <c r="L134" s="165"/>
      <c r="M134" s="816"/>
      <c r="O134" s="654" t="s">
        <v>2428</v>
      </c>
      <c r="P134" s="1625" t="s">
        <v>1368</v>
      </c>
      <c r="Q134" s="210"/>
    </row>
    <row r="135" spans="1:31" ht="12" customHeight="1">
      <c r="A135" s="176"/>
      <c r="B135" s="49"/>
      <c r="C135" s="78" t="s">
        <v>2429</v>
      </c>
      <c r="D135" s="61" t="s">
        <v>907</v>
      </c>
      <c r="E135" s="165"/>
      <c r="F135" s="165"/>
      <c r="G135" s="165"/>
      <c r="H135" s="165"/>
      <c r="O135" s="78" t="s">
        <v>2429</v>
      </c>
      <c r="P135" s="1625"/>
      <c r="Q135" s="210"/>
    </row>
    <row r="136" spans="1:31" ht="12" customHeight="1">
      <c r="A136" s="176"/>
      <c r="B136" s="162"/>
      <c r="C136" s="78" t="s">
        <v>2430</v>
      </c>
      <c r="D136" s="61" t="s">
        <v>624</v>
      </c>
      <c r="E136" s="61"/>
      <c r="F136" s="61"/>
      <c r="G136" s="61"/>
      <c r="H136" s="61"/>
      <c r="I136" s="49"/>
      <c r="J136" s="49"/>
      <c r="K136" s="61"/>
      <c r="L136" s="61"/>
      <c r="M136" s="61"/>
      <c r="O136" s="78" t="s">
        <v>2430</v>
      </c>
      <c r="P136" s="1625"/>
      <c r="Q136" s="210"/>
    </row>
    <row r="137" spans="1:31" ht="12" customHeight="1">
      <c r="A137" s="176"/>
      <c r="B137" s="162"/>
      <c r="C137" s="78" t="s">
        <v>2431</v>
      </c>
      <c r="D137" s="61" t="s">
        <v>866</v>
      </c>
      <c r="E137" s="61"/>
      <c r="F137" s="61"/>
      <c r="G137" s="61"/>
      <c r="H137" s="61"/>
      <c r="I137" s="49"/>
      <c r="J137" s="49"/>
      <c r="K137" s="61"/>
      <c r="L137" s="61"/>
      <c r="M137" s="61"/>
      <c r="O137" s="78" t="s">
        <v>2431</v>
      </c>
      <c r="P137" s="1625"/>
      <c r="Q137" s="210"/>
    </row>
    <row r="138" spans="1:31" ht="12" customHeight="1">
      <c r="B138" s="54" t="s">
        <v>2656</v>
      </c>
      <c r="C138" s="61" t="s">
        <v>2446</v>
      </c>
      <c r="D138" s="165"/>
      <c r="E138" s="165"/>
      <c r="F138" s="165"/>
      <c r="G138" s="165"/>
      <c r="H138" s="165"/>
      <c r="I138" s="49"/>
      <c r="J138" s="49"/>
      <c r="K138" s="165"/>
      <c r="L138" s="165"/>
      <c r="M138" s="816"/>
      <c r="O138" s="654" t="s">
        <v>2656</v>
      </c>
      <c r="P138" s="1625" t="s">
        <v>1368</v>
      </c>
      <c r="Q138" s="210"/>
    </row>
    <row r="139" spans="1:31" ht="4.9000000000000004" customHeight="1"/>
    <row r="140" spans="1:31" ht="11.25" customHeight="1">
      <c r="B140" s="173" t="s">
        <v>2569</v>
      </c>
      <c r="D140" s="173"/>
      <c r="E140" s="173"/>
      <c r="F140" s="173"/>
      <c r="G140" s="173"/>
      <c r="H140" s="822"/>
      <c r="I140" s="162"/>
      <c r="J140" s="162"/>
      <c r="K140" s="162"/>
      <c r="L140" s="811"/>
      <c r="M140" s="811"/>
      <c r="N140" s="811"/>
      <c r="O140" s="811"/>
      <c r="P140" s="811"/>
      <c r="Q140" s="59"/>
    </row>
    <row r="141" spans="1:31" ht="39.75" customHeight="1">
      <c r="A141" s="1629" t="s">
        <v>4192</v>
      </c>
      <c r="B141" s="1630"/>
      <c r="C141" s="1630"/>
      <c r="D141" s="1630"/>
      <c r="E141" s="1630"/>
      <c r="F141" s="1630"/>
      <c r="G141" s="1630"/>
      <c r="H141" s="1630"/>
      <c r="I141" s="1630"/>
      <c r="J141" s="1630"/>
      <c r="K141" s="1630"/>
      <c r="L141" s="1630"/>
      <c r="M141" s="1630"/>
      <c r="N141" s="1630"/>
      <c r="O141" s="1630"/>
      <c r="P141" s="1630"/>
      <c r="Q141" s="1631"/>
      <c r="R141" s="614" t="s">
        <v>1676</v>
      </c>
      <c r="S141" s="615"/>
      <c r="U141" s="168"/>
      <c r="V141" s="168"/>
      <c r="W141" s="168"/>
      <c r="X141" s="168"/>
      <c r="Y141" s="168"/>
      <c r="Z141" s="168"/>
      <c r="AA141" s="168"/>
      <c r="AB141" s="168"/>
      <c r="AC141" s="168"/>
      <c r="AD141" s="168"/>
      <c r="AE141" s="656"/>
    </row>
    <row r="142" spans="1:31" ht="11.25" customHeight="1">
      <c r="B142" s="169" t="s">
        <v>2570</v>
      </c>
      <c r="C142" s="170"/>
      <c r="D142" s="818"/>
      <c r="E142" s="818"/>
      <c r="F142" s="818"/>
      <c r="G142" s="818"/>
      <c r="H142" s="818"/>
      <c r="I142" s="818"/>
      <c r="J142" s="818"/>
      <c r="K142" s="818"/>
      <c r="L142" s="818"/>
      <c r="M142" s="818"/>
      <c r="N142" s="818"/>
      <c r="O142" s="818"/>
      <c r="P142" s="818"/>
      <c r="Q142" s="818"/>
    </row>
    <row r="143" spans="1:31" ht="12" customHeight="1">
      <c r="A143" s="1057"/>
      <c r="B143" s="1058"/>
      <c r="C143" s="1058"/>
      <c r="D143" s="1058"/>
      <c r="E143" s="1058"/>
      <c r="F143" s="1058"/>
      <c r="G143" s="1058"/>
      <c r="H143" s="1058"/>
      <c r="I143" s="1058"/>
      <c r="J143" s="1058"/>
      <c r="K143" s="1058"/>
      <c r="L143" s="1058"/>
      <c r="M143" s="1058"/>
      <c r="N143" s="1058"/>
      <c r="O143" s="1058"/>
      <c r="P143" s="1058"/>
      <c r="Q143" s="1059"/>
      <c r="R143" s="614" t="s">
        <v>1676</v>
      </c>
      <c r="S143" s="615"/>
    </row>
    <row r="144" spans="1:31" ht="8.4499999999999993" customHeight="1">
      <c r="A144" s="811"/>
      <c r="B144" s="162"/>
      <c r="C144" s="818"/>
      <c r="D144" s="818"/>
      <c r="E144" s="818"/>
      <c r="F144" s="818"/>
      <c r="G144" s="818"/>
      <c r="H144" s="818"/>
      <c r="I144" s="818"/>
      <c r="J144" s="818"/>
      <c r="K144" s="818"/>
      <c r="L144" s="818"/>
      <c r="M144" s="818"/>
      <c r="N144" s="818"/>
      <c r="O144" s="818"/>
      <c r="P144" s="818"/>
      <c r="Q144" s="811"/>
    </row>
    <row r="145" spans="1:31" ht="13.9" customHeight="1">
      <c r="A145" s="820">
        <v>8</v>
      </c>
      <c r="B145" s="820" t="s">
        <v>3490</v>
      </c>
      <c r="C145" s="820"/>
      <c r="D145" s="818"/>
      <c r="E145" s="818"/>
      <c r="F145" s="818"/>
      <c r="G145" s="818"/>
      <c r="H145" s="818"/>
      <c r="I145" s="818"/>
      <c r="J145" s="818"/>
      <c r="K145" s="818"/>
      <c r="O145" s="163" t="s">
        <v>2571</v>
      </c>
      <c r="P145" s="1060"/>
      <c r="Q145" s="1063"/>
    </row>
    <row r="146" spans="1:31" ht="12" customHeight="1">
      <c r="B146" s="54" t="s">
        <v>2693</v>
      </c>
      <c r="C146" s="61" t="s">
        <v>3631</v>
      </c>
      <c r="D146" s="61"/>
      <c r="E146" s="61"/>
      <c r="F146" s="61"/>
      <c r="G146" s="61"/>
      <c r="I146" s="61" t="s">
        <v>3630</v>
      </c>
      <c r="K146" s="1685">
        <v>42004</v>
      </c>
      <c r="L146" s="1686"/>
      <c r="N146" s="61"/>
      <c r="O146" s="654" t="s">
        <v>2693</v>
      </c>
      <c r="P146" s="1625" t="s">
        <v>4068</v>
      </c>
      <c r="Q146" s="210"/>
    </row>
    <row r="147" spans="1:31" ht="12" customHeight="1">
      <c r="A147" s="171"/>
      <c r="B147" s="54" t="s">
        <v>2696</v>
      </c>
      <c r="C147" s="172" t="s">
        <v>164</v>
      </c>
      <c r="D147" s="172"/>
      <c r="E147" s="172"/>
      <c r="F147" s="172"/>
      <c r="G147" s="172"/>
      <c r="H147" s="172"/>
      <c r="M147" s="654" t="s">
        <v>2696</v>
      </c>
      <c r="N147" s="1687" t="s">
        <v>4126</v>
      </c>
      <c r="O147" s="1688"/>
      <c r="P147" s="1084"/>
      <c r="Q147" s="1085"/>
    </row>
    <row r="148" spans="1:31" ht="12" customHeight="1">
      <c r="A148" s="171"/>
      <c r="B148" s="54" t="s">
        <v>1053</v>
      </c>
      <c r="C148" s="172" t="s">
        <v>867</v>
      </c>
      <c r="D148" s="172"/>
      <c r="E148" s="172"/>
      <c r="F148" s="172"/>
      <c r="G148" s="172"/>
      <c r="H148" s="172"/>
      <c r="J148" s="654" t="s">
        <v>1053</v>
      </c>
      <c r="K148" s="1689" t="s">
        <v>4083</v>
      </c>
      <c r="L148" s="1690"/>
      <c r="M148" s="1690"/>
      <c r="N148" s="1690"/>
      <c r="O148" s="1690"/>
      <c r="P148" s="1691"/>
      <c r="Q148" s="210"/>
    </row>
    <row r="149" spans="1:31" ht="12" customHeight="1">
      <c r="B149" s="173" t="s">
        <v>2569</v>
      </c>
      <c r="D149" s="173"/>
      <c r="E149" s="173"/>
      <c r="F149" s="173"/>
      <c r="G149" s="173"/>
      <c r="H149" s="822"/>
      <c r="I149" s="162"/>
      <c r="J149" s="162"/>
      <c r="K149" s="162"/>
      <c r="L149" s="811"/>
      <c r="M149" s="811"/>
      <c r="N149" s="811"/>
      <c r="O149" s="811"/>
      <c r="P149" s="811"/>
      <c r="Q149" s="59"/>
    </row>
    <row r="150" spans="1:31" ht="11.45" customHeight="1">
      <c r="A150" s="1629" t="s">
        <v>4127</v>
      </c>
      <c r="B150" s="1630"/>
      <c r="C150" s="1630"/>
      <c r="D150" s="1630"/>
      <c r="E150" s="1630"/>
      <c r="F150" s="1630"/>
      <c r="G150" s="1630"/>
      <c r="H150" s="1630"/>
      <c r="I150" s="1630"/>
      <c r="J150" s="1630"/>
      <c r="K150" s="1630"/>
      <c r="L150" s="1630"/>
      <c r="M150" s="1630"/>
      <c r="N150" s="1630"/>
      <c r="O150" s="1630"/>
      <c r="P150" s="1630"/>
      <c r="Q150" s="1631"/>
      <c r="U150" s="168"/>
      <c r="V150" s="168"/>
      <c r="W150" s="168"/>
      <c r="X150" s="168"/>
      <c r="Y150" s="168"/>
      <c r="Z150" s="168"/>
      <c r="AA150" s="168"/>
      <c r="AB150" s="168"/>
      <c r="AC150" s="168"/>
      <c r="AD150" s="168"/>
      <c r="AE150" s="656"/>
    </row>
    <row r="151" spans="1:31" ht="12" customHeight="1">
      <c r="B151" s="169" t="s">
        <v>2570</v>
      </c>
      <c r="C151" s="170"/>
      <c r="D151" s="818"/>
      <c r="E151" s="818"/>
      <c r="F151" s="818"/>
      <c r="G151" s="818"/>
      <c r="H151" s="818"/>
      <c r="I151" s="818"/>
      <c r="J151" s="818"/>
      <c r="K151" s="818"/>
      <c r="L151" s="818"/>
      <c r="M151" s="818"/>
      <c r="N151" s="818"/>
      <c r="O151" s="818"/>
      <c r="P151" s="818"/>
      <c r="Q151" s="818"/>
    </row>
    <row r="152" spans="1:31" ht="11.45" customHeight="1">
      <c r="A152" s="1057"/>
      <c r="B152" s="1058"/>
      <c r="C152" s="1058"/>
      <c r="D152" s="1058"/>
      <c r="E152" s="1058"/>
      <c r="F152" s="1058"/>
      <c r="G152" s="1058"/>
      <c r="H152" s="1058"/>
      <c r="I152" s="1058"/>
      <c r="J152" s="1058"/>
      <c r="K152" s="1058"/>
      <c r="L152" s="1058"/>
      <c r="M152" s="1058"/>
      <c r="N152" s="1058"/>
      <c r="O152" s="1058"/>
      <c r="P152" s="1058"/>
      <c r="Q152" s="1059"/>
    </row>
    <row r="153" spans="1:31" ht="3" customHeight="1">
      <c r="A153" s="811"/>
      <c r="B153" s="162"/>
      <c r="C153" s="818"/>
      <c r="D153" s="818"/>
      <c r="E153" s="818"/>
      <c r="F153" s="818"/>
      <c r="G153" s="818"/>
      <c r="H153" s="818"/>
      <c r="I153" s="818"/>
      <c r="J153" s="818"/>
      <c r="K153" s="818"/>
      <c r="L153" s="818"/>
      <c r="M153" s="818"/>
      <c r="Q153" s="811"/>
    </row>
    <row r="154" spans="1:31" ht="13.9" customHeight="1">
      <c r="A154" s="820">
        <v>9</v>
      </c>
      <c r="B154" s="820" t="s">
        <v>3491</v>
      </c>
      <c r="C154" s="820"/>
      <c r="D154" s="818"/>
      <c r="E154" s="818"/>
      <c r="F154" s="818"/>
      <c r="G154" s="818"/>
      <c r="H154" s="818"/>
      <c r="I154" s="818"/>
      <c r="J154" s="818"/>
      <c r="K154" s="818"/>
      <c r="L154" s="818"/>
      <c r="M154" s="818"/>
      <c r="O154" s="163" t="s">
        <v>2571</v>
      </c>
      <c r="P154" s="1060"/>
      <c r="Q154" s="1063"/>
    </row>
    <row r="155" spans="1:31" ht="12" customHeight="1">
      <c r="B155" s="174" t="s">
        <v>2693</v>
      </c>
      <c r="C155" s="172" t="s">
        <v>102</v>
      </c>
      <c r="D155" s="172"/>
      <c r="E155" s="172"/>
      <c r="F155" s="172"/>
      <c r="G155" s="172"/>
      <c r="H155" s="172"/>
      <c r="I155" s="172"/>
      <c r="J155" s="172"/>
      <c r="K155" s="172"/>
      <c r="L155" s="179"/>
      <c r="M155" s="179"/>
      <c r="N155" s="179"/>
      <c r="O155" s="199" t="s">
        <v>2693</v>
      </c>
      <c r="P155" s="1625" t="s">
        <v>4068</v>
      </c>
      <c r="Q155" s="210"/>
    </row>
    <row r="156" spans="1:31" ht="22.15" customHeight="1">
      <c r="B156" s="174" t="s">
        <v>2696</v>
      </c>
      <c r="C156" s="1054" t="s">
        <v>3292</v>
      </c>
      <c r="D156" s="1054"/>
      <c r="E156" s="1054"/>
      <c r="F156" s="1054"/>
      <c r="G156" s="1054"/>
      <c r="H156" s="1054"/>
      <c r="I156" s="1054"/>
      <c r="J156" s="1054"/>
      <c r="K156" s="1054"/>
      <c r="L156" s="1054"/>
      <c r="M156" s="1054"/>
      <c r="N156" s="1054"/>
      <c r="O156" s="199" t="s">
        <v>2696</v>
      </c>
      <c r="P156" s="1625"/>
      <c r="Q156" s="210"/>
    </row>
    <row r="157" spans="1:31" ht="21.75" customHeight="1">
      <c r="B157" s="174" t="s">
        <v>1053</v>
      </c>
      <c r="C157" s="1054" t="s">
        <v>3474</v>
      </c>
      <c r="D157" s="1054"/>
      <c r="E157" s="1054"/>
      <c r="F157" s="1054"/>
      <c r="G157" s="1054"/>
      <c r="H157" s="1054"/>
      <c r="I157" s="1054"/>
      <c r="J157" s="1054"/>
      <c r="K157" s="1054"/>
      <c r="L157" s="1054"/>
      <c r="M157" s="1054"/>
      <c r="N157" s="1054"/>
      <c r="O157" s="199" t="s">
        <v>1053</v>
      </c>
      <c r="P157" s="1625"/>
      <c r="Q157" s="210"/>
    </row>
    <row r="158" spans="1:31" ht="12" customHeight="1">
      <c r="B158" s="173" t="s">
        <v>2569</v>
      </c>
      <c r="D158" s="173"/>
      <c r="E158" s="173"/>
      <c r="F158" s="173"/>
      <c r="G158" s="173"/>
      <c r="H158" s="822"/>
      <c r="I158" s="162"/>
      <c r="J158" s="162"/>
      <c r="K158" s="162"/>
      <c r="L158" s="811"/>
      <c r="M158" s="811"/>
      <c r="N158" s="811"/>
      <c r="O158" s="811"/>
      <c r="P158" s="811"/>
      <c r="Q158" s="59"/>
    </row>
    <row r="159" spans="1:31" ht="23.25" customHeight="1">
      <c r="A159" s="1629" t="s">
        <v>4128</v>
      </c>
      <c r="B159" s="1630"/>
      <c r="C159" s="1630"/>
      <c r="D159" s="1630"/>
      <c r="E159" s="1630"/>
      <c r="F159" s="1630"/>
      <c r="G159" s="1630"/>
      <c r="H159" s="1630"/>
      <c r="I159" s="1630"/>
      <c r="J159" s="1630"/>
      <c r="K159" s="1630"/>
      <c r="L159" s="1630"/>
      <c r="M159" s="1630"/>
      <c r="N159" s="1630"/>
      <c r="O159" s="1630"/>
      <c r="P159" s="1630"/>
      <c r="Q159" s="1631"/>
      <c r="U159" s="168"/>
      <c r="V159" s="168"/>
      <c r="W159" s="168"/>
      <c r="X159" s="168"/>
      <c r="Y159" s="168"/>
      <c r="Z159" s="168"/>
      <c r="AA159" s="168"/>
      <c r="AB159" s="168"/>
      <c r="AC159" s="168"/>
      <c r="AD159" s="168"/>
      <c r="AE159" s="656"/>
    </row>
    <row r="160" spans="1:31" ht="12" customHeight="1">
      <c r="B160" s="169" t="s">
        <v>2570</v>
      </c>
      <c r="C160" s="170"/>
      <c r="D160" s="818"/>
      <c r="E160" s="818"/>
      <c r="F160" s="818"/>
      <c r="G160" s="818"/>
      <c r="H160" s="818"/>
      <c r="I160" s="818"/>
      <c r="J160" s="818"/>
      <c r="K160" s="818"/>
      <c r="L160" s="818"/>
      <c r="M160" s="818"/>
      <c r="N160" s="818"/>
      <c r="O160" s="818"/>
      <c r="P160" s="818"/>
      <c r="Q160" s="818"/>
    </row>
    <row r="161" spans="1:32" ht="11.45" customHeight="1">
      <c r="A161" s="1057"/>
      <c r="B161" s="1058"/>
      <c r="C161" s="1058"/>
      <c r="D161" s="1058"/>
      <c r="E161" s="1058"/>
      <c r="F161" s="1058"/>
      <c r="G161" s="1058"/>
      <c r="H161" s="1058"/>
      <c r="I161" s="1058"/>
      <c r="J161" s="1058"/>
      <c r="K161" s="1058"/>
      <c r="L161" s="1058"/>
      <c r="M161" s="1058"/>
      <c r="N161" s="1058"/>
      <c r="O161" s="1058"/>
      <c r="P161" s="1058"/>
      <c r="Q161" s="1059"/>
    </row>
    <row r="162" spans="1:32" ht="3" customHeight="1">
      <c r="B162" s="162"/>
      <c r="C162" s="818"/>
      <c r="D162" s="818"/>
      <c r="E162" s="818"/>
      <c r="F162" s="818"/>
      <c r="G162" s="818"/>
      <c r="H162" s="818"/>
      <c r="I162" s="818"/>
      <c r="J162" s="818"/>
      <c r="K162" s="818"/>
      <c r="L162" s="818"/>
      <c r="M162" s="818"/>
      <c r="N162" s="818"/>
      <c r="O162" s="818"/>
      <c r="P162" s="818"/>
      <c r="Q162" s="811"/>
    </row>
    <row r="163" spans="1:32" ht="13.9" customHeight="1">
      <c r="A163" s="794">
        <v>10</v>
      </c>
      <c r="B163" s="1082" t="s">
        <v>3492</v>
      </c>
      <c r="C163" s="1082"/>
      <c r="D163" s="1082"/>
      <c r="O163" s="163" t="s">
        <v>2571</v>
      </c>
      <c r="P163" s="1060"/>
      <c r="Q163" s="1063"/>
    </row>
    <row r="164" spans="1:32" ht="12" customHeight="1">
      <c r="B164" s="174" t="s">
        <v>2693</v>
      </c>
      <c r="C164" s="179" t="s">
        <v>600</v>
      </c>
      <c r="D164" s="179"/>
      <c r="E164" s="179"/>
      <c r="F164" s="179"/>
      <c r="G164" s="179"/>
      <c r="H164" s="179"/>
      <c r="I164" s="179"/>
      <c r="J164" s="179"/>
      <c r="K164" s="179"/>
      <c r="L164" s="179"/>
      <c r="M164" s="179"/>
      <c r="O164" s="199" t="s">
        <v>2693</v>
      </c>
      <c r="P164" s="1625" t="s">
        <v>4068</v>
      </c>
      <c r="Q164" s="210"/>
    </row>
    <row r="165" spans="1:32" ht="12" customHeight="1">
      <c r="B165" s="174" t="s">
        <v>2696</v>
      </c>
      <c r="C165" s="179" t="s">
        <v>3475</v>
      </c>
      <c r="D165" s="179"/>
      <c r="E165" s="179"/>
      <c r="F165" s="179"/>
      <c r="G165" s="179"/>
      <c r="H165" s="179"/>
      <c r="I165" s="179"/>
      <c r="J165" s="179"/>
      <c r="K165" s="179"/>
      <c r="L165" s="179"/>
      <c r="M165" s="179"/>
      <c r="O165" s="199" t="s">
        <v>2696</v>
      </c>
      <c r="P165" s="1625" t="s">
        <v>4068</v>
      </c>
      <c r="Q165" s="210"/>
    </row>
    <row r="166" spans="1:32" ht="12" customHeight="1">
      <c r="B166" s="174" t="s">
        <v>1053</v>
      </c>
      <c r="C166" s="179" t="s">
        <v>3476</v>
      </c>
      <c r="D166" s="179"/>
      <c r="E166" s="179"/>
      <c r="F166" s="179"/>
      <c r="G166" s="179"/>
      <c r="H166" s="179"/>
      <c r="I166" s="179"/>
      <c r="J166" s="179"/>
      <c r="K166" s="179"/>
      <c r="L166" s="179"/>
      <c r="M166" s="179"/>
      <c r="O166" s="199" t="s">
        <v>1053</v>
      </c>
      <c r="P166" s="1625" t="s">
        <v>4068</v>
      </c>
      <c r="Q166" s="210"/>
    </row>
    <row r="167" spans="1:32" ht="12" customHeight="1">
      <c r="B167" s="174"/>
      <c r="C167" s="179" t="s">
        <v>3464</v>
      </c>
      <c r="D167" s="179"/>
      <c r="E167" s="608" t="s">
        <v>2429</v>
      </c>
      <c r="F167" s="179" t="s">
        <v>3477</v>
      </c>
      <c r="G167" s="179"/>
      <c r="H167" s="179"/>
      <c r="I167" s="179"/>
      <c r="J167" s="179"/>
      <c r="K167" s="179"/>
      <c r="L167" s="179"/>
      <c r="M167" s="179"/>
      <c r="O167" s="608" t="s">
        <v>2429</v>
      </c>
      <c r="P167" s="1625" t="s">
        <v>4068</v>
      </c>
      <c r="Q167" s="210"/>
    </row>
    <row r="168" spans="1:32" ht="12" customHeight="1">
      <c r="B168" s="174"/>
      <c r="C168" s="179"/>
      <c r="D168" s="179"/>
      <c r="E168" s="608" t="s">
        <v>2430</v>
      </c>
      <c r="F168" s="179" t="s">
        <v>3478</v>
      </c>
      <c r="G168" s="179"/>
      <c r="H168" s="179"/>
      <c r="I168" s="179"/>
      <c r="J168" s="179"/>
      <c r="K168" s="179"/>
      <c r="L168" s="179"/>
      <c r="M168" s="179"/>
      <c r="O168" s="608" t="s">
        <v>2430</v>
      </c>
      <c r="P168" s="1625" t="s">
        <v>4068</v>
      </c>
      <c r="Q168" s="210"/>
    </row>
    <row r="169" spans="1:32" s="164" customFormat="1" ht="21.75" customHeight="1">
      <c r="B169" s="174"/>
      <c r="C169" s="179"/>
      <c r="D169" s="179"/>
      <c r="E169" s="199" t="s">
        <v>2431</v>
      </c>
      <c r="F169" s="1054" t="s">
        <v>3479</v>
      </c>
      <c r="G169" s="1054"/>
      <c r="H169" s="1054"/>
      <c r="I169" s="1054"/>
      <c r="J169" s="1054"/>
      <c r="K169" s="1054"/>
      <c r="L169" s="1054"/>
      <c r="M169" s="1054"/>
      <c r="N169" s="1054"/>
      <c r="O169" s="199" t="s">
        <v>2431</v>
      </c>
      <c r="P169" s="1674" t="s">
        <v>4068</v>
      </c>
      <c r="Q169" s="323"/>
      <c r="AE169" s="657"/>
      <c r="AF169" s="657"/>
    </row>
    <row r="170" spans="1:32" ht="12" customHeight="1">
      <c r="B170" s="174"/>
      <c r="C170" s="179"/>
      <c r="D170" s="179"/>
      <c r="E170" s="608" t="s">
        <v>3119</v>
      </c>
      <c r="F170" s="179" t="s">
        <v>3480</v>
      </c>
      <c r="G170" s="179"/>
      <c r="H170" s="179"/>
      <c r="I170" s="179"/>
      <c r="J170" s="179"/>
      <c r="K170" s="179"/>
      <c r="L170" s="179"/>
      <c r="M170" s="179"/>
      <c r="O170" s="608" t="s">
        <v>3119</v>
      </c>
      <c r="P170" s="1625" t="s">
        <v>4068</v>
      </c>
      <c r="Q170" s="210"/>
    </row>
    <row r="171" spans="1:32" s="164" customFormat="1" ht="21.75" customHeight="1">
      <c r="B171" s="174"/>
      <c r="C171" s="179"/>
      <c r="D171" s="179"/>
      <c r="E171" s="199" t="s">
        <v>2008</v>
      </c>
      <c r="F171" s="1054" t="s">
        <v>3481</v>
      </c>
      <c r="G171" s="1054"/>
      <c r="H171" s="1054"/>
      <c r="I171" s="1054"/>
      <c r="J171" s="1054"/>
      <c r="K171" s="1054"/>
      <c r="L171" s="1054"/>
      <c r="M171" s="1054"/>
      <c r="N171" s="1054"/>
      <c r="O171" s="199" t="s">
        <v>2008</v>
      </c>
      <c r="P171" s="1674"/>
      <c r="Q171" s="323"/>
      <c r="AE171" s="657"/>
      <c r="AF171" s="657"/>
    </row>
    <row r="172" spans="1:32" ht="21.75" customHeight="1">
      <c r="B172" s="174" t="s">
        <v>2829</v>
      </c>
      <c r="C172" s="1054" t="s">
        <v>3482</v>
      </c>
      <c r="D172" s="1054"/>
      <c r="E172" s="1054"/>
      <c r="F172" s="1054"/>
      <c r="G172" s="1054"/>
      <c r="H172" s="1054"/>
      <c r="I172" s="1054"/>
      <c r="J172" s="1054"/>
      <c r="K172" s="1054"/>
      <c r="L172" s="1054"/>
      <c r="M172" s="1054"/>
      <c r="N172" s="1054"/>
      <c r="O172" s="199" t="s">
        <v>2829</v>
      </c>
      <c r="P172" s="1625" t="s">
        <v>4068</v>
      </c>
      <c r="Q172" s="210"/>
    </row>
    <row r="173" spans="1:32" ht="12" customHeight="1">
      <c r="B173" s="174" t="s">
        <v>2427</v>
      </c>
      <c r="C173" s="179" t="s">
        <v>3135</v>
      </c>
      <c r="D173" s="179"/>
      <c r="E173" s="179"/>
      <c r="F173" s="179"/>
      <c r="G173" s="179"/>
      <c r="H173" s="179"/>
      <c r="I173" s="179"/>
      <c r="J173" s="179"/>
      <c r="K173" s="179"/>
      <c r="L173" s="179"/>
      <c r="M173" s="179"/>
      <c r="O173" s="199" t="s">
        <v>2427</v>
      </c>
      <c r="P173" s="1625" t="s">
        <v>4068</v>
      </c>
      <c r="Q173" s="210"/>
    </row>
    <row r="174" spans="1:32" ht="12" customHeight="1">
      <c r="B174" s="173" t="s">
        <v>2569</v>
      </c>
      <c r="D174" s="173"/>
      <c r="E174" s="173"/>
      <c r="F174" s="173"/>
      <c r="G174" s="173"/>
      <c r="H174" s="822"/>
      <c r="I174" s="162"/>
      <c r="J174" s="162"/>
      <c r="K174" s="162"/>
      <c r="L174" s="811"/>
      <c r="M174" s="811"/>
      <c r="N174" s="811"/>
      <c r="O174" s="811"/>
      <c r="P174" s="811"/>
      <c r="Q174" s="59"/>
    </row>
    <row r="175" spans="1:32" ht="11.45" customHeight="1">
      <c r="A175" s="1629" t="s">
        <v>4129</v>
      </c>
      <c r="B175" s="1630"/>
      <c r="C175" s="1630"/>
      <c r="D175" s="1630"/>
      <c r="E175" s="1630"/>
      <c r="F175" s="1630"/>
      <c r="G175" s="1630"/>
      <c r="H175" s="1630"/>
      <c r="I175" s="1630"/>
      <c r="J175" s="1630"/>
      <c r="K175" s="1630"/>
      <c r="L175" s="1630"/>
      <c r="M175" s="1630"/>
      <c r="N175" s="1630"/>
      <c r="O175" s="1630"/>
      <c r="P175" s="1630"/>
      <c r="Q175" s="1631"/>
      <c r="U175" s="168"/>
      <c r="V175" s="168"/>
      <c r="W175" s="168"/>
      <c r="X175" s="168"/>
      <c r="Y175" s="168"/>
      <c r="Z175" s="168"/>
      <c r="AA175" s="168"/>
      <c r="AB175" s="168"/>
      <c r="AC175" s="168"/>
      <c r="AD175" s="168"/>
      <c r="AE175" s="656"/>
    </row>
    <row r="176" spans="1:32" ht="12" customHeight="1">
      <c r="B176" s="169" t="s">
        <v>2570</v>
      </c>
      <c r="C176" s="170"/>
      <c r="D176" s="818"/>
      <c r="E176" s="818"/>
      <c r="F176" s="818"/>
      <c r="G176" s="818"/>
      <c r="H176" s="818"/>
      <c r="I176" s="818"/>
      <c r="J176" s="818"/>
      <c r="K176" s="818"/>
      <c r="L176" s="818"/>
      <c r="M176" s="818"/>
      <c r="N176" s="818"/>
      <c r="O176" s="818"/>
      <c r="P176" s="818"/>
      <c r="Q176" s="818"/>
    </row>
    <row r="177" spans="1:31" ht="11.45" customHeight="1">
      <c r="A177" s="1057"/>
      <c r="B177" s="1058"/>
      <c r="C177" s="1058"/>
      <c r="D177" s="1058"/>
      <c r="E177" s="1058"/>
      <c r="F177" s="1058"/>
      <c r="G177" s="1058"/>
      <c r="H177" s="1058"/>
      <c r="I177" s="1058"/>
      <c r="J177" s="1058"/>
      <c r="K177" s="1058"/>
      <c r="L177" s="1058"/>
      <c r="M177" s="1058"/>
      <c r="N177" s="1058"/>
      <c r="O177" s="1058"/>
      <c r="P177" s="1058"/>
      <c r="Q177" s="1059"/>
    </row>
    <row r="178" spans="1:31" ht="3" customHeight="1">
      <c r="A178" s="811"/>
      <c r="B178" s="162"/>
      <c r="C178" s="818"/>
      <c r="D178" s="818"/>
      <c r="E178" s="818"/>
      <c r="F178" s="818"/>
      <c r="G178" s="818"/>
      <c r="H178" s="818"/>
      <c r="I178" s="818"/>
      <c r="J178" s="818"/>
      <c r="K178" s="818"/>
      <c r="L178" s="818"/>
      <c r="M178" s="818"/>
      <c r="N178" s="818"/>
      <c r="O178" s="818"/>
      <c r="P178" s="818"/>
      <c r="Q178" s="811"/>
    </row>
    <row r="179" spans="1:31" ht="13.9" customHeight="1">
      <c r="A179" s="820">
        <v>11</v>
      </c>
      <c r="B179" s="820" t="s">
        <v>3493</v>
      </c>
      <c r="C179" s="820"/>
      <c r="D179" s="818"/>
      <c r="E179" s="180"/>
      <c r="F179" s="180"/>
      <c r="G179" s="818"/>
      <c r="J179" s="607"/>
      <c r="K179" s="750"/>
      <c r="L179" s="750"/>
      <c r="M179" s="750"/>
      <c r="N179" s="750"/>
      <c r="O179" s="163" t="s">
        <v>2571</v>
      </c>
      <c r="P179" s="1060"/>
      <c r="Q179" s="1063"/>
    </row>
    <row r="180" spans="1:31" ht="12" customHeight="1">
      <c r="A180" s="171"/>
      <c r="B180" s="54" t="s">
        <v>2693</v>
      </c>
      <c r="C180" s="1054" t="s">
        <v>103</v>
      </c>
      <c r="D180" s="1054"/>
      <c r="E180" s="1054"/>
      <c r="F180" s="1054"/>
      <c r="G180" s="1054"/>
      <c r="H180" s="78" t="s">
        <v>2429</v>
      </c>
      <c r="I180" s="61" t="s">
        <v>166</v>
      </c>
      <c r="K180" s="1662" t="s">
        <v>1368</v>
      </c>
      <c r="L180" s="1654"/>
      <c r="M180" s="1654"/>
      <c r="N180" s="1655"/>
      <c r="O180" s="78" t="s">
        <v>2429</v>
      </c>
      <c r="P180" s="1625"/>
      <c r="Q180" s="210"/>
    </row>
    <row r="181" spans="1:31" ht="12" customHeight="1">
      <c r="A181" s="171"/>
      <c r="B181" s="162"/>
      <c r="C181" s="125"/>
      <c r="D181" s="125"/>
      <c r="E181" s="125"/>
      <c r="F181" s="125"/>
      <c r="H181" s="78" t="s">
        <v>2430</v>
      </c>
      <c r="I181" s="61" t="s">
        <v>2059</v>
      </c>
      <c r="K181" s="1659" t="s">
        <v>4130</v>
      </c>
      <c r="L181" s="1660"/>
      <c r="M181" s="1660"/>
      <c r="N181" s="1661"/>
      <c r="O181" s="78" t="s">
        <v>2430</v>
      </c>
      <c r="P181" s="1625" t="s">
        <v>4068</v>
      </c>
      <c r="Q181" s="210"/>
    </row>
    <row r="182" spans="1:31" ht="12" customHeight="1">
      <c r="B182" s="173" t="s">
        <v>2569</v>
      </c>
      <c r="D182" s="173"/>
      <c r="E182" s="173"/>
      <c r="F182" s="173"/>
      <c r="G182" s="173"/>
      <c r="J182" s="162"/>
      <c r="K182" s="162"/>
      <c r="L182" s="811"/>
      <c r="M182" s="811"/>
      <c r="N182" s="811"/>
      <c r="O182" s="811"/>
      <c r="P182" s="811"/>
      <c r="Q182" s="59"/>
    </row>
    <row r="183" spans="1:31" ht="24" customHeight="1">
      <c r="A183" s="1629" t="s">
        <v>4131</v>
      </c>
      <c r="B183" s="1630"/>
      <c r="C183" s="1630"/>
      <c r="D183" s="1630"/>
      <c r="E183" s="1630"/>
      <c r="F183" s="1630"/>
      <c r="G183" s="1630"/>
      <c r="H183" s="1630"/>
      <c r="I183" s="1630"/>
      <c r="J183" s="1630"/>
      <c r="K183" s="1630"/>
      <c r="L183" s="1630"/>
      <c r="M183" s="1630"/>
      <c r="N183" s="1630"/>
      <c r="O183" s="1630"/>
      <c r="P183" s="1630"/>
      <c r="Q183" s="1631"/>
      <c r="U183" s="168"/>
      <c r="V183" s="168"/>
      <c r="W183" s="168"/>
      <c r="X183" s="168"/>
      <c r="Y183" s="168"/>
      <c r="Z183" s="168"/>
      <c r="AA183" s="168"/>
      <c r="AB183" s="168"/>
      <c r="AC183" s="168"/>
      <c r="AD183" s="168"/>
      <c r="AE183" s="656"/>
    </row>
    <row r="184" spans="1:31" ht="12" customHeight="1">
      <c r="B184" s="169" t="s">
        <v>2570</v>
      </c>
      <c r="C184" s="170"/>
      <c r="D184" s="818"/>
      <c r="E184" s="818"/>
      <c r="F184" s="818"/>
      <c r="G184" s="818"/>
      <c r="H184" s="818"/>
      <c r="I184" s="818"/>
      <c r="J184" s="818"/>
      <c r="K184" s="818"/>
      <c r="L184" s="818"/>
      <c r="M184" s="818"/>
      <c r="N184" s="818"/>
      <c r="O184" s="818"/>
      <c r="P184" s="818"/>
      <c r="Q184" s="818"/>
    </row>
    <row r="185" spans="1:31" ht="11.45" customHeight="1">
      <c r="A185" s="1057"/>
      <c r="B185" s="1058"/>
      <c r="C185" s="1058"/>
      <c r="D185" s="1058"/>
      <c r="E185" s="1058"/>
      <c r="F185" s="1058"/>
      <c r="G185" s="1058"/>
      <c r="H185" s="1058"/>
      <c r="I185" s="1058"/>
      <c r="J185" s="1058"/>
      <c r="K185" s="1058"/>
      <c r="L185" s="1058"/>
      <c r="M185" s="1058"/>
      <c r="N185" s="1058"/>
      <c r="O185" s="1058"/>
      <c r="P185" s="1058"/>
      <c r="Q185" s="1059"/>
    </row>
    <row r="186" spans="1:31" ht="4.1500000000000004" customHeight="1">
      <c r="B186" s="162"/>
      <c r="C186" s="818"/>
      <c r="D186" s="818"/>
      <c r="E186" s="818"/>
      <c r="F186" s="818"/>
      <c r="G186" s="818"/>
      <c r="H186" s="818"/>
      <c r="I186" s="818"/>
      <c r="J186" s="818"/>
      <c r="K186" s="818"/>
      <c r="L186" s="818"/>
      <c r="M186" s="818"/>
      <c r="Q186" s="59"/>
    </row>
    <row r="187" spans="1:31" ht="13.9" customHeight="1">
      <c r="A187" s="820">
        <v>12</v>
      </c>
      <c r="B187" s="5" t="s">
        <v>3494</v>
      </c>
      <c r="C187" s="5"/>
      <c r="D187" s="104"/>
      <c r="E187" s="104"/>
      <c r="F187" s="104"/>
      <c r="G187" s="818"/>
      <c r="H187" s="818"/>
      <c r="I187" s="818"/>
      <c r="J187" s="818"/>
      <c r="K187" s="818"/>
      <c r="L187" s="818"/>
      <c r="M187" s="818"/>
      <c r="O187" s="163" t="s">
        <v>2571</v>
      </c>
      <c r="P187" s="1060"/>
      <c r="Q187" s="1063"/>
    </row>
    <row r="188" spans="1:31" ht="4.1500000000000004" customHeight="1"/>
    <row r="189" spans="1:31" ht="11.45" customHeight="1">
      <c r="B189" s="174" t="s">
        <v>2693</v>
      </c>
      <c r="C189" s="536" t="s">
        <v>2429</v>
      </c>
      <c r="D189" s="535" t="s">
        <v>680</v>
      </c>
      <c r="E189" s="535"/>
      <c r="F189" s="535"/>
      <c r="G189" s="535"/>
      <c r="H189" s="535"/>
      <c r="I189" s="535"/>
      <c r="J189" s="535"/>
      <c r="K189" s="535"/>
      <c r="L189" s="535"/>
      <c r="M189" s="535"/>
      <c r="N189" s="535"/>
      <c r="O189" s="199" t="s">
        <v>1937</v>
      </c>
      <c r="P189" s="1625" t="s">
        <v>4063</v>
      </c>
      <c r="Q189" s="210"/>
    </row>
    <row r="190" spans="1:31" ht="11.45" customHeight="1">
      <c r="B190" s="174"/>
      <c r="C190" s="536" t="s">
        <v>2430</v>
      </c>
      <c r="D190" s="535" t="s">
        <v>1914</v>
      </c>
      <c r="E190" s="535"/>
      <c r="F190" s="535"/>
      <c r="G190" s="535"/>
      <c r="H190" s="535"/>
      <c r="I190" s="535"/>
      <c r="J190" s="535"/>
      <c r="K190" s="535"/>
      <c r="L190" s="535"/>
      <c r="M190" s="535"/>
      <c r="N190" s="535"/>
      <c r="O190" s="199" t="s">
        <v>2430</v>
      </c>
      <c r="P190" s="1625"/>
      <c r="Q190" s="210"/>
    </row>
    <row r="191" spans="1:31" ht="11.45" customHeight="1">
      <c r="A191" s="171"/>
      <c r="B191" s="174" t="s">
        <v>2696</v>
      </c>
      <c r="C191" s="1054" t="s">
        <v>2552</v>
      </c>
      <c r="D191" s="1054"/>
      <c r="E191" s="1054"/>
      <c r="F191" s="1054"/>
      <c r="G191" s="1054"/>
      <c r="H191" s="78" t="s">
        <v>2429</v>
      </c>
      <c r="I191" s="61" t="s">
        <v>814</v>
      </c>
      <c r="K191" s="1662" t="s">
        <v>4130</v>
      </c>
      <c r="L191" s="1654"/>
      <c r="M191" s="1654"/>
      <c r="N191" s="1655"/>
      <c r="O191" s="78" t="s">
        <v>1890</v>
      </c>
      <c r="P191" s="1625" t="s">
        <v>4068</v>
      </c>
      <c r="Q191" s="210"/>
    </row>
    <row r="192" spans="1:31" ht="11.45" customHeight="1">
      <c r="A192" s="171"/>
      <c r="B192" s="823"/>
      <c r="C192" s="1054"/>
      <c r="D192" s="1054"/>
      <c r="E192" s="1054"/>
      <c r="F192" s="1054"/>
      <c r="G192" s="1054"/>
      <c r="H192" s="78" t="s">
        <v>2430</v>
      </c>
      <c r="I192" s="61" t="s">
        <v>122</v>
      </c>
      <c r="K192" s="1659" t="s">
        <v>4130</v>
      </c>
      <c r="L192" s="1660"/>
      <c r="M192" s="1660"/>
      <c r="N192" s="1661"/>
      <c r="O192" s="78" t="s">
        <v>2430</v>
      </c>
      <c r="P192" s="1625" t="s">
        <v>4068</v>
      </c>
      <c r="Q192" s="210"/>
    </row>
    <row r="193" spans="1:32" ht="11.25" customHeight="1">
      <c r="B193" s="173" t="s">
        <v>2569</v>
      </c>
      <c r="D193" s="173"/>
      <c r="E193" s="173"/>
      <c r="F193" s="173"/>
      <c r="G193" s="173"/>
      <c r="H193" s="822"/>
      <c r="I193" s="162"/>
      <c r="J193" s="162"/>
      <c r="K193" s="162"/>
      <c r="L193" s="811"/>
      <c r="M193" s="811"/>
      <c r="N193" s="811"/>
      <c r="O193" s="811"/>
      <c r="P193" s="811"/>
      <c r="Q193" s="59"/>
    </row>
    <row r="194" spans="1:32" ht="11.45" customHeight="1">
      <c r="A194" s="1629" t="s">
        <v>4193</v>
      </c>
      <c r="B194" s="1630"/>
      <c r="C194" s="1630"/>
      <c r="D194" s="1630"/>
      <c r="E194" s="1630"/>
      <c r="F194" s="1630"/>
      <c r="G194" s="1630"/>
      <c r="H194" s="1630"/>
      <c r="I194" s="1630"/>
      <c r="J194" s="1630"/>
      <c r="K194" s="1630"/>
      <c r="L194" s="1630"/>
      <c r="M194" s="1630"/>
      <c r="N194" s="1630"/>
      <c r="O194" s="1630"/>
      <c r="P194" s="1630"/>
      <c r="Q194" s="1631"/>
      <c r="U194" s="168"/>
      <c r="V194" s="168"/>
      <c r="W194" s="168"/>
      <c r="X194" s="168"/>
      <c r="Y194" s="168"/>
      <c r="Z194" s="168"/>
      <c r="AA194" s="168"/>
      <c r="AB194" s="168"/>
      <c r="AC194" s="168"/>
      <c r="AD194" s="168"/>
      <c r="AE194" s="656"/>
    </row>
    <row r="195" spans="1:32" ht="11.25" customHeight="1">
      <c r="B195" s="169" t="s">
        <v>2570</v>
      </c>
      <c r="C195" s="170"/>
      <c r="D195" s="818"/>
      <c r="E195" s="818"/>
      <c r="F195" s="818"/>
      <c r="G195" s="818"/>
      <c r="H195" s="818"/>
      <c r="I195" s="818"/>
      <c r="J195" s="818"/>
      <c r="K195" s="818"/>
      <c r="L195" s="818"/>
      <c r="M195" s="818"/>
      <c r="N195" s="818"/>
      <c r="O195" s="818"/>
      <c r="P195" s="818"/>
      <c r="Q195" s="818"/>
    </row>
    <row r="196" spans="1:32" ht="11.45" customHeight="1">
      <c r="A196" s="1057"/>
      <c r="B196" s="1058"/>
      <c r="C196" s="1058"/>
      <c r="D196" s="1058"/>
      <c r="E196" s="1058"/>
      <c r="F196" s="1058"/>
      <c r="G196" s="1058"/>
      <c r="H196" s="1058"/>
      <c r="I196" s="1058"/>
      <c r="J196" s="1058"/>
      <c r="K196" s="1058"/>
      <c r="L196" s="1058"/>
      <c r="M196" s="1058"/>
      <c r="N196" s="1058"/>
      <c r="O196" s="1058"/>
      <c r="P196" s="1058"/>
      <c r="Q196" s="1059"/>
    </row>
    <row r="197" spans="1:32" ht="3" customHeight="1">
      <c r="A197" s="811"/>
      <c r="B197" s="162"/>
      <c r="C197" s="818"/>
      <c r="D197" s="818"/>
      <c r="E197" s="818"/>
      <c r="F197" s="818"/>
      <c r="G197" s="818"/>
      <c r="H197" s="818"/>
      <c r="I197" s="818"/>
      <c r="J197" s="818"/>
      <c r="K197" s="818"/>
      <c r="L197" s="818"/>
      <c r="M197" s="818"/>
      <c r="Q197" s="811"/>
    </row>
    <row r="198" spans="1:32" ht="13.9" customHeight="1">
      <c r="A198" s="820">
        <v>13</v>
      </c>
      <c r="B198" s="5" t="s">
        <v>3495</v>
      </c>
      <c r="C198" s="5"/>
      <c r="D198" s="104"/>
      <c r="E198" s="104"/>
      <c r="F198" s="104"/>
      <c r="G198" s="104"/>
      <c r="H198" s="818"/>
      <c r="I198" s="818"/>
      <c r="J198" s="818"/>
      <c r="K198" s="818"/>
      <c r="L198" s="818"/>
      <c r="M198" s="818"/>
      <c r="O198" s="163" t="s">
        <v>2571</v>
      </c>
      <c r="P198" s="1060"/>
      <c r="Q198" s="1063"/>
    </row>
    <row r="199" spans="1:32" ht="10.9" customHeight="1">
      <c r="B199" s="177" t="s">
        <v>155</v>
      </c>
    </row>
    <row r="200" spans="1:32" ht="11.45" customHeight="1">
      <c r="B200" s="54" t="s">
        <v>2693</v>
      </c>
      <c r="C200" s="61" t="s">
        <v>159</v>
      </c>
      <c r="D200" s="49"/>
      <c r="E200" s="61"/>
      <c r="F200" s="61"/>
      <c r="G200" s="61"/>
      <c r="H200" s="61"/>
      <c r="I200" s="49"/>
      <c r="J200" s="49"/>
      <c r="K200" s="49"/>
      <c r="L200" s="179"/>
      <c r="M200" s="179"/>
      <c r="O200" s="199" t="s">
        <v>2693</v>
      </c>
      <c r="P200" s="1625" t="s">
        <v>4068</v>
      </c>
      <c r="Q200" s="210"/>
    </row>
    <row r="201" spans="1:32" ht="11.45" customHeight="1">
      <c r="B201" s="54" t="s">
        <v>2696</v>
      </c>
      <c r="C201" s="61" t="s">
        <v>156</v>
      </c>
      <c r="D201" s="61"/>
      <c r="E201" s="61"/>
      <c r="F201" s="61"/>
      <c r="G201" s="61"/>
      <c r="H201" s="61"/>
      <c r="I201" s="49"/>
      <c r="J201" s="49"/>
      <c r="K201" s="49"/>
      <c r="L201" s="172"/>
      <c r="M201" s="172"/>
      <c r="O201" s="199" t="s">
        <v>2696</v>
      </c>
      <c r="P201" s="1625" t="s">
        <v>4068</v>
      </c>
      <c r="Q201" s="210"/>
    </row>
    <row r="202" spans="1:32" s="181" customFormat="1" ht="11.45" customHeight="1">
      <c r="B202" s="54" t="s">
        <v>1053</v>
      </c>
      <c r="C202" s="61" t="s">
        <v>157</v>
      </c>
      <c r="D202" s="61"/>
      <c r="E202" s="61"/>
      <c r="F202" s="61"/>
      <c r="G202" s="61"/>
      <c r="H202" s="61"/>
      <c r="I202" s="115"/>
      <c r="J202" s="115"/>
      <c r="K202" s="115"/>
      <c r="L202" s="179"/>
      <c r="M202" s="179"/>
      <c r="N202" s="43"/>
      <c r="O202" s="199" t="s">
        <v>1053</v>
      </c>
      <c r="P202" s="1625" t="s">
        <v>4068</v>
      </c>
      <c r="Q202" s="210"/>
      <c r="AE202" s="658"/>
      <c r="AF202" s="658"/>
    </row>
    <row r="203" spans="1:32" s="181" customFormat="1" ht="11.45" customHeight="1">
      <c r="B203" s="54" t="s">
        <v>2829</v>
      </c>
      <c r="C203" s="61" t="s">
        <v>158</v>
      </c>
      <c r="D203" s="61"/>
      <c r="E203" s="61"/>
      <c r="F203" s="61"/>
      <c r="G203" s="61"/>
      <c r="H203" s="61"/>
      <c r="I203" s="115"/>
      <c r="J203" s="115"/>
      <c r="K203" s="115"/>
      <c r="L203" s="115"/>
      <c r="M203" s="115"/>
      <c r="O203" s="654" t="s">
        <v>2829</v>
      </c>
      <c r="P203" s="1625" t="s">
        <v>4068</v>
      </c>
      <c r="Q203" s="210"/>
      <c r="AE203" s="658"/>
      <c r="AF203" s="658"/>
    </row>
    <row r="204" spans="1:32" ht="11.25" customHeight="1">
      <c r="B204" s="173" t="s">
        <v>2569</v>
      </c>
      <c r="D204" s="173"/>
      <c r="E204" s="173"/>
      <c r="F204" s="173"/>
      <c r="G204" s="173"/>
      <c r="H204" s="822"/>
      <c r="I204" s="162"/>
      <c r="J204" s="162"/>
      <c r="K204" s="162"/>
      <c r="L204" s="811"/>
      <c r="M204" s="811"/>
      <c r="N204" s="811"/>
      <c r="O204" s="811"/>
      <c r="P204" s="811"/>
      <c r="Q204" s="59"/>
    </row>
    <row r="205" spans="1:32" ht="40.5" customHeight="1">
      <c r="A205" s="1629" t="s">
        <v>4146</v>
      </c>
      <c r="B205" s="1630"/>
      <c r="C205" s="1630"/>
      <c r="D205" s="1630"/>
      <c r="E205" s="1630"/>
      <c r="F205" s="1630"/>
      <c r="G205" s="1630"/>
      <c r="H205" s="1630"/>
      <c r="I205" s="1630"/>
      <c r="J205" s="1630"/>
      <c r="K205" s="1630"/>
      <c r="L205" s="1630"/>
      <c r="M205" s="1630"/>
      <c r="N205" s="1630"/>
      <c r="O205" s="1630"/>
      <c r="P205" s="1630"/>
      <c r="Q205" s="1631"/>
      <c r="R205" s="615" t="s">
        <v>1676</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2570</v>
      </c>
      <c r="C207" s="170"/>
      <c r="D207" s="818"/>
      <c r="E207" s="818"/>
      <c r="F207" s="818"/>
      <c r="G207" s="818"/>
      <c r="H207" s="818"/>
      <c r="I207" s="818"/>
      <c r="J207" s="818"/>
      <c r="K207" s="818"/>
      <c r="L207" s="818"/>
      <c r="M207" s="818"/>
      <c r="N207" s="818"/>
      <c r="O207" s="818"/>
      <c r="P207" s="818"/>
      <c r="Q207" s="818"/>
    </row>
    <row r="208" spans="1:32" ht="13.15" customHeight="1">
      <c r="A208" s="1057"/>
      <c r="B208" s="1058"/>
      <c r="C208" s="1058"/>
      <c r="D208" s="1058"/>
      <c r="E208" s="1058"/>
      <c r="F208" s="1058"/>
      <c r="G208" s="1058"/>
      <c r="H208" s="1058"/>
      <c r="I208" s="1058"/>
      <c r="J208" s="1058"/>
      <c r="K208" s="1058"/>
      <c r="L208" s="1058"/>
      <c r="M208" s="1058"/>
      <c r="N208" s="1058"/>
      <c r="O208" s="1058"/>
      <c r="P208" s="1058"/>
      <c r="Q208" s="1059"/>
    </row>
    <row r="209" spans="1:32" ht="3" customHeight="1">
      <c r="A209" s="811"/>
      <c r="B209" s="162"/>
      <c r="C209" s="818"/>
      <c r="D209" s="818"/>
      <c r="E209" s="818"/>
      <c r="F209" s="818"/>
      <c r="G209" s="818"/>
      <c r="H209" s="818"/>
      <c r="I209" s="818"/>
      <c r="J209" s="818"/>
      <c r="K209" s="818"/>
      <c r="L209" s="818"/>
      <c r="M209" s="818"/>
      <c r="Q209" s="811"/>
    </row>
    <row r="210" spans="1:32" ht="13.9" customHeight="1">
      <c r="A210" s="820">
        <v>14</v>
      </c>
      <c r="B210" s="820" t="s">
        <v>3496</v>
      </c>
      <c r="C210" s="136"/>
      <c r="D210" s="818"/>
      <c r="E210" s="818"/>
      <c r="F210" s="818"/>
      <c r="G210" s="818"/>
      <c r="H210" s="818"/>
      <c r="I210" s="818"/>
      <c r="J210" s="818"/>
      <c r="K210" s="818"/>
      <c r="L210" s="818"/>
      <c r="M210" s="818"/>
      <c r="O210" s="163" t="s">
        <v>2571</v>
      </c>
      <c r="P210" s="1060"/>
      <c r="Q210" s="1063"/>
    </row>
    <row r="211" spans="1:32" s="31" customFormat="1" ht="11.45" customHeight="1">
      <c r="B211" s="177" t="s">
        <v>1607</v>
      </c>
      <c r="N211" s="148"/>
      <c r="P211" s="1625" t="s">
        <v>4063</v>
      </c>
      <c r="Q211" s="210"/>
      <c r="AE211" s="142"/>
      <c r="AF211" s="142"/>
    </row>
    <row r="212" spans="1:32" ht="12" customHeight="1">
      <c r="B212" s="54" t="s">
        <v>2693</v>
      </c>
      <c r="C212" s="104" t="s">
        <v>1815</v>
      </c>
      <c r="D212" s="49"/>
      <c r="E212" s="49"/>
      <c r="F212" s="49"/>
      <c r="G212" s="49"/>
      <c r="H212" s="49"/>
      <c r="I212" s="49"/>
      <c r="J212" s="49"/>
      <c r="K212" s="49"/>
      <c r="L212" s="49"/>
      <c r="M212" s="49"/>
    </row>
    <row r="213" spans="1:32" ht="11.45" customHeight="1">
      <c r="B213" s="54"/>
      <c r="C213" s="78" t="s">
        <v>2429</v>
      </c>
      <c r="D213" s="61" t="s">
        <v>2640</v>
      </c>
      <c r="E213" s="61"/>
      <c r="F213" s="61"/>
      <c r="G213" s="61"/>
      <c r="H213" s="61"/>
      <c r="I213" s="49"/>
      <c r="K213" s="78" t="s">
        <v>1937</v>
      </c>
      <c r="L213" s="1689" t="s">
        <v>698</v>
      </c>
      <c r="M213" s="1691"/>
      <c r="Q213" s="210"/>
    </row>
    <row r="214" spans="1:32" ht="11.45" customHeight="1">
      <c r="B214" s="54"/>
      <c r="C214" s="78" t="s">
        <v>2430</v>
      </c>
      <c r="D214" s="38" t="s">
        <v>3671</v>
      </c>
      <c r="E214" s="38"/>
      <c r="F214" s="38"/>
      <c r="G214" s="38"/>
      <c r="H214" s="38"/>
      <c r="I214" s="49"/>
      <c r="K214" s="78" t="s">
        <v>1938</v>
      </c>
      <c r="L214" s="1692" t="s">
        <v>4132</v>
      </c>
      <c r="M214" s="1693"/>
      <c r="N214" s="1694" t="s">
        <v>3672</v>
      </c>
      <c r="O214" s="1695"/>
      <c r="P214" s="1696"/>
      <c r="Q214" s="210"/>
    </row>
    <row r="215" spans="1:32" ht="11.45" customHeight="1">
      <c r="B215" s="54"/>
      <c r="C215" s="78" t="s">
        <v>2431</v>
      </c>
      <c r="D215" s="38" t="s">
        <v>725</v>
      </c>
      <c r="E215" s="38"/>
      <c r="F215" s="38"/>
      <c r="G215" s="38"/>
      <c r="H215" s="38"/>
      <c r="I215" s="49"/>
      <c r="K215" s="78" t="s">
        <v>1939</v>
      </c>
      <c r="L215" s="1689" t="s">
        <v>4133</v>
      </c>
      <c r="M215" s="1690"/>
      <c r="N215" s="1697"/>
      <c r="Q215" s="210"/>
      <c r="R215" s="49"/>
    </row>
    <row r="216" spans="1:32" ht="3" customHeight="1">
      <c r="B216" s="54"/>
      <c r="C216" s="78"/>
      <c r="D216" s="61"/>
      <c r="E216" s="61"/>
      <c r="F216" s="61"/>
      <c r="G216" s="61"/>
      <c r="H216" s="61"/>
      <c r="I216" s="49"/>
      <c r="J216" s="40"/>
      <c r="K216" s="49"/>
      <c r="L216" s="40"/>
      <c r="M216" s="40"/>
    </row>
    <row r="217" spans="1:32" ht="12" customHeight="1">
      <c r="B217" s="54" t="s">
        <v>2696</v>
      </c>
      <c r="C217" s="271" t="s">
        <v>3294</v>
      </c>
      <c r="D217" s="61"/>
      <c r="E217" s="61"/>
      <c r="F217" s="61"/>
      <c r="G217" s="61"/>
      <c r="H217" s="61"/>
      <c r="I217" s="61"/>
      <c r="J217" s="61"/>
      <c r="K217" s="49"/>
      <c r="L217" s="49"/>
      <c r="M217" s="49"/>
      <c r="N217" s="49"/>
      <c r="O217" s="654" t="s">
        <v>2696</v>
      </c>
      <c r="P217" s="1625" t="s">
        <v>4109</v>
      </c>
      <c r="Q217" s="210"/>
    </row>
    <row r="218" spans="1:32" ht="10.9" customHeight="1">
      <c r="B218" s="54"/>
      <c r="C218" s="61" t="s">
        <v>3293</v>
      </c>
      <c r="D218" s="61"/>
      <c r="E218" s="61"/>
      <c r="F218" s="61"/>
      <c r="G218" s="61"/>
      <c r="H218" s="61"/>
      <c r="I218" s="61"/>
      <c r="J218" s="61"/>
      <c r="K218" s="49"/>
      <c r="L218" s="49"/>
      <c r="M218" s="49"/>
      <c r="N218" s="49"/>
      <c r="O218" s="49"/>
      <c r="P218" s="1125" t="s">
        <v>3</v>
      </c>
      <c r="Q218" s="1125"/>
    </row>
    <row r="219" spans="1:32" ht="10.9" customHeight="1">
      <c r="B219" s="54"/>
      <c r="D219" s="61" t="s">
        <v>2</v>
      </c>
      <c r="E219" s="61"/>
      <c r="F219" s="61"/>
      <c r="G219" s="61"/>
      <c r="I219" s="381" t="s">
        <v>1161</v>
      </c>
      <c r="J219" s="382" t="s">
        <v>1162</v>
      </c>
      <c r="L219" s="61" t="s">
        <v>3673</v>
      </c>
      <c r="M219" s="49"/>
      <c r="N219" s="49"/>
      <c r="O219" s="381"/>
      <c r="P219" s="383" t="s">
        <v>1161</v>
      </c>
      <c r="Q219" s="382" t="s">
        <v>1162</v>
      </c>
    </row>
    <row r="220" spans="1:32" s="50" customFormat="1" ht="11.45" customHeight="1">
      <c r="A220" s="115"/>
      <c r="B220" s="60"/>
      <c r="C220" s="78" t="s">
        <v>2429</v>
      </c>
      <c r="D220" s="1698" t="s">
        <v>4134</v>
      </c>
      <c r="E220" s="1699"/>
      <c r="F220" s="1699"/>
      <c r="G220" s="1699"/>
      <c r="H220" s="1700"/>
      <c r="I220" s="384"/>
      <c r="J220" s="267"/>
      <c r="K220" s="78" t="s">
        <v>2431</v>
      </c>
      <c r="L220" s="1698" t="s">
        <v>4140</v>
      </c>
      <c r="M220" s="1699"/>
      <c r="N220" s="1699"/>
      <c r="O220" s="1700"/>
      <c r="P220" s="324"/>
      <c r="Q220" s="267"/>
      <c r="AE220" s="63"/>
      <c r="AF220" s="63"/>
    </row>
    <row r="221" spans="1:32" s="50" customFormat="1" ht="11.45" customHeight="1">
      <c r="A221" s="115"/>
      <c r="B221" s="60"/>
      <c r="C221" s="78" t="s">
        <v>2430</v>
      </c>
      <c r="D221" s="1701" t="s">
        <v>4135</v>
      </c>
      <c r="E221" s="1702"/>
      <c r="F221" s="1702"/>
      <c r="G221" s="1702"/>
      <c r="H221" s="1703"/>
      <c r="I221" s="541"/>
      <c r="J221" s="268"/>
      <c r="K221" s="78" t="s">
        <v>3119</v>
      </c>
      <c r="L221" s="1701" t="s">
        <v>4141</v>
      </c>
      <c r="M221" s="1702"/>
      <c r="N221" s="1702"/>
      <c r="O221" s="1703"/>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1053</v>
      </c>
      <c r="C223" s="271" t="s">
        <v>1816</v>
      </c>
      <c r="D223" s="61"/>
      <c r="E223" s="61"/>
      <c r="F223" s="61"/>
      <c r="G223" s="61"/>
      <c r="H223" s="61"/>
      <c r="I223" s="61"/>
      <c r="J223" s="61"/>
      <c r="K223" s="49"/>
      <c r="L223" s="61"/>
      <c r="M223" s="61"/>
      <c r="O223" s="654" t="s">
        <v>1053</v>
      </c>
      <c r="P223" s="1625" t="s">
        <v>4109</v>
      </c>
      <c r="Q223" s="210"/>
    </row>
    <row r="224" spans="1:32" ht="11.45" customHeight="1">
      <c r="B224" s="54"/>
      <c r="C224" s="78" t="s">
        <v>2429</v>
      </c>
      <c r="D224" s="61" t="s">
        <v>167</v>
      </c>
      <c r="E224" s="61"/>
      <c r="F224" s="61"/>
      <c r="G224" s="61"/>
      <c r="H224" s="61"/>
      <c r="I224" s="49"/>
      <c r="J224" s="40"/>
      <c r="K224" s="49"/>
      <c r="L224" s="40"/>
      <c r="M224" s="40"/>
      <c r="O224" s="78" t="s">
        <v>2429</v>
      </c>
      <c r="P224" s="1625" t="s">
        <v>4068</v>
      </c>
      <c r="Q224" s="210"/>
    </row>
    <row r="225" spans="1:31" ht="11.45" customHeight="1">
      <c r="C225" s="78" t="s">
        <v>2430</v>
      </c>
      <c r="D225" s="38" t="s">
        <v>2340</v>
      </c>
      <c r="E225" s="38"/>
      <c r="F225" s="38"/>
      <c r="G225" s="38"/>
      <c r="H225" s="38"/>
      <c r="I225" s="49"/>
      <c r="J225" s="40"/>
      <c r="K225" s="49"/>
      <c r="L225" s="40"/>
      <c r="M225" s="40"/>
      <c r="O225" s="78" t="s">
        <v>2430</v>
      </c>
      <c r="P225" s="1625" t="s">
        <v>4068</v>
      </c>
      <c r="Q225" s="210"/>
    </row>
    <row r="226" spans="1:31" ht="11.45" customHeight="1">
      <c r="C226" s="78" t="s">
        <v>2431</v>
      </c>
      <c r="D226" s="38" t="s">
        <v>1962</v>
      </c>
      <c r="E226" s="38"/>
      <c r="F226" s="38"/>
      <c r="G226" s="38"/>
      <c r="H226" s="38"/>
      <c r="I226" s="49"/>
      <c r="J226" s="40"/>
      <c r="K226" s="49"/>
      <c r="L226" s="40"/>
      <c r="M226" s="40"/>
      <c r="O226" s="78" t="s">
        <v>2431</v>
      </c>
      <c r="P226" s="1625" t="s">
        <v>4068</v>
      </c>
      <c r="Q226" s="210"/>
    </row>
    <row r="227" spans="1:31" ht="11.45" customHeight="1">
      <c r="B227" s="54"/>
      <c r="C227" s="78" t="s">
        <v>3119</v>
      </c>
      <c r="D227" s="38" t="s">
        <v>168</v>
      </c>
      <c r="E227" s="38"/>
      <c r="F227" s="38"/>
      <c r="G227" s="38"/>
      <c r="H227" s="38"/>
      <c r="I227" s="49"/>
      <c r="J227" s="40"/>
      <c r="K227" s="49"/>
      <c r="L227" s="40"/>
      <c r="M227" s="40"/>
      <c r="O227" s="78" t="s">
        <v>3119</v>
      </c>
      <c r="P227" s="1625" t="s">
        <v>4068</v>
      </c>
      <c r="Q227" s="210"/>
    </row>
    <row r="228" spans="1:31" ht="11.45" customHeight="1">
      <c r="B228" s="54"/>
      <c r="C228" s="78" t="s">
        <v>2008</v>
      </c>
      <c r="D228" s="61" t="s">
        <v>1163</v>
      </c>
      <c r="E228" s="61"/>
      <c r="F228" s="61"/>
      <c r="G228" s="61"/>
      <c r="H228" s="61"/>
      <c r="I228" s="49"/>
      <c r="J228" s="40"/>
      <c r="K228" s="49"/>
      <c r="L228" s="40"/>
      <c r="M228" s="40"/>
      <c r="O228" s="78" t="s">
        <v>1164</v>
      </c>
      <c r="P228" s="1625" t="s">
        <v>4068</v>
      </c>
      <c r="Q228" s="210"/>
    </row>
    <row r="229" spans="1:31" ht="11.45" customHeight="1">
      <c r="B229" s="54"/>
      <c r="C229" s="78"/>
      <c r="D229" s="61" t="s">
        <v>1940</v>
      </c>
      <c r="E229" s="61"/>
      <c r="F229" s="61"/>
      <c r="G229" s="61"/>
      <c r="H229" s="61"/>
      <c r="I229" s="49"/>
      <c r="J229" s="40"/>
      <c r="K229" s="49"/>
      <c r="L229" s="40"/>
      <c r="M229" s="40"/>
      <c r="O229" s="78" t="s">
        <v>1165</v>
      </c>
      <c r="P229" s="1625" t="s">
        <v>4063</v>
      </c>
      <c r="Q229" s="210"/>
    </row>
    <row r="230" spans="1:31" ht="3" customHeight="1">
      <c r="B230" s="54"/>
      <c r="C230" s="78"/>
      <c r="D230" s="61"/>
      <c r="E230" s="61"/>
      <c r="F230" s="61"/>
      <c r="G230" s="61"/>
      <c r="H230" s="61"/>
      <c r="I230" s="49"/>
      <c r="J230" s="40"/>
      <c r="K230" s="49"/>
      <c r="L230" s="40"/>
      <c r="M230" s="40"/>
    </row>
    <row r="231" spans="1:31" ht="12" customHeight="1">
      <c r="B231" s="54" t="s">
        <v>2829</v>
      </c>
      <c r="C231" s="271" t="s">
        <v>3549</v>
      </c>
      <c r="D231" s="61"/>
      <c r="E231" s="61"/>
      <c r="F231" s="61"/>
      <c r="G231" s="61"/>
      <c r="H231" s="61"/>
      <c r="I231" s="61"/>
      <c r="J231" s="61"/>
      <c r="K231" s="49"/>
      <c r="L231" s="61"/>
      <c r="M231" s="61"/>
      <c r="O231" s="654" t="s">
        <v>2829</v>
      </c>
      <c r="P231" s="1625"/>
      <c r="Q231" s="210"/>
    </row>
    <row r="232" spans="1:31" ht="11.45" customHeight="1">
      <c r="B232" s="54"/>
      <c r="C232" s="78" t="s">
        <v>2429</v>
      </c>
      <c r="D232" s="47" t="s">
        <v>1677</v>
      </c>
      <c r="E232" s="49"/>
      <c r="F232" s="49"/>
      <c r="G232" s="47"/>
      <c r="H232" s="38"/>
      <c r="I232" s="49"/>
      <c r="J232" s="38"/>
      <c r="K232" s="49"/>
      <c r="L232" s="38"/>
      <c r="M232" s="38"/>
      <c r="O232" s="78" t="s">
        <v>2429</v>
      </c>
      <c r="P232" s="1625"/>
      <c r="Q232" s="210"/>
    </row>
    <row r="233" spans="1:31" ht="11.45" customHeight="1">
      <c r="B233" s="54"/>
      <c r="C233" s="78" t="s">
        <v>2430</v>
      </c>
      <c r="D233" s="47" t="s">
        <v>160</v>
      </c>
      <c r="E233" s="49"/>
      <c r="F233" s="49"/>
      <c r="G233" s="38"/>
      <c r="H233" s="38"/>
      <c r="I233" s="49"/>
      <c r="J233" s="38"/>
      <c r="K233" s="49"/>
      <c r="L233" s="38"/>
      <c r="M233" s="38"/>
      <c r="O233" s="78" t="s">
        <v>2430</v>
      </c>
      <c r="P233" s="1625"/>
      <c r="Q233" s="210"/>
    </row>
    <row r="234" spans="1:31" ht="11.45" customHeight="1">
      <c r="B234" s="54"/>
      <c r="C234" s="78" t="s">
        <v>2431</v>
      </c>
      <c r="D234" s="38" t="s">
        <v>2318</v>
      </c>
      <c r="E234" s="49"/>
      <c r="F234" s="49"/>
      <c r="G234" s="38"/>
      <c r="H234" s="38"/>
      <c r="I234" s="49"/>
      <c r="J234" s="38"/>
      <c r="K234" s="49"/>
      <c r="L234" s="38"/>
      <c r="M234" s="38"/>
      <c r="O234" s="78" t="s">
        <v>3125</v>
      </c>
      <c r="P234" s="1625"/>
      <c r="Q234" s="210"/>
    </row>
    <row r="235" spans="1:31" ht="11.45" customHeight="1">
      <c r="B235" s="44"/>
      <c r="C235" s="49"/>
      <c r="D235" s="38" t="s">
        <v>1718</v>
      </c>
      <c r="E235" s="49"/>
      <c r="F235" s="49"/>
      <c r="G235" s="38"/>
      <c r="H235" s="38"/>
      <c r="I235" s="49"/>
      <c r="J235" s="38"/>
      <c r="K235" s="49"/>
      <c r="L235" s="38"/>
      <c r="M235" s="38"/>
      <c r="O235" s="78" t="s">
        <v>3126</v>
      </c>
      <c r="P235" s="1625"/>
      <c r="Q235" s="210"/>
    </row>
    <row r="236" spans="1:31" ht="11.25" customHeight="1">
      <c r="B236" s="173" t="s">
        <v>2569</v>
      </c>
      <c r="D236" s="173"/>
      <c r="E236" s="173"/>
      <c r="F236" s="173"/>
      <c r="G236" s="173"/>
      <c r="H236" s="822"/>
      <c r="I236" s="162"/>
      <c r="J236" s="162"/>
      <c r="K236" s="162"/>
      <c r="L236" s="811"/>
      <c r="M236" s="811"/>
      <c r="N236" s="811"/>
      <c r="O236" s="811"/>
      <c r="P236" s="811"/>
      <c r="Q236" s="59"/>
    </row>
    <row r="237" spans="1:31" ht="11.45" customHeight="1">
      <c r="A237" s="1629" t="s">
        <v>4136</v>
      </c>
      <c r="B237" s="1630"/>
      <c r="C237" s="1630"/>
      <c r="D237" s="1630"/>
      <c r="E237" s="1630"/>
      <c r="F237" s="1630"/>
      <c r="G237" s="1630"/>
      <c r="H237" s="1630"/>
      <c r="I237" s="1630"/>
      <c r="J237" s="1630"/>
      <c r="K237" s="1630"/>
      <c r="L237" s="1630"/>
      <c r="M237" s="1630"/>
      <c r="N237" s="1630"/>
      <c r="O237" s="1630"/>
      <c r="P237" s="1630"/>
      <c r="Q237" s="1631"/>
      <c r="R237" s="614" t="s">
        <v>1676</v>
      </c>
      <c r="S237" s="615"/>
      <c r="U237" s="168"/>
      <c r="V237" s="168"/>
      <c r="W237" s="168"/>
      <c r="X237" s="168"/>
      <c r="Y237" s="168"/>
      <c r="Z237" s="168"/>
      <c r="AA237" s="168"/>
      <c r="AB237" s="168"/>
      <c r="AC237" s="168"/>
      <c r="AD237" s="168"/>
      <c r="AE237" s="656"/>
    </row>
    <row r="238" spans="1:31" ht="11.25" customHeight="1">
      <c r="B238" s="169" t="s">
        <v>2570</v>
      </c>
      <c r="C238" s="170"/>
      <c r="D238" s="818"/>
      <c r="E238" s="818"/>
      <c r="F238" s="818"/>
      <c r="G238" s="818"/>
      <c r="H238" s="818"/>
      <c r="I238" s="818"/>
      <c r="J238" s="818"/>
      <c r="K238" s="818"/>
      <c r="L238" s="818"/>
      <c r="M238" s="818"/>
      <c r="N238" s="818"/>
      <c r="O238" s="818"/>
      <c r="P238" s="818"/>
      <c r="Q238" s="818"/>
    </row>
    <row r="239" spans="1:31" ht="13.15" customHeight="1">
      <c r="A239" s="1057"/>
      <c r="B239" s="1058"/>
      <c r="C239" s="1058"/>
      <c r="D239" s="1058"/>
      <c r="E239" s="1058"/>
      <c r="F239" s="1058"/>
      <c r="G239" s="1058"/>
      <c r="H239" s="1058"/>
      <c r="I239" s="1058"/>
      <c r="J239" s="1058"/>
      <c r="K239" s="1058"/>
      <c r="L239" s="1058"/>
      <c r="M239" s="1058"/>
      <c r="N239" s="1058"/>
      <c r="O239" s="1058"/>
      <c r="P239" s="1058"/>
      <c r="Q239" s="1059"/>
    </row>
    <row r="240" spans="1:31" ht="3" customHeight="1">
      <c r="A240" s="811"/>
      <c r="B240" s="162"/>
      <c r="C240" s="818"/>
      <c r="D240" s="818"/>
      <c r="E240" s="818"/>
      <c r="F240" s="818"/>
      <c r="G240" s="818"/>
      <c r="H240" s="818"/>
      <c r="I240" s="818"/>
      <c r="J240" s="818"/>
      <c r="K240" s="818"/>
      <c r="L240" s="818"/>
      <c r="M240" s="818"/>
      <c r="Q240" s="811"/>
    </row>
    <row r="241" spans="1:32" ht="13.9" customHeight="1">
      <c r="A241" s="820">
        <v>15</v>
      </c>
      <c r="B241" s="5" t="s">
        <v>3497</v>
      </c>
      <c r="C241" s="5"/>
      <c r="D241" s="104"/>
      <c r="E241" s="104"/>
      <c r="F241" s="104"/>
      <c r="G241" s="104"/>
      <c r="H241" s="818"/>
      <c r="I241" s="818"/>
      <c r="J241" s="818"/>
      <c r="K241" s="818"/>
      <c r="L241" s="818"/>
      <c r="M241" s="818"/>
      <c r="O241" s="163" t="s">
        <v>2571</v>
      </c>
      <c r="P241" s="1060"/>
      <c r="Q241" s="1063"/>
    </row>
    <row r="242" spans="1:32" ht="4.9000000000000004" customHeight="1"/>
    <row r="243" spans="1:32" ht="11.45" customHeight="1">
      <c r="B243" s="54" t="s">
        <v>2693</v>
      </c>
      <c r="C243" s="61" t="s">
        <v>1692</v>
      </c>
      <c r="D243" s="49"/>
      <c r="E243" s="61"/>
      <c r="F243" s="61"/>
      <c r="G243" s="61"/>
      <c r="H243" s="61"/>
      <c r="I243" s="49"/>
      <c r="J243" s="49"/>
      <c r="K243" s="49"/>
      <c r="L243" s="654" t="s">
        <v>2693</v>
      </c>
      <c r="M243" s="1675" t="s">
        <v>4137</v>
      </c>
      <c r="N243" s="1676"/>
      <c r="O243" s="1677"/>
      <c r="P243" s="1086" t="s">
        <v>2465</v>
      </c>
      <c r="Q243" s="1087"/>
    </row>
    <row r="244" spans="1:32" ht="11.45" customHeight="1">
      <c r="B244" s="54" t="s">
        <v>2696</v>
      </c>
      <c r="C244" s="61" t="s">
        <v>1665</v>
      </c>
      <c r="D244" s="61"/>
      <c r="E244" s="61"/>
      <c r="F244" s="61"/>
      <c r="G244" s="61"/>
      <c r="H244" s="61"/>
      <c r="I244" s="49"/>
      <c r="J244" s="49"/>
      <c r="K244" s="49"/>
      <c r="L244" s="654" t="s">
        <v>2696</v>
      </c>
      <c r="M244" s="1704">
        <v>41417</v>
      </c>
      <c r="N244" s="1705"/>
      <c r="O244" s="1706"/>
      <c r="P244" s="1075"/>
      <c r="Q244" s="1076"/>
    </row>
    <row r="245" spans="1:32" s="181" customFormat="1" ht="11.45" customHeight="1">
      <c r="B245" s="54" t="s">
        <v>1053</v>
      </c>
      <c r="C245" s="61" t="s">
        <v>2654</v>
      </c>
      <c r="D245" s="61"/>
      <c r="E245" s="61"/>
      <c r="F245" s="61"/>
      <c r="G245" s="61"/>
      <c r="H245" s="61"/>
      <c r="I245" s="115"/>
      <c r="J245" s="115"/>
      <c r="K245" s="115"/>
      <c r="L245" s="654" t="s">
        <v>1053</v>
      </c>
      <c r="M245" s="1675" t="s">
        <v>4138</v>
      </c>
      <c r="N245" s="1676"/>
      <c r="O245" s="1677"/>
      <c r="P245" s="1086"/>
      <c r="Q245" s="1087"/>
      <c r="AE245" s="658"/>
      <c r="AF245" s="658"/>
    </row>
    <row r="246" spans="1:32" s="181" customFormat="1" ht="11.45" customHeight="1">
      <c r="B246" s="54" t="s">
        <v>2829</v>
      </c>
      <c r="C246" s="61" t="s">
        <v>3340</v>
      </c>
      <c r="D246" s="61"/>
      <c r="E246" s="61"/>
      <c r="F246" s="61"/>
      <c r="G246" s="61"/>
      <c r="H246" s="61"/>
      <c r="I246" s="115"/>
      <c r="J246" s="115"/>
      <c r="K246" s="115"/>
      <c r="L246" s="115"/>
      <c r="M246" s="115"/>
      <c r="O246" s="654" t="s">
        <v>2829</v>
      </c>
      <c r="P246" s="1625" t="s">
        <v>4068</v>
      </c>
      <c r="Q246" s="210"/>
      <c r="AE246" s="658"/>
      <c r="AF246" s="658"/>
    </row>
    <row r="247" spans="1:32" s="181" customFormat="1" ht="22.15" customHeight="1">
      <c r="B247" s="174" t="s">
        <v>2427</v>
      </c>
      <c r="C247" s="1054" t="s">
        <v>3759</v>
      </c>
      <c r="D247" s="1054"/>
      <c r="E247" s="1054"/>
      <c r="F247" s="1054"/>
      <c r="G247" s="1054"/>
      <c r="H247" s="1054"/>
      <c r="I247" s="1054"/>
      <c r="J247" s="1054"/>
      <c r="K247" s="1054"/>
      <c r="L247" s="1054"/>
      <c r="M247" s="1054"/>
      <c r="N247" s="1054"/>
      <c r="O247" s="199" t="s">
        <v>2427</v>
      </c>
      <c r="P247" s="1625" t="s">
        <v>4109</v>
      </c>
      <c r="Q247" s="210"/>
      <c r="AE247" s="658"/>
      <c r="AF247" s="658"/>
    </row>
    <row r="248" spans="1:32" ht="11.25" customHeight="1">
      <c r="B248" s="173" t="s">
        <v>2569</v>
      </c>
      <c r="D248" s="173"/>
      <c r="E248" s="173"/>
      <c r="F248" s="173"/>
      <c r="G248" s="173"/>
      <c r="H248" s="822"/>
      <c r="I248" s="162"/>
      <c r="J248" s="162"/>
      <c r="K248" s="162"/>
      <c r="L248" s="811"/>
      <c r="M248" s="811"/>
      <c r="N248" s="811"/>
      <c r="O248" s="811"/>
      <c r="P248" s="811"/>
      <c r="Q248" s="59"/>
    </row>
    <row r="249" spans="1:32" ht="13.15" customHeight="1">
      <c r="A249" s="1629" t="s">
        <v>4139</v>
      </c>
      <c r="B249" s="1630"/>
      <c r="C249" s="1630"/>
      <c r="D249" s="1630"/>
      <c r="E249" s="1630"/>
      <c r="F249" s="1630"/>
      <c r="G249" s="1630"/>
      <c r="H249" s="1630"/>
      <c r="I249" s="1630"/>
      <c r="J249" s="1630"/>
      <c r="K249" s="1630"/>
      <c r="L249" s="1630"/>
      <c r="M249" s="1630"/>
      <c r="N249" s="1630"/>
      <c r="O249" s="1630"/>
      <c r="P249" s="1630"/>
      <c r="Q249" s="1631"/>
      <c r="R249" s="614" t="s">
        <v>1676</v>
      </c>
      <c r="S249" s="615"/>
      <c r="U249" s="168"/>
      <c r="V249" s="168"/>
      <c r="W249" s="168"/>
      <c r="X249" s="168"/>
      <c r="Y249" s="168"/>
      <c r="Z249" s="168"/>
      <c r="AA249" s="168"/>
      <c r="AB249" s="168"/>
      <c r="AC249" s="168"/>
      <c r="AD249" s="168"/>
      <c r="AE249" s="656"/>
    </row>
    <row r="250" spans="1:32" ht="10.9" customHeight="1">
      <c r="B250" s="169" t="s">
        <v>2570</v>
      </c>
      <c r="C250" s="170"/>
      <c r="D250" s="818"/>
      <c r="E250" s="818"/>
      <c r="F250" s="818"/>
      <c r="G250" s="818"/>
      <c r="H250" s="818"/>
      <c r="I250" s="818"/>
      <c r="J250" s="818"/>
      <c r="K250" s="818"/>
      <c r="L250" s="818"/>
      <c r="M250" s="818"/>
      <c r="N250" s="818"/>
      <c r="O250" s="818"/>
      <c r="P250" s="818"/>
      <c r="Q250" s="818"/>
    </row>
    <row r="251" spans="1:32" ht="13.15" customHeight="1">
      <c r="A251" s="1057"/>
      <c r="B251" s="1058"/>
      <c r="C251" s="1058"/>
      <c r="D251" s="1058"/>
      <c r="E251" s="1058"/>
      <c r="F251" s="1058"/>
      <c r="G251" s="1058"/>
      <c r="H251" s="1058"/>
      <c r="I251" s="1058"/>
      <c r="J251" s="1058"/>
      <c r="K251" s="1058"/>
      <c r="L251" s="1058"/>
      <c r="M251" s="1058"/>
      <c r="N251" s="1058"/>
      <c r="O251" s="1058"/>
      <c r="P251" s="1058"/>
      <c r="Q251" s="1059"/>
    </row>
    <row r="252" spans="1:32" ht="3" customHeight="1">
      <c r="A252" s="811"/>
      <c r="B252" s="162"/>
      <c r="C252" s="818"/>
      <c r="D252" s="818"/>
      <c r="E252" s="818"/>
      <c r="F252" s="818"/>
      <c r="G252" s="818"/>
      <c r="H252" s="818"/>
      <c r="I252" s="818"/>
      <c r="J252" s="818"/>
      <c r="K252" s="818"/>
      <c r="L252" s="818"/>
      <c r="M252" s="818"/>
      <c r="Q252" s="811"/>
    </row>
    <row r="253" spans="1:32" ht="13.9" customHeight="1">
      <c r="A253" s="820">
        <v>16</v>
      </c>
      <c r="B253" s="5" t="s">
        <v>3498</v>
      </c>
      <c r="C253" s="5"/>
      <c r="D253" s="104"/>
      <c r="E253" s="104"/>
      <c r="F253" s="104"/>
      <c r="G253" s="104"/>
      <c r="H253" s="818"/>
      <c r="I253" s="818"/>
      <c r="J253" s="818"/>
      <c r="K253" s="818"/>
      <c r="L253" s="818"/>
      <c r="M253" s="818"/>
      <c r="O253" s="163" t="s">
        <v>2571</v>
      </c>
      <c r="P253" s="1060"/>
      <c r="Q253" s="1063"/>
    </row>
    <row r="254" spans="1:32" ht="3" customHeight="1"/>
    <row r="255" spans="1:32" s="550" customFormat="1" ht="11.25" customHeight="1">
      <c r="B255" s="174" t="s">
        <v>2693</v>
      </c>
      <c r="C255" s="1054" t="s">
        <v>3531</v>
      </c>
      <c r="D255" s="1054"/>
      <c r="E255" s="1054"/>
      <c r="F255" s="1054"/>
      <c r="G255" s="1054"/>
      <c r="H255" s="1054"/>
      <c r="I255" s="1054"/>
      <c r="J255" s="1054"/>
      <c r="K255" s="1054"/>
      <c r="L255" s="1054"/>
      <c r="M255" s="1054"/>
      <c r="N255" s="1054"/>
      <c r="O255" s="199" t="s">
        <v>2693</v>
      </c>
      <c r="P255" s="1674" t="s">
        <v>4068</v>
      </c>
      <c r="Q255" s="323"/>
      <c r="AE255" s="659"/>
      <c r="AF255" s="659"/>
    </row>
    <row r="256" spans="1:32" s="181" customFormat="1" ht="11.45" customHeight="1">
      <c r="B256" s="54" t="s">
        <v>2696</v>
      </c>
      <c r="C256" s="61" t="s">
        <v>1842</v>
      </c>
      <c r="D256" s="61"/>
      <c r="E256" s="61"/>
      <c r="F256" s="61"/>
      <c r="G256" s="61"/>
      <c r="H256" s="61"/>
      <c r="I256" s="61"/>
      <c r="J256" s="61"/>
      <c r="K256" s="61"/>
      <c r="L256" s="61"/>
      <c r="M256" s="61"/>
      <c r="O256" s="654" t="s">
        <v>2696</v>
      </c>
      <c r="P256" s="1625" t="s">
        <v>4068</v>
      </c>
      <c r="Q256" s="210"/>
      <c r="AE256" s="658"/>
      <c r="AF256" s="658"/>
    </row>
    <row r="257" spans="1:32" ht="11.25" customHeight="1">
      <c r="B257" s="173" t="s">
        <v>2569</v>
      </c>
      <c r="D257" s="173"/>
      <c r="E257" s="173"/>
      <c r="F257" s="173"/>
      <c r="G257" s="173"/>
      <c r="H257" s="822"/>
      <c r="I257" s="162"/>
      <c r="J257" s="162"/>
      <c r="K257" s="162"/>
      <c r="L257" s="811"/>
      <c r="M257" s="811"/>
      <c r="N257" s="811"/>
      <c r="O257" s="811"/>
      <c r="P257" s="811"/>
      <c r="Q257" s="59"/>
    </row>
    <row r="258" spans="1:32" ht="13.15" customHeight="1">
      <c r="A258" s="1629" t="s">
        <v>4142</v>
      </c>
      <c r="B258" s="1630"/>
      <c r="C258" s="1630"/>
      <c r="D258" s="1630"/>
      <c r="E258" s="1630"/>
      <c r="F258" s="1630"/>
      <c r="G258" s="1630"/>
      <c r="H258" s="1630"/>
      <c r="I258" s="1630"/>
      <c r="J258" s="1630"/>
      <c r="K258" s="1630"/>
      <c r="L258" s="1630"/>
      <c r="M258" s="1630"/>
      <c r="N258" s="1630"/>
      <c r="O258" s="1630"/>
      <c r="P258" s="1630"/>
      <c r="Q258" s="1631"/>
      <c r="R258" s="614" t="s">
        <v>1676</v>
      </c>
      <c r="S258" s="615"/>
      <c r="U258" s="168"/>
      <c r="V258" s="168"/>
      <c r="W258" s="168"/>
      <c r="X258" s="168"/>
      <c r="Y258" s="168"/>
      <c r="Z258" s="168"/>
      <c r="AA258" s="168"/>
      <c r="AB258" s="168"/>
      <c r="AC258" s="168"/>
      <c r="AD258" s="168"/>
      <c r="AE258" s="656"/>
    </row>
    <row r="259" spans="1:32" ht="11.25" customHeight="1">
      <c r="B259" s="169" t="s">
        <v>2570</v>
      </c>
      <c r="C259" s="170"/>
      <c r="D259" s="818"/>
      <c r="E259" s="818"/>
      <c r="F259" s="818"/>
      <c r="G259" s="818"/>
      <c r="H259" s="818"/>
      <c r="I259" s="818"/>
      <c r="J259" s="818"/>
      <c r="K259" s="818"/>
      <c r="L259" s="818"/>
      <c r="M259" s="818"/>
      <c r="N259" s="818"/>
      <c r="O259" s="818"/>
      <c r="P259" s="818"/>
      <c r="Q259" s="818"/>
    </row>
    <row r="260" spans="1:32" ht="13.15" customHeight="1">
      <c r="A260" s="1057"/>
      <c r="B260" s="1058"/>
      <c r="C260" s="1058"/>
      <c r="D260" s="1058"/>
      <c r="E260" s="1058"/>
      <c r="F260" s="1058"/>
      <c r="G260" s="1058"/>
      <c r="H260" s="1058"/>
      <c r="I260" s="1058"/>
      <c r="J260" s="1058"/>
      <c r="K260" s="1058"/>
      <c r="L260" s="1058"/>
      <c r="M260" s="1058"/>
      <c r="N260" s="1058"/>
      <c r="O260" s="1058"/>
      <c r="P260" s="1058"/>
      <c r="Q260" s="1059"/>
    </row>
    <row r="261" spans="1:32" ht="3" customHeight="1">
      <c r="A261" s="811"/>
      <c r="B261" s="162"/>
      <c r="C261" s="818"/>
      <c r="D261" s="818"/>
      <c r="E261" s="818"/>
      <c r="F261" s="818"/>
      <c r="G261" s="818"/>
      <c r="H261" s="818"/>
      <c r="I261" s="818"/>
      <c r="J261" s="818"/>
      <c r="K261" s="818"/>
      <c r="L261" s="818"/>
      <c r="M261" s="818"/>
      <c r="N261" s="818"/>
      <c r="O261" s="818"/>
      <c r="P261" s="163"/>
      <c r="Q261" s="59"/>
    </row>
    <row r="262" spans="1:32" ht="13.9" customHeight="1">
      <c r="A262" s="820">
        <v>17</v>
      </c>
      <c r="B262" s="820" t="s">
        <v>3499</v>
      </c>
      <c r="C262" s="820"/>
      <c r="D262" s="818"/>
      <c r="E262" s="818"/>
      <c r="F262" s="818"/>
      <c r="G262" s="818"/>
      <c r="H262" s="818"/>
      <c r="I262" s="818"/>
      <c r="J262" s="818"/>
      <c r="K262" s="818"/>
      <c r="L262" s="818"/>
      <c r="M262" s="818"/>
      <c r="O262" s="163" t="s">
        <v>2571</v>
      </c>
      <c r="P262" s="1060"/>
      <c r="Q262" s="1063"/>
    </row>
    <row r="263" spans="1:32" ht="3" customHeight="1"/>
    <row r="264" spans="1:32" s="550" customFormat="1" ht="24" customHeight="1">
      <c r="B264" s="174" t="s">
        <v>2693</v>
      </c>
      <c r="C264" s="1062" t="s">
        <v>3566</v>
      </c>
      <c r="D264" s="941"/>
      <c r="E264" s="941"/>
      <c r="F264" s="941"/>
      <c r="G264" s="941"/>
      <c r="H264" s="941"/>
      <c r="I264" s="941"/>
      <c r="J264" s="941"/>
      <c r="K264" s="941"/>
      <c r="L264" s="941"/>
      <c r="M264" s="941"/>
      <c r="N264" s="941"/>
      <c r="O264" s="199" t="s">
        <v>2693</v>
      </c>
      <c r="P264" s="1625" t="s">
        <v>4109</v>
      </c>
      <c r="Q264" s="210"/>
      <c r="AE264" s="659"/>
      <c r="AF264" s="659"/>
    </row>
    <row r="265" spans="1:32" s="550" customFormat="1" ht="24" customHeight="1">
      <c r="B265" s="174" t="s">
        <v>2696</v>
      </c>
      <c r="C265" s="1062" t="s">
        <v>3567</v>
      </c>
      <c r="D265" s="941"/>
      <c r="E265" s="941"/>
      <c r="F265" s="941"/>
      <c r="G265" s="941"/>
      <c r="H265" s="941"/>
      <c r="I265" s="941"/>
      <c r="J265" s="941"/>
      <c r="K265" s="941"/>
      <c r="L265" s="941"/>
      <c r="M265" s="941"/>
      <c r="N265" s="941"/>
      <c r="O265" s="199" t="s">
        <v>2696</v>
      </c>
      <c r="P265" s="1625" t="s">
        <v>4109</v>
      </c>
      <c r="Q265" s="210"/>
      <c r="AE265" s="659"/>
      <c r="AF265" s="659"/>
    </row>
    <row r="266" spans="1:32" ht="11.25" customHeight="1">
      <c r="B266" s="173" t="s">
        <v>2569</v>
      </c>
      <c r="D266" s="173"/>
      <c r="E266" s="173"/>
      <c r="F266" s="173"/>
      <c r="G266" s="173"/>
      <c r="H266" s="822"/>
      <c r="I266" s="162"/>
      <c r="J266" s="162"/>
      <c r="K266" s="162"/>
      <c r="L266" s="811"/>
      <c r="M266" s="811"/>
      <c r="N266" s="811"/>
      <c r="O266" s="811"/>
      <c r="P266" s="811"/>
      <c r="Q266" s="59"/>
    </row>
    <row r="267" spans="1:32" ht="13.15" customHeight="1">
      <c r="A267" s="1629" t="s">
        <v>4143</v>
      </c>
      <c r="B267" s="1630"/>
      <c r="C267" s="1630"/>
      <c r="D267" s="1630"/>
      <c r="E267" s="1630"/>
      <c r="F267" s="1630"/>
      <c r="G267" s="1630"/>
      <c r="H267" s="1630"/>
      <c r="I267" s="1630"/>
      <c r="J267" s="1630"/>
      <c r="K267" s="1630"/>
      <c r="L267" s="1630"/>
      <c r="M267" s="1630"/>
      <c r="N267" s="1630"/>
      <c r="O267" s="1630"/>
      <c r="P267" s="1630"/>
      <c r="Q267" s="1631"/>
      <c r="R267" s="614" t="s">
        <v>1676</v>
      </c>
      <c r="S267" s="615"/>
      <c r="U267" s="168"/>
      <c r="V267" s="168"/>
      <c r="W267" s="168"/>
      <c r="X267" s="168"/>
      <c r="Y267" s="168"/>
      <c r="Z267" s="168"/>
      <c r="AA267" s="168"/>
      <c r="AB267" s="168"/>
      <c r="AC267" s="168"/>
      <c r="AD267" s="168"/>
      <c r="AE267" s="656"/>
    </row>
    <row r="268" spans="1:32" ht="11.25" customHeight="1">
      <c r="B268" s="169" t="s">
        <v>2570</v>
      </c>
      <c r="C268" s="170"/>
      <c r="D268" s="818"/>
      <c r="E268" s="818"/>
      <c r="F268" s="818"/>
      <c r="G268" s="818"/>
      <c r="H268" s="818"/>
      <c r="I268" s="818"/>
      <c r="J268" s="818"/>
      <c r="K268" s="818"/>
      <c r="L268" s="818"/>
      <c r="M268" s="818"/>
      <c r="N268" s="818"/>
      <c r="O268" s="818"/>
      <c r="P268" s="818"/>
      <c r="Q268" s="818"/>
    </row>
    <row r="269" spans="1:32" ht="13.15" customHeight="1">
      <c r="A269" s="1057"/>
      <c r="B269" s="1058"/>
      <c r="C269" s="1058"/>
      <c r="D269" s="1058"/>
      <c r="E269" s="1058"/>
      <c r="F269" s="1058"/>
      <c r="G269" s="1058"/>
      <c r="H269" s="1058"/>
      <c r="I269" s="1058"/>
      <c r="J269" s="1058"/>
      <c r="K269" s="1058"/>
      <c r="L269" s="1058"/>
      <c r="M269" s="1058"/>
      <c r="N269" s="1058"/>
      <c r="O269" s="1058"/>
      <c r="P269" s="1058"/>
      <c r="Q269" s="1059"/>
    </row>
    <row r="270" spans="1:32" ht="5.45" customHeight="1">
      <c r="A270" s="811"/>
      <c r="B270" s="162"/>
      <c r="C270" s="818"/>
      <c r="D270" s="818"/>
      <c r="E270" s="818"/>
      <c r="F270" s="818"/>
      <c r="G270" s="818"/>
      <c r="H270" s="818"/>
      <c r="I270" s="818"/>
      <c r="J270" s="818"/>
      <c r="K270" s="818"/>
      <c r="L270" s="818"/>
      <c r="M270" s="818"/>
      <c r="Q270" s="811"/>
    </row>
    <row r="271" spans="1:32" ht="13.9" customHeight="1">
      <c r="A271" s="820">
        <v>18</v>
      </c>
      <c r="B271" s="820" t="s">
        <v>3500</v>
      </c>
      <c r="C271" s="182"/>
      <c r="D271" s="821"/>
      <c r="E271" s="818"/>
      <c r="F271" s="818"/>
      <c r="G271" s="818"/>
      <c r="H271" s="818"/>
      <c r="I271" s="818"/>
      <c r="J271" s="818"/>
      <c r="K271" s="818"/>
      <c r="L271" s="818"/>
      <c r="M271" s="818"/>
      <c r="O271" s="163" t="s">
        <v>2571</v>
      </c>
      <c r="P271" s="1060"/>
      <c r="Q271" s="1063"/>
    </row>
    <row r="272" spans="1:32" s="181" customFormat="1" ht="46.5" customHeight="1">
      <c r="B272" s="174" t="s">
        <v>2693</v>
      </c>
      <c r="C272" s="183" t="s">
        <v>2429</v>
      </c>
      <c r="D272" s="1062" t="s">
        <v>3674</v>
      </c>
      <c r="E272" s="1062"/>
      <c r="F272" s="1062"/>
      <c r="G272" s="1062"/>
      <c r="H272" s="1062"/>
      <c r="I272" s="1062"/>
      <c r="J272" s="1062"/>
      <c r="K272" s="1062"/>
      <c r="L272" s="1062"/>
      <c r="M272" s="1062"/>
      <c r="N272" s="1062"/>
      <c r="O272" s="199" t="s">
        <v>3677</v>
      </c>
      <c r="P272" s="1674" t="s">
        <v>4068</v>
      </c>
      <c r="Q272" s="210"/>
      <c r="AE272" s="658"/>
      <c r="AF272" s="658"/>
    </row>
    <row r="273" spans="1:256 1523:1523" s="115" customFormat="1" ht="12.75" customHeight="1">
      <c r="B273" s="54"/>
      <c r="C273" s="78" t="s">
        <v>2430</v>
      </c>
      <c r="D273" s="1124" t="s">
        <v>3632</v>
      </c>
      <c r="E273" s="1124"/>
      <c r="F273" s="1124"/>
      <c r="G273" s="1124"/>
      <c r="H273" s="1124"/>
      <c r="I273" s="1124"/>
      <c r="J273" s="1124"/>
      <c r="K273" s="1124"/>
      <c r="L273" s="1124"/>
      <c r="M273" s="1124"/>
      <c r="N273" s="1124"/>
      <c r="O273" s="78" t="s">
        <v>2430</v>
      </c>
      <c r="P273" s="1625" t="s">
        <v>4068</v>
      </c>
      <c r="Q273" s="210"/>
      <c r="AE273" s="660"/>
      <c r="AF273" s="660"/>
    </row>
    <row r="274" spans="1:256 1523:1523" s="115" customFormat="1" ht="22.5" customHeight="1">
      <c r="B274" s="174" t="s">
        <v>2696</v>
      </c>
      <c r="C274" s="183" t="s">
        <v>2429</v>
      </c>
      <c r="D274" s="1062" t="s">
        <v>3675</v>
      </c>
      <c r="E274" s="1062"/>
      <c r="F274" s="1062"/>
      <c r="G274" s="1062"/>
      <c r="H274" s="1062"/>
      <c r="I274" s="1062"/>
      <c r="J274" s="1062"/>
      <c r="K274" s="1062"/>
      <c r="L274" s="1062"/>
      <c r="M274" s="1062"/>
      <c r="N274" s="1062"/>
      <c r="O274" s="654" t="s">
        <v>3678</v>
      </c>
      <c r="P274" s="1625" t="s">
        <v>4068</v>
      </c>
      <c r="Q274" s="210"/>
      <c r="AE274" s="660"/>
      <c r="AF274" s="660"/>
    </row>
    <row r="275" spans="1:256 1523:1523" s="115" customFormat="1" ht="12" customHeight="1">
      <c r="B275" s="174"/>
      <c r="C275" s="183" t="s">
        <v>2430</v>
      </c>
      <c r="D275" s="1062" t="s">
        <v>3676</v>
      </c>
      <c r="E275" s="1062"/>
      <c r="F275" s="1062"/>
      <c r="G275" s="1062"/>
      <c r="H275" s="1062"/>
      <c r="I275" s="1062"/>
      <c r="J275" s="1062"/>
      <c r="K275" s="1062"/>
      <c r="L275" s="1062"/>
      <c r="M275" s="1062"/>
      <c r="N275" s="1062"/>
      <c r="O275" s="78" t="s">
        <v>2430</v>
      </c>
      <c r="P275" s="1707" t="s">
        <v>4068</v>
      </c>
      <c r="Q275" s="679"/>
      <c r="AE275" s="660"/>
      <c r="AF275" s="660"/>
    </row>
    <row r="276" spans="1:256 1523:1523" s="550" customFormat="1" ht="35.25" customHeight="1">
      <c r="B276" s="174" t="s">
        <v>1053</v>
      </c>
      <c r="C276" s="183"/>
      <c r="D276" s="1062" t="s">
        <v>3679</v>
      </c>
      <c r="E276" s="1062"/>
      <c r="F276" s="1062"/>
      <c r="G276" s="1062"/>
      <c r="H276" s="1062"/>
      <c r="I276" s="1062"/>
      <c r="J276" s="1062"/>
      <c r="K276" s="1062"/>
      <c r="L276" s="1062"/>
      <c r="M276" s="1062"/>
      <c r="N276" s="1062"/>
      <c r="O276" s="199" t="s">
        <v>1053</v>
      </c>
      <c r="P276" s="1674" t="s">
        <v>4068</v>
      </c>
      <c r="Q276" s="323"/>
      <c r="AE276" s="659"/>
      <c r="AF276" s="659"/>
    </row>
    <row r="277" spans="1:256 1523:1523" ht="11.25" customHeight="1">
      <c r="B277" s="173" t="s">
        <v>2569</v>
      </c>
      <c r="D277" s="173"/>
      <c r="E277" s="173"/>
      <c r="F277" s="173"/>
      <c r="G277" s="173"/>
      <c r="H277" s="822"/>
      <c r="I277" s="162"/>
      <c r="J277" s="162"/>
      <c r="K277" s="162"/>
      <c r="L277" s="811"/>
      <c r="M277" s="811"/>
      <c r="N277" s="811"/>
      <c r="O277" s="811"/>
      <c r="P277" s="811"/>
      <c r="Q277" s="59"/>
    </row>
    <row r="278" spans="1:256 1523:1523" ht="22.5" customHeight="1">
      <c r="A278" s="1629" t="s">
        <v>4194</v>
      </c>
      <c r="B278" s="1630"/>
      <c r="C278" s="1630"/>
      <c r="D278" s="1630"/>
      <c r="E278" s="1630"/>
      <c r="F278" s="1630"/>
      <c r="G278" s="1630"/>
      <c r="H278" s="1630"/>
      <c r="I278" s="1630"/>
      <c r="J278" s="1630"/>
      <c r="K278" s="1630"/>
      <c r="L278" s="1630"/>
      <c r="M278" s="1630"/>
      <c r="N278" s="1630"/>
      <c r="O278" s="1630"/>
      <c r="P278" s="1630"/>
      <c r="Q278" s="1631"/>
      <c r="R278" s="614" t="s">
        <v>1676</v>
      </c>
      <c r="S278" s="615"/>
      <c r="U278" s="168"/>
      <c r="V278" s="168"/>
      <c r="W278" s="168"/>
      <c r="X278" s="168"/>
      <c r="Y278" s="168"/>
      <c r="Z278" s="168"/>
      <c r="AA278" s="168"/>
      <c r="AB278" s="168"/>
      <c r="AC278" s="168"/>
      <c r="AD278" s="168"/>
      <c r="AE278" s="656"/>
    </row>
    <row r="279" spans="1:256 1523:1523" ht="11.25" customHeight="1">
      <c r="B279" s="169" t="s">
        <v>2570</v>
      </c>
      <c r="C279" s="170"/>
      <c r="D279" s="818"/>
      <c r="E279" s="818"/>
      <c r="F279" s="818"/>
      <c r="G279" s="818"/>
      <c r="H279" s="818"/>
      <c r="I279" s="818"/>
      <c r="J279" s="818"/>
      <c r="K279" s="818"/>
      <c r="L279" s="818"/>
      <c r="M279" s="818"/>
      <c r="N279" s="818"/>
      <c r="O279" s="818"/>
      <c r="P279" s="818"/>
      <c r="Q279" s="818"/>
    </row>
    <row r="280" spans="1:256 1523:1523" ht="11.45" customHeight="1">
      <c r="A280" s="1079"/>
      <c r="B280" s="1080"/>
      <c r="C280" s="1080"/>
      <c r="D280" s="1080"/>
      <c r="E280" s="1080"/>
      <c r="F280" s="1080"/>
      <c r="G280" s="1080"/>
      <c r="H280" s="1080"/>
      <c r="I280" s="1080"/>
      <c r="J280" s="1080"/>
      <c r="K280" s="1080"/>
      <c r="L280" s="1080"/>
      <c r="M280" s="1080"/>
      <c r="N280" s="1080"/>
      <c r="O280" s="1080"/>
      <c r="P280" s="1080"/>
      <c r="Q280" s="1081"/>
    </row>
    <row r="281" spans="1:256 1523:1523" ht="13.9" customHeight="1">
      <c r="A281" s="820">
        <v>19</v>
      </c>
      <c r="B281" s="11" t="s">
        <v>3501</v>
      </c>
      <c r="C281" s="11"/>
      <c r="D281" s="11"/>
      <c r="E281" s="11"/>
      <c r="F281" s="11"/>
      <c r="G281" s="11"/>
      <c r="H281" s="818"/>
      <c r="I281" s="818"/>
      <c r="J281" s="818"/>
      <c r="K281" s="818"/>
      <c r="L281" s="818"/>
      <c r="M281" s="818"/>
      <c r="O281" s="163" t="s">
        <v>2571</v>
      </c>
      <c r="P281" s="1077"/>
      <c r="Q281" s="1078"/>
    </row>
    <row r="282" spans="1:256 1523:1523" ht="11.45" customHeight="1">
      <c r="B282" s="177" t="s">
        <v>2979</v>
      </c>
      <c r="P282" s="1625" t="s">
        <v>4068</v>
      </c>
      <c r="Q282" s="210"/>
    </row>
    <row r="283" spans="1:256 1523:1523" ht="12" customHeight="1">
      <c r="B283" s="179" t="s">
        <v>2932</v>
      </c>
      <c r="C283" s="179"/>
      <c r="D283" s="179"/>
      <c r="E283" s="179"/>
      <c r="F283" s="179"/>
      <c r="G283" s="179"/>
      <c r="H283" s="179"/>
      <c r="I283" s="179"/>
      <c r="J283" s="179"/>
      <c r="K283" s="179"/>
      <c r="L283" s="179"/>
      <c r="P283" s="1625" t="s">
        <v>4068</v>
      </c>
      <c r="Q283" s="210"/>
    </row>
    <row r="284" spans="1:256 1523:1523" ht="11.45" customHeight="1">
      <c r="B284" s="174" t="s">
        <v>2693</v>
      </c>
      <c r="C284" s="234" t="s">
        <v>586</v>
      </c>
      <c r="D284" s="38"/>
      <c r="E284" s="38"/>
      <c r="F284" s="38"/>
      <c r="G284" s="38"/>
      <c r="H284" s="38"/>
      <c r="I284" s="38"/>
      <c r="J284" s="38"/>
      <c r="K284" s="38"/>
      <c r="L284" s="38"/>
      <c r="M284" s="38"/>
      <c r="N284" s="199"/>
    </row>
    <row r="285" spans="1:256 1523:1523" ht="22.5" customHeight="1">
      <c r="A285" s="176"/>
      <c r="C285" s="1062" t="s">
        <v>3582</v>
      </c>
      <c r="D285" s="1062"/>
      <c r="E285" s="1062"/>
      <c r="F285" s="1062"/>
      <c r="G285" s="1062"/>
      <c r="H285" s="1062"/>
      <c r="I285" s="1062"/>
      <c r="J285" s="1062"/>
      <c r="K285" s="1062"/>
      <c r="L285" s="1062"/>
      <c r="M285" s="1062"/>
      <c r="N285" s="1062"/>
      <c r="O285" s="199" t="s">
        <v>2693</v>
      </c>
      <c r="P285" s="1674" t="s">
        <v>4068</v>
      </c>
      <c r="Q285" s="323"/>
    </row>
    <row r="286" spans="1:256 1523:1523" ht="3" customHeight="1">
      <c r="A286" s="811"/>
      <c r="B286" s="811"/>
      <c r="C286" s="811"/>
      <c r="D286" s="811"/>
      <c r="E286" s="811"/>
      <c r="F286" s="811"/>
      <c r="G286" s="811"/>
      <c r="H286" s="811"/>
      <c r="I286" s="811"/>
      <c r="J286" s="811"/>
      <c r="K286" s="811"/>
      <c r="L286" s="811"/>
      <c r="M286" s="811"/>
      <c r="N286" s="811"/>
      <c r="O286" s="811"/>
      <c r="P286" s="811"/>
      <c r="Q286" s="811"/>
      <c r="R286" s="811"/>
      <c r="S286" s="811"/>
      <c r="T286" s="811"/>
      <c r="U286" s="811"/>
      <c r="V286" s="811"/>
      <c r="W286" s="811"/>
      <c r="X286" s="811"/>
      <c r="Y286" s="811"/>
      <c r="Z286" s="811"/>
      <c r="AA286" s="811"/>
      <c r="AB286" s="811"/>
      <c r="AC286" s="811"/>
      <c r="AD286" s="811"/>
      <c r="AE286" s="59"/>
      <c r="AF286" s="59"/>
      <c r="AG286" s="811"/>
      <c r="AH286" s="811"/>
      <c r="AI286" s="811"/>
      <c r="AJ286" s="811"/>
      <c r="AK286" s="811"/>
      <c r="AL286" s="811"/>
      <c r="AM286" s="811"/>
      <c r="AN286" s="811"/>
      <c r="AO286" s="811"/>
      <c r="AP286" s="811"/>
      <c r="AQ286" s="811"/>
      <c r="AR286" s="811"/>
      <c r="AS286" s="811"/>
      <c r="AT286" s="811"/>
      <c r="AU286" s="811"/>
      <c r="AV286" s="811"/>
      <c r="AW286" s="811"/>
      <c r="AX286" s="811"/>
      <c r="AY286" s="811"/>
      <c r="AZ286" s="811"/>
      <c r="BA286" s="811"/>
      <c r="BB286" s="811"/>
      <c r="BC286" s="811"/>
      <c r="BD286" s="811"/>
      <c r="BE286" s="811"/>
      <c r="BF286" s="811"/>
      <c r="BG286" s="811"/>
      <c r="BH286" s="811"/>
      <c r="BI286" s="811"/>
      <c r="BJ286" s="811"/>
      <c r="BK286" s="811"/>
      <c r="BL286" s="811"/>
      <c r="BM286" s="811"/>
      <c r="BN286" s="811"/>
      <c r="BO286" s="811"/>
      <c r="BP286" s="811"/>
      <c r="BQ286" s="811"/>
      <c r="BR286" s="811"/>
      <c r="BS286" s="811"/>
      <c r="BT286" s="811"/>
      <c r="BU286" s="811"/>
      <c r="BV286" s="811"/>
      <c r="BW286" s="811"/>
      <c r="BX286" s="811"/>
      <c r="BY286" s="811"/>
      <c r="BZ286" s="811"/>
      <c r="CA286" s="811"/>
      <c r="CB286" s="811"/>
      <c r="CC286" s="811"/>
      <c r="CD286" s="811"/>
      <c r="CE286" s="811"/>
      <c r="CF286" s="811"/>
      <c r="CG286" s="811"/>
      <c r="CH286" s="811"/>
      <c r="CI286" s="811"/>
      <c r="CJ286" s="811"/>
      <c r="CK286" s="811"/>
      <c r="CL286" s="811"/>
      <c r="CM286" s="811"/>
      <c r="CN286" s="811"/>
      <c r="CO286" s="811"/>
      <c r="CP286" s="811"/>
      <c r="CQ286" s="811"/>
      <c r="CR286" s="811"/>
      <c r="CS286" s="811"/>
      <c r="CT286" s="811"/>
      <c r="CU286" s="811"/>
      <c r="CV286" s="811"/>
      <c r="CW286" s="811"/>
      <c r="CX286" s="811"/>
      <c r="CY286" s="811"/>
      <c r="CZ286" s="811"/>
      <c r="DA286" s="811"/>
      <c r="DB286" s="811"/>
      <c r="DC286" s="811"/>
      <c r="DD286" s="811"/>
      <c r="DE286" s="811"/>
      <c r="DF286" s="811"/>
      <c r="DG286" s="811"/>
      <c r="DH286" s="811"/>
      <c r="DI286" s="811"/>
      <c r="DJ286" s="811"/>
      <c r="DK286" s="811"/>
      <c r="DL286" s="811"/>
      <c r="DM286" s="811"/>
      <c r="DN286" s="811"/>
      <c r="DO286" s="811"/>
      <c r="DP286" s="811"/>
      <c r="DQ286" s="811"/>
      <c r="DR286" s="811"/>
      <c r="DS286" s="811"/>
      <c r="DT286" s="811"/>
      <c r="DU286" s="811"/>
      <c r="DV286" s="811"/>
      <c r="DW286" s="811"/>
      <c r="DX286" s="811"/>
      <c r="DY286" s="811"/>
      <c r="DZ286" s="811"/>
      <c r="EA286" s="811"/>
      <c r="EB286" s="811"/>
      <c r="EC286" s="811"/>
      <c r="ED286" s="811"/>
      <c r="EE286" s="811"/>
      <c r="EF286" s="811"/>
      <c r="EG286" s="811"/>
      <c r="EH286" s="811"/>
      <c r="EI286" s="811"/>
      <c r="EJ286" s="811"/>
      <c r="EK286" s="811"/>
      <c r="EL286" s="811"/>
      <c r="EM286" s="811"/>
      <c r="EN286" s="811"/>
      <c r="EO286" s="811"/>
      <c r="EP286" s="811"/>
      <c r="EQ286" s="811"/>
      <c r="ER286" s="811"/>
      <c r="ES286" s="811"/>
      <c r="ET286" s="811"/>
      <c r="EU286" s="811"/>
      <c r="EV286" s="811"/>
      <c r="EW286" s="811"/>
      <c r="EX286" s="811"/>
      <c r="EY286" s="811"/>
      <c r="EZ286" s="811"/>
      <c r="FA286" s="811"/>
      <c r="FB286" s="811"/>
      <c r="FC286" s="811"/>
      <c r="FD286" s="811"/>
      <c r="FE286" s="811"/>
      <c r="FF286" s="811"/>
      <c r="FG286" s="811"/>
      <c r="FH286" s="811"/>
      <c r="FI286" s="811"/>
      <c r="FJ286" s="811"/>
      <c r="FK286" s="811"/>
      <c r="FL286" s="811"/>
      <c r="FM286" s="811"/>
      <c r="FN286" s="811"/>
      <c r="FO286" s="811"/>
      <c r="FP286" s="811"/>
      <c r="FQ286" s="811"/>
      <c r="FR286" s="811"/>
      <c r="FS286" s="811"/>
      <c r="FT286" s="811"/>
      <c r="FU286" s="811"/>
      <c r="FV286" s="811"/>
      <c r="FW286" s="811"/>
      <c r="FX286" s="811"/>
      <c r="FY286" s="811"/>
      <c r="FZ286" s="811"/>
      <c r="GA286" s="811"/>
      <c r="GB286" s="811"/>
      <c r="GC286" s="811"/>
      <c r="GD286" s="811"/>
      <c r="GE286" s="811"/>
      <c r="GF286" s="811"/>
      <c r="GG286" s="811"/>
      <c r="GH286" s="811"/>
      <c r="GI286" s="811"/>
      <c r="GJ286" s="811"/>
      <c r="GK286" s="811"/>
      <c r="GL286" s="811"/>
      <c r="GM286" s="811"/>
      <c r="GN286" s="811"/>
      <c r="GO286" s="811"/>
      <c r="GP286" s="811"/>
      <c r="GQ286" s="811"/>
      <c r="GR286" s="811"/>
      <c r="GS286" s="811"/>
      <c r="GT286" s="811"/>
      <c r="GU286" s="811"/>
      <c r="GV286" s="811"/>
      <c r="GW286" s="811"/>
      <c r="GX286" s="811"/>
      <c r="GY286" s="811"/>
      <c r="GZ286" s="811"/>
      <c r="HA286" s="811"/>
      <c r="HB286" s="811"/>
      <c r="HC286" s="811"/>
      <c r="HD286" s="811"/>
      <c r="HE286" s="811"/>
      <c r="HF286" s="811"/>
      <c r="HG286" s="811"/>
      <c r="HH286" s="811"/>
      <c r="HI286" s="811"/>
      <c r="HJ286" s="811"/>
      <c r="HK286" s="811"/>
      <c r="HL286" s="811"/>
      <c r="HM286" s="811"/>
      <c r="HN286" s="811"/>
      <c r="HO286" s="811"/>
      <c r="HP286" s="811"/>
      <c r="HQ286" s="811"/>
      <c r="HR286" s="811"/>
      <c r="HS286" s="811"/>
      <c r="HT286" s="811"/>
      <c r="HU286" s="811"/>
      <c r="HV286" s="811"/>
      <c r="HW286" s="811"/>
      <c r="HX286" s="811"/>
      <c r="HY286" s="811"/>
      <c r="HZ286" s="811"/>
      <c r="IA286" s="811"/>
      <c r="IB286" s="811"/>
      <c r="IC286" s="811"/>
      <c r="ID286" s="811"/>
      <c r="IE286" s="811"/>
      <c r="IF286" s="811"/>
      <c r="IG286" s="811"/>
      <c r="IH286" s="811"/>
      <c r="II286" s="811"/>
      <c r="IJ286" s="811"/>
      <c r="IK286" s="811"/>
      <c r="IL286" s="811"/>
      <c r="IM286" s="811"/>
      <c r="IN286" s="811"/>
      <c r="IO286" s="811"/>
      <c r="IP286" s="811"/>
      <c r="IQ286" s="811"/>
      <c r="IR286" s="811"/>
      <c r="IS286" s="811"/>
      <c r="IT286" s="811"/>
      <c r="IU286" s="811"/>
      <c r="IV286" s="811"/>
    </row>
    <row r="287" spans="1:256 1523:1523" ht="12.6" customHeight="1">
      <c r="B287" s="174" t="s">
        <v>2696</v>
      </c>
      <c r="C287" s="1069" t="s">
        <v>587</v>
      </c>
      <c r="D287" s="1069"/>
      <c r="E287" s="1069"/>
      <c r="F287" s="1069"/>
      <c r="G287" s="1069"/>
      <c r="H287" s="1069"/>
      <c r="I287" s="1069"/>
      <c r="J287" s="1069"/>
      <c r="K287" s="1069"/>
      <c r="L287" s="1069"/>
      <c r="M287" s="1069"/>
      <c r="O287" s="199" t="s">
        <v>2696</v>
      </c>
      <c r="P287" s="811"/>
      <c r="Q287" s="59"/>
    </row>
    <row r="288" spans="1:256 1523:1523" ht="23.25" customHeight="1">
      <c r="A288" s="176"/>
      <c r="C288" s="269" t="s">
        <v>2429</v>
      </c>
      <c r="D288" s="270" t="s">
        <v>1540</v>
      </c>
      <c r="E288" s="164"/>
      <c r="F288" s="164"/>
      <c r="G288" s="1708" t="s">
        <v>1887</v>
      </c>
      <c r="H288" s="1709"/>
      <c r="I288" s="1709"/>
      <c r="J288" s="1709"/>
      <c r="K288" s="1709"/>
      <c r="L288" s="1709"/>
      <c r="M288" s="1709"/>
      <c r="N288" s="1710"/>
      <c r="O288" s="273" t="s">
        <v>2429</v>
      </c>
      <c r="P288" s="1674" t="s">
        <v>4068</v>
      </c>
      <c r="Q288" s="323"/>
      <c r="BFO288" s="181" t="s">
        <v>3680</v>
      </c>
    </row>
    <row r="289" spans="1:256" ht="23.25" customHeight="1">
      <c r="A289" s="176"/>
      <c r="C289" s="269" t="s">
        <v>2430</v>
      </c>
      <c r="D289" s="1054" t="s">
        <v>1541</v>
      </c>
      <c r="E289" s="1070"/>
      <c r="F289" s="1071"/>
      <c r="G289" s="1701" t="s">
        <v>3484</v>
      </c>
      <c r="H289" s="1711"/>
      <c r="I289" s="1711"/>
      <c r="J289" s="1711"/>
      <c r="K289" s="1711"/>
      <c r="L289" s="1711"/>
      <c r="M289" s="1711"/>
      <c r="N289" s="1712"/>
      <c r="O289" s="273" t="s">
        <v>2430</v>
      </c>
      <c r="P289" s="1674" t="s">
        <v>4068</v>
      </c>
      <c r="Q289" s="323"/>
    </row>
    <row r="290" spans="1:256" ht="3" customHeight="1">
      <c r="A290" s="811"/>
      <c r="B290" s="811"/>
      <c r="C290" s="811"/>
      <c r="D290" s="811"/>
      <c r="E290" s="811"/>
      <c r="F290" s="811"/>
      <c r="G290" s="811"/>
      <c r="H290" s="811"/>
      <c r="I290" s="811"/>
      <c r="J290" s="811"/>
      <c r="K290" s="811"/>
      <c r="L290" s="811"/>
      <c r="M290" s="811"/>
      <c r="N290" s="811"/>
      <c r="O290" s="811"/>
      <c r="P290" s="811"/>
      <c r="Q290" s="811"/>
      <c r="R290" s="811"/>
      <c r="S290" s="811"/>
      <c r="T290" s="811"/>
      <c r="U290" s="811"/>
      <c r="V290" s="811"/>
      <c r="W290" s="811"/>
      <c r="X290" s="811"/>
      <c r="Y290" s="811"/>
      <c r="Z290" s="811"/>
      <c r="AA290" s="811"/>
      <c r="AB290" s="811"/>
      <c r="AC290" s="811"/>
      <c r="AD290" s="811"/>
      <c r="AE290" s="59"/>
      <c r="AF290" s="59"/>
      <c r="AG290" s="811"/>
      <c r="AH290" s="811"/>
      <c r="AI290" s="811"/>
      <c r="AJ290" s="811"/>
      <c r="AK290" s="811"/>
      <c r="AL290" s="811"/>
      <c r="AM290" s="811"/>
      <c r="AN290" s="811"/>
      <c r="AO290" s="811"/>
      <c r="AP290" s="811"/>
      <c r="AQ290" s="811"/>
      <c r="AR290" s="811"/>
      <c r="AS290" s="811"/>
      <c r="AT290" s="811"/>
      <c r="AU290" s="811"/>
      <c r="AV290" s="811"/>
      <c r="AW290" s="811"/>
      <c r="AX290" s="811"/>
      <c r="AY290" s="811"/>
      <c r="AZ290" s="811"/>
      <c r="BA290" s="811"/>
      <c r="BB290" s="811"/>
      <c r="BC290" s="811"/>
      <c r="BD290" s="811"/>
      <c r="BE290" s="811"/>
      <c r="BF290" s="811"/>
      <c r="BG290" s="811"/>
      <c r="BH290" s="811"/>
      <c r="BI290" s="811"/>
      <c r="BJ290" s="811"/>
      <c r="BK290" s="811"/>
      <c r="BL290" s="811"/>
      <c r="BM290" s="811"/>
      <c r="BN290" s="811"/>
      <c r="BO290" s="811"/>
      <c r="BP290" s="811"/>
      <c r="BQ290" s="811"/>
      <c r="BR290" s="811"/>
      <c r="BS290" s="811"/>
      <c r="BT290" s="811"/>
      <c r="BU290" s="811"/>
      <c r="BV290" s="811"/>
      <c r="BW290" s="811"/>
      <c r="BX290" s="811"/>
      <c r="BY290" s="811"/>
      <c r="BZ290" s="811"/>
      <c r="CA290" s="811"/>
      <c r="CB290" s="811"/>
      <c r="CC290" s="811"/>
      <c r="CD290" s="811"/>
      <c r="CE290" s="811"/>
      <c r="CF290" s="811"/>
      <c r="CG290" s="811"/>
      <c r="CH290" s="811"/>
      <c r="CI290" s="811"/>
      <c r="CJ290" s="811"/>
      <c r="CK290" s="811"/>
      <c r="CL290" s="811"/>
      <c r="CM290" s="811"/>
      <c r="CN290" s="811"/>
      <c r="CO290" s="811"/>
      <c r="CP290" s="811"/>
      <c r="CQ290" s="811"/>
      <c r="CR290" s="811"/>
      <c r="CS290" s="811"/>
      <c r="CT290" s="811"/>
      <c r="CU290" s="811"/>
      <c r="CV290" s="811"/>
      <c r="CW290" s="811"/>
      <c r="CX290" s="811"/>
      <c r="CY290" s="811"/>
      <c r="CZ290" s="811"/>
      <c r="DA290" s="811"/>
      <c r="DB290" s="811"/>
      <c r="DC290" s="811"/>
      <c r="DD290" s="811"/>
      <c r="DE290" s="811"/>
      <c r="DF290" s="811"/>
      <c r="DG290" s="811"/>
      <c r="DH290" s="811"/>
      <c r="DI290" s="811"/>
      <c r="DJ290" s="811"/>
      <c r="DK290" s="811"/>
      <c r="DL290" s="811"/>
      <c r="DM290" s="811"/>
      <c r="DN290" s="811"/>
      <c r="DO290" s="811"/>
      <c r="DP290" s="811"/>
      <c r="DQ290" s="811"/>
      <c r="DR290" s="811"/>
      <c r="DS290" s="811"/>
      <c r="DT290" s="811"/>
      <c r="DU290" s="811"/>
      <c r="DV290" s="811"/>
      <c r="DW290" s="811"/>
      <c r="DX290" s="811"/>
      <c r="DY290" s="811"/>
      <c r="DZ290" s="811"/>
      <c r="EA290" s="811"/>
      <c r="EB290" s="811"/>
      <c r="EC290" s="811"/>
      <c r="ED290" s="811"/>
      <c r="EE290" s="811"/>
      <c r="EF290" s="811"/>
      <c r="EG290" s="811"/>
      <c r="EH290" s="811"/>
      <c r="EI290" s="811"/>
      <c r="EJ290" s="811"/>
      <c r="EK290" s="811"/>
      <c r="EL290" s="811"/>
      <c r="EM290" s="811"/>
      <c r="EN290" s="811"/>
      <c r="EO290" s="811"/>
      <c r="EP290" s="811"/>
      <c r="EQ290" s="811"/>
      <c r="ER290" s="811"/>
      <c r="ES290" s="811"/>
      <c r="ET290" s="811"/>
      <c r="EU290" s="811"/>
      <c r="EV290" s="811"/>
      <c r="EW290" s="811"/>
      <c r="EX290" s="811"/>
      <c r="EY290" s="811"/>
      <c r="EZ290" s="811"/>
      <c r="FA290" s="811"/>
      <c r="FB290" s="811"/>
      <c r="FC290" s="811"/>
      <c r="FD290" s="811"/>
      <c r="FE290" s="811"/>
      <c r="FF290" s="811"/>
      <c r="FG290" s="811"/>
      <c r="FH290" s="811"/>
      <c r="FI290" s="811"/>
      <c r="FJ290" s="811"/>
      <c r="FK290" s="811"/>
      <c r="FL290" s="811"/>
      <c r="FM290" s="811"/>
      <c r="FN290" s="811"/>
      <c r="FO290" s="811"/>
      <c r="FP290" s="811"/>
      <c r="FQ290" s="811"/>
      <c r="FR290" s="811"/>
      <c r="FS290" s="811"/>
      <c r="FT290" s="811"/>
      <c r="FU290" s="811"/>
      <c r="FV290" s="811"/>
      <c r="FW290" s="811"/>
      <c r="FX290" s="811"/>
      <c r="FY290" s="811"/>
      <c r="FZ290" s="811"/>
      <c r="GA290" s="811"/>
      <c r="GB290" s="811"/>
      <c r="GC290" s="811"/>
      <c r="GD290" s="811"/>
      <c r="GE290" s="811"/>
      <c r="GF290" s="811"/>
      <c r="GG290" s="811"/>
      <c r="GH290" s="811"/>
      <c r="GI290" s="811"/>
      <c r="GJ290" s="811"/>
      <c r="GK290" s="811"/>
      <c r="GL290" s="811"/>
      <c r="GM290" s="811"/>
      <c r="GN290" s="811"/>
      <c r="GO290" s="811"/>
      <c r="GP290" s="811"/>
      <c r="GQ290" s="811"/>
      <c r="GR290" s="811"/>
      <c r="GS290" s="811"/>
      <c r="GT290" s="811"/>
      <c r="GU290" s="811"/>
      <c r="GV290" s="811"/>
      <c r="GW290" s="811"/>
      <c r="GX290" s="811"/>
      <c r="GY290" s="811"/>
      <c r="GZ290" s="811"/>
      <c r="HA290" s="811"/>
      <c r="HB290" s="811"/>
      <c r="HC290" s="811"/>
      <c r="HD290" s="811"/>
      <c r="HE290" s="811"/>
      <c r="HF290" s="811"/>
      <c r="HG290" s="811"/>
      <c r="HH290" s="811"/>
      <c r="HI290" s="811"/>
      <c r="HJ290" s="811"/>
      <c r="HK290" s="811"/>
      <c r="HL290" s="811"/>
      <c r="HM290" s="811"/>
      <c r="HN290" s="811"/>
      <c r="HO290" s="811"/>
      <c r="HP290" s="811"/>
      <c r="HQ290" s="811"/>
      <c r="HR290" s="811"/>
      <c r="HS290" s="811"/>
      <c r="HT290" s="811"/>
      <c r="HU290" s="811"/>
      <c r="HV290" s="811"/>
      <c r="HW290" s="811"/>
      <c r="HX290" s="811"/>
      <c r="HY290" s="811"/>
      <c r="HZ290" s="811"/>
      <c r="IA290" s="811"/>
      <c r="IB290" s="811"/>
      <c r="IC290" s="811"/>
      <c r="ID290" s="811"/>
      <c r="IE290" s="811"/>
      <c r="IF290" s="811"/>
      <c r="IG290" s="811"/>
      <c r="IH290" s="811"/>
      <c r="II290" s="811"/>
      <c r="IJ290" s="811"/>
      <c r="IK290" s="811"/>
      <c r="IL290" s="811"/>
      <c r="IM290" s="811"/>
      <c r="IN290" s="811"/>
      <c r="IO290" s="811"/>
      <c r="IP290" s="811"/>
      <c r="IQ290" s="811"/>
      <c r="IR290" s="811"/>
      <c r="IS290" s="811"/>
      <c r="IT290" s="811"/>
      <c r="IU290" s="811"/>
      <c r="IV290" s="811"/>
    </row>
    <row r="291" spans="1:256" s="164" customFormat="1" ht="23.25" customHeight="1">
      <c r="B291" s="174" t="s">
        <v>1053</v>
      </c>
      <c r="C291" s="1064" t="s">
        <v>3521</v>
      </c>
      <c r="D291" s="1064"/>
      <c r="E291" s="1064"/>
      <c r="F291" s="1064"/>
      <c r="G291" s="1064"/>
      <c r="H291" s="1064"/>
      <c r="I291" s="1064"/>
      <c r="J291" s="1064"/>
      <c r="K291" s="1064"/>
      <c r="L291" s="1064"/>
      <c r="M291" s="1064"/>
      <c r="N291" s="1064"/>
      <c r="O291" s="608" t="s">
        <v>1053</v>
      </c>
      <c r="P291" s="811"/>
      <c r="Q291" s="59"/>
      <c r="AE291" s="657"/>
      <c r="AF291" s="657"/>
    </row>
    <row r="292" spans="1:256" s="164" customFormat="1" ht="11.25" customHeight="1">
      <c r="A292" s="176"/>
      <c r="C292" s="269" t="s">
        <v>2429</v>
      </c>
      <c r="D292" s="1698" t="s">
        <v>1368</v>
      </c>
      <c r="E292" s="1699"/>
      <c r="F292" s="1699"/>
      <c r="G292" s="1699"/>
      <c r="H292" s="1699"/>
      <c r="I292" s="1699"/>
      <c r="J292" s="1699"/>
      <c r="K292" s="1699"/>
      <c r="L292" s="1699"/>
      <c r="M292" s="1699"/>
      <c r="N292" s="1700"/>
      <c r="O292" s="273" t="s">
        <v>2429</v>
      </c>
      <c r="P292" s="1674"/>
      <c r="Q292" s="323"/>
      <c r="AE292" s="657"/>
      <c r="AF292" s="657"/>
    </row>
    <row r="293" spans="1:256" s="164" customFormat="1" ht="11.25" customHeight="1">
      <c r="A293" s="176"/>
      <c r="C293" s="269" t="s">
        <v>2430</v>
      </c>
      <c r="D293" s="1701" t="s">
        <v>1368</v>
      </c>
      <c r="E293" s="1702"/>
      <c r="F293" s="1702"/>
      <c r="G293" s="1702"/>
      <c r="H293" s="1702"/>
      <c r="I293" s="1702"/>
      <c r="J293" s="1702"/>
      <c r="K293" s="1702"/>
      <c r="L293" s="1702"/>
      <c r="M293" s="1702"/>
      <c r="N293" s="1703"/>
      <c r="O293" s="273" t="s">
        <v>2430</v>
      </c>
      <c r="P293" s="1674"/>
      <c r="Q293" s="323"/>
      <c r="AE293" s="657"/>
      <c r="AF293" s="657"/>
    </row>
    <row r="294" spans="1:256" ht="3" customHeight="1">
      <c r="A294" s="811"/>
      <c r="B294" s="811"/>
      <c r="C294" s="811"/>
      <c r="D294" s="811"/>
      <c r="E294" s="811"/>
      <c r="F294" s="811"/>
      <c r="G294" s="811"/>
      <c r="H294" s="811"/>
      <c r="I294" s="811"/>
      <c r="J294" s="811"/>
      <c r="K294" s="811"/>
      <c r="L294" s="811"/>
      <c r="M294" s="811"/>
      <c r="N294" s="811"/>
      <c r="O294" s="811"/>
      <c r="P294" s="811"/>
      <c r="Q294" s="811"/>
      <c r="R294" s="811"/>
      <c r="S294" s="811"/>
      <c r="T294" s="811"/>
      <c r="U294" s="811"/>
      <c r="V294" s="811"/>
      <c r="W294" s="811"/>
      <c r="X294" s="811"/>
      <c r="Y294" s="811"/>
      <c r="Z294" s="811"/>
      <c r="AA294" s="811"/>
      <c r="AB294" s="811"/>
      <c r="AC294" s="811"/>
      <c r="AD294" s="811"/>
      <c r="AE294" s="59"/>
      <c r="AF294" s="59"/>
      <c r="AG294" s="811"/>
      <c r="AH294" s="811"/>
      <c r="AI294" s="811"/>
      <c r="AJ294" s="811"/>
      <c r="AK294" s="811"/>
      <c r="AL294" s="811"/>
      <c r="AM294" s="811"/>
      <c r="AN294" s="811"/>
      <c r="AO294" s="811"/>
      <c r="AP294" s="811"/>
      <c r="AQ294" s="811"/>
      <c r="AR294" s="811"/>
      <c r="AS294" s="811"/>
      <c r="AT294" s="811"/>
      <c r="AU294" s="811"/>
      <c r="AV294" s="811"/>
      <c r="AW294" s="811"/>
      <c r="AX294" s="811"/>
      <c r="AY294" s="811"/>
      <c r="AZ294" s="811"/>
      <c r="BA294" s="811"/>
      <c r="BB294" s="811"/>
      <c r="BC294" s="811"/>
      <c r="BD294" s="811"/>
      <c r="BE294" s="811"/>
      <c r="BF294" s="811"/>
      <c r="BG294" s="811"/>
      <c r="BH294" s="811"/>
      <c r="BI294" s="811"/>
      <c r="BJ294" s="811"/>
      <c r="BK294" s="811"/>
      <c r="BL294" s="811"/>
      <c r="BM294" s="811"/>
      <c r="BN294" s="811"/>
      <c r="BO294" s="811"/>
      <c r="BP294" s="811"/>
      <c r="BQ294" s="811"/>
      <c r="BR294" s="811"/>
      <c r="BS294" s="811"/>
      <c r="BT294" s="811"/>
      <c r="BU294" s="811"/>
      <c r="BV294" s="811"/>
      <c r="BW294" s="811"/>
      <c r="BX294" s="811"/>
      <c r="BY294" s="811"/>
      <c r="BZ294" s="811"/>
      <c r="CA294" s="811"/>
      <c r="CB294" s="811"/>
      <c r="CC294" s="811"/>
      <c r="CD294" s="811"/>
      <c r="CE294" s="811"/>
      <c r="CF294" s="811"/>
      <c r="CG294" s="811"/>
      <c r="CH294" s="811"/>
      <c r="CI294" s="811"/>
      <c r="CJ294" s="811"/>
      <c r="CK294" s="811"/>
      <c r="CL294" s="811"/>
      <c r="CM294" s="811"/>
      <c r="CN294" s="811"/>
      <c r="CO294" s="811"/>
      <c r="CP294" s="811"/>
      <c r="CQ294" s="811"/>
      <c r="CR294" s="811"/>
      <c r="CS294" s="811"/>
      <c r="CT294" s="811"/>
      <c r="CU294" s="811"/>
      <c r="CV294" s="811"/>
      <c r="CW294" s="811"/>
      <c r="CX294" s="811"/>
      <c r="CY294" s="811"/>
      <c r="CZ294" s="811"/>
      <c r="DA294" s="811"/>
      <c r="DB294" s="811"/>
      <c r="DC294" s="811"/>
      <c r="DD294" s="811"/>
      <c r="DE294" s="811"/>
      <c r="DF294" s="811"/>
      <c r="DG294" s="811"/>
      <c r="DH294" s="811"/>
      <c r="DI294" s="811"/>
      <c r="DJ294" s="811"/>
      <c r="DK294" s="811"/>
      <c r="DL294" s="811"/>
      <c r="DM294" s="811"/>
      <c r="DN294" s="811"/>
      <c r="DO294" s="811"/>
      <c r="DP294" s="811"/>
      <c r="DQ294" s="811"/>
      <c r="DR294" s="811"/>
      <c r="DS294" s="811"/>
      <c r="DT294" s="811"/>
      <c r="DU294" s="811"/>
      <c r="DV294" s="811"/>
      <c r="DW294" s="811"/>
      <c r="DX294" s="811"/>
      <c r="DY294" s="811"/>
      <c r="DZ294" s="811"/>
      <c r="EA294" s="811"/>
      <c r="EB294" s="811"/>
      <c r="EC294" s="811"/>
      <c r="ED294" s="811"/>
      <c r="EE294" s="811"/>
      <c r="EF294" s="811"/>
      <c r="EG294" s="811"/>
      <c r="EH294" s="811"/>
      <c r="EI294" s="811"/>
      <c r="EJ294" s="811"/>
      <c r="EK294" s="811"/>
      <c r="EL294" s="811"/>
      <c r="EM294" s="811"/>
      <c r="EN294" s="811"/>
      <c r="EO294" s="811"/>
      <c r="EP294" s="811"/>
      <c r="EQ294" s="811"/>
      <c r="ER294" s="811"/>
      <c r="ES294" s="811"/>
      <c r="ET294" s="811"/>
      <c r="EU294" s="811"/>
      <c r="EV294" s="811"/>
      <c r="EW294" s="811"/>
      <c r="EX294" s="811"/>
      <c r="EY294" s="811"/>
      <c r="EZ294" s="811"/>
      <c r="FA294" s="811"/>
      <c r="FB294" s="811"/>
      <c r="FC294" s="811"/>
      <c r="FD294" s="811"/>
      <c r="FE294" s="811"/>
      <c r="FF294" s="811"/>
      <c r="FG294" s="811"/>
      <c r="FH294" s="811"/>
      <c r="FI294" s="811"/>
      <c r="FJ294" s="811"/>
      <c r="FK294" s="811"/>
      <c r="FL294" s="811"/>
      <c r="FM294" s="811"/>
      <c r="FN294" s="811"/>
      <c r="FO294" s="811"/>
      <c r="FP294" s="811"/>
      <c r="FQ294" s="811"/>
      <c r="FR294" s="811"/>
      <c r="FS294" s="811"/>
      <c r="FT294" s="811"/>
      <c r="FU294" s="811"/>
      <c r="FV294" s="811"/>
      <c r="FW294" s="811"/>
      <c r="FX294" s="811"/>
      <c r="FY294" s="811"/>
      <c r="FZ294" s="811"/>
      <c r="GA294" s="811"/>
      <c r="GB294" s="811"/>
      <c r="GC294" s="811"/>
      <c r="GD294" s="811"/>
      <c r="GE294" s="811"/>
      <c r="GF294" s="811"/>
      <c r="GG294" s="811"/>
      <c r="GH294" s="811"/>
      <c r="GI294" s="811"/>
      <c r="GJ294" s="811"/>
      <c r="GK294" s="811"/>
      <c r="GL294" s="811"/>
      <c r="GM294" s="811"/>
      <c r="GN294" s="811"/>
      <c r="GO294" s="811"/>
      <c r="GP294" s="811"/>
      <c r="GQ294" s="811"/>
      <c r="GR294" s="811"/>
      <c r="GS294" s="811"/>
      <c r="GT294" s="811"/>
      <c r="GU294" s="811"/>
      <c r="GV294" s="811"/>
      <c r="GW294" s="811"/>
      <c r="GX294" s="811"/>
      <c r="GY294" s="811"/>
      <c r="GZ294" s="811"/>
      <c r="HA294" s="811"/>
      <c r="HB294" s="811"/>
      <c r="HC294" s="811"/>
      <c r="HD294" s="811"/>
      <c r="HE294" s="811"/>
      <c r="HF294" s="811"/>
      <c r="HG294" s="811"/>
      <c r="HH294" s="811"/>
      <c r="HI294" s="811"/>
      <c r="HJ294" s="811"/>
      <c r="HK294" s="811"/>
      <c r="HL294" s="811"/>
      <c r="HM294" s="811"/>
      <c r="HN294" s="811"/>
      <c r="HO294" s="811"/>
      <c r="HP294" s="811"/>
      <c r="HQ294" s="811"/>
      <c r="HR294" s="811"/>
      <c r="HS294" s="811"/>
      <c r="HT294" s="811"/>
      <c r="HU294" s="811"/>
      <c r="HV294" s="811"/>
      <c r="HW294" s="811"/>
      <c r="HX294" s="811"/>
      <c r="HY294" s="811"/>
      <c r="HZ294" s="811"/>
      <c r="IA294" s="811"/>
      <c r="IB294" s="811"/>
      <c r="IC294" s="811"/>
      <c r="ID294" s="811"/>
      <c r="IE294" s="811"/>
      <c r="IF294" s="811"/>
      <c r="IG294" s="811"/>
      <c r="IH294" s="811"/>
      <c r="II294" s="811"/>
      <c r="IJ294" s="811"/>
      <c r="IK294" s="811"/>
      <c r="IL294" s="811"/>
      <c r="IM294" s="811"/>
      <c r="IN294" s="811"/>
      <c r="IO294" s="811"/>
      <c r="IP294" s="811"/>
      <c r="IQ294" s="811"/>
      <c r="IR294" s="811"/>
      <c r="IS294" s="811"/>
      <c r="IT294" s="811"/>
      <c r="IU294" s="811"/>
      <c r="IV294" s="811"/>
    </row>
    <row r="295" spans="1:256" ht="11.25" customHeight="1">
      <c r="B295" s="173" t="s">
        <v>2569</v>
      </c>
      <c r="D295" s="173"/>
      <c r="E295" s="173"/>
      <c r="F295" s="173"/>
      <c r="G295" s="173"/>
      <c r="H295" s="822"/>
      <c r="I295" s="162"/>
      <c r="J295" s="162"/>
      <c r="K295" s="162"/>
      <c r="L295" s="811"/>
      <c r="M295" s="811"/>
      <c r="N295" s="811"/>
      <c r="O295" s="811"/>
      <c r="P295" s="811"/>
      <c r="Q295" s="59"/>
    </row>
    <row r="296" spans="1:256" ht="11.45" customHeight="1">
      <c r="A296" s="1629" t="s">
        <v>4168</v>
      </c>
      <c r="B296" s="1630"/>
      <c r="C296" s="1630"/>
      <c r="D296" s="1630"/>
      <c r="E296" s="1630"/>
      <c r="F296" s="1630"/>
      <c r="G296" s="1630"/>
      <c r="H296" s="1630"/>
      <c r="I296" s="1630"/>
      <c r="J296" s="1630"/>
      <c r="K296" s="1630"/>
      <c r="L296" s="1630"/>
      <c r="M296" s="1630"/>
      <c r="N296" s="1630"/>
      <c r="O296" s="1630"/>
      <c r="P296" s="1630"/>
      <c r="Q296" s="1631"/>
      <c r="R296" s="655" t="s">
        <v>1676</v>
      </c>
      <c r="S296" s="150"/>
      <c r="U296" s="168"/>
      <c r="V296" s="168"/>
      <c r="W296" s="168"/>
      <c r="X296" s="168"/>
      <c r="Y296" s="168"/>
      <c r="Z296" s="168"/>
      <c r="AA296" s="168"/>
      <c r="AB296" s="168"/>
      <c r="AC296" s="168"/>
      <c r="AD296" s="168"/>
      <c r="AE296" s="656"/>
    </row>
    <row r="297" spans="1:256" ht="11.25" customHeight="1">
      <c r="B297" s="169" t="s">
        <v>2570</v>
      </c>
      <c r="C297" s="170"/>
      <c r="D297" s="818"/>
      <c r="E297" s="818"/>
      <c r="F297" s="818"/>
      <c r="G297" s="818"/>
      <c r="H297" s="818"/>
      <c r="I297" s="818"/>
      <c r="J297" s="818"/>
      <c r="K297" s="818"/>
      <c r="L297" s="818"/>
      <c r="M297" s="818"/>
      <c r="N297" s="818"/>
      <c r="O297" s="818"/>
      <c r="P297" s="818"/>
      <c r="Q297" s="818"/>
    </row>
    <row r="298" spans="1:256" ht="11.45" customHeight="1">
      <c r="A298" s="1057"/>
      <c r="B298" s="1058"/>
      <c r="C298" s="1058"/>
      <c r="D298" s="1058"/>
      <c r="E298" s="1058"/>
      <c r="F298" s="1058"/>
      <c r="G298" s="1058"/>
      <c r="H298" s="1058"/>
      <c r="I298" s="1058"/>
      <c r="J298" s="1058"/>
      <c r="K298" s="1058"/>
      <c r="L298" s="1058"/>
      <c r="M298" s="1058"/>
      <c r="N298" s="1058"/>
      <c r="O298" s="1058"/>
      <c r="P298" s="1058"/>
      <c r="Q298" s="1059"/>
    </row>
    <row r="299" spans="1:256" ht="3" customHeight="1">
      <c r="A299" s="811"/>
      <c r="B299" s="162"/>
      <c r="C299" s="818"/>
      <c r="D299" s="818"/>
      <c r="E299" s="818"/>
      <c r="F299" s="818"/>
      <c r="G299" s="818"/>
      <c r="H299" s="818"/>
      <c r="I299" s="818"/>
      <c r="J299" s="818"/>
      <c r="K299" s="818"/>
      <c r="L299" s="818"/>
      <c r="M299" s="818"/>
      <c r="N299" s="818"/>
      <c r="O299" s="818"/>
      <c r="P299" s="818"/>
      <c r="Q299" s="811"/>
    </row>
    <row r="300" spans="1:256" ht="13.9" customHeight="1">
      <c r="A300" s="820">
        <v>20</v>
      </c>
      <c r="B300" s="820" t="s">
        <v>3502</v>
      </c>
      <c r="C300" s="820"/>
      <c r="D300" s="818"/>
      <c r="E300" s="818"/>
      <c r="F300" s="818"/>
      <c r="G300" s="818"/>
      <c r="H300" s="818"/>
      <c r="O300" s="163" t="s">
        <v>2571</v>
      </c>
      <c r="P300" s="1060"/>
      <c r="Q300" s="1063"/>
    </row>
    <row r="301" spans="1:256" ht="3" customHeight="1"/>
    <row r="302" spans="1:256" ht="11.45" customHeight="1">
      <c r="B302" s="177" t="s">
        <v>3082</v>
      </c>
      <c r="P302" s="1625" t="s">
        <v>4068</v>
      </c>
      <c r="Q302" s="210"/>
    </row>
    <row r="303" spans="1:256" ht="11.45" customHeight="1">
      <c r="B303" s="177" t="s">
        <v>3083</v>
      </c>
      <c r="P303" s="1625" t="s">
        <v>4063</v>
      </c>
      <c r="Q303" s="210"/>
    </row>
    <row r="304" spans="1:256" ht="11.45" customHeight="1">
      <c r="B304" s="177" t="s">
        <v>773</v>
      </c>
      <c r="L304" s="1713" t="s">
        <v>4144</v>
      </c>
      <c r="M304" s="1714"/>
      <c r="N304" s="1714"/>
      <c r="O304" s="1715"/>
    </row>
    <row r="305" spans="1:31" ht="11.45" customHeight="1">
      <c r="B305" s="542" t="s">
        <v>3084</v>
      </c>
      <c r="L305" s="1072"/>
      <c r="M305" s="1073"/>
      <c r="N305" s="1073"/>
      <c r="O305" s="1074"/>
    </row>
    <row r="306" spans="1:31" ht="11.25" customHeight="1">
      <c r="B306" s="173" t="s">
        <v>2569</v>
      </c>
      <c r="D306" s="173"/>
      <c r="E306" s="173"/>
      <c r="F306" s="173"/>
      <c r="G306" s="173"/>
      <c r="H306" s="822"/>
      <c r="I306" s="162"/>
      <c r="J306" s="162"/>
      <c r="K306" s="162"/>
      <c r="L306" s="811"/>
      <c r="M306" s="811"/>
      <c r="N306" s="811"/>
      <c r="O306" s="811"/>
      <c r="P306" s="811"/>
      <c r="Q306" s="59"/>
    </row>
    <row r="307" spans="1:31" ht="24.75" customHeight="1">
      <c r="A307" s="1629" t="s">
        <v>4203</v>
      </c>
      <c r="B307" s="1630"/>
      <c r="C307" s="1630"/>
      <c r="D307" s="1630"/>
      <c r="E307" s="1630"/>
      <c r="F307" s="1630"/>
      <c r="G307" s="1630"/>
      <c r="H307" s="1630"/>
      <c r="I307" s="1630"/>
      <c r="J307" s="1630"/>
      <c r="K307" s="1630"/>
      <c r="L307" s="1630"/>
      <c r="M307" s="1630"/>
      <c r="N307" s="1630"/>
      <c r="O307" s="1630"/>
      <c r="P307" s="1630"/>
      <c r="Q307" s="1631"/>
      <c r="R307" s="614" t="s">
        <v>1676</v>
      </c>
      <c r="S307" s="615"/>
      <c r="U307" s="168"/>
      <c r="V307" s="168"/>
      <c r="W307" s="168"/>
      <c r="X307" s="168"/>
      <c r="Y307" s="168"/>
      <c r="Z307" s="168"/>
      <c r="AA307" s="168"/>
      <c r="AB307" s="168"/>
      <c r="AC307" s="168"/>
      <c r="AD307" s="168"/>
      <c r="AE307" s="656"/>
    </row>
    <row r="308" spans="1:31" ht="11.25" customHeight="1">
      <c r="B308" s="169" t="s">
        <v>2570</v>
      </c>
      <c r="C308" s="170"/>
      <c r="D308" s="818"/>
      <c r="E308" s="818"/>
      <c r="F308" s="818"/>
      <c r="G308" s="818"/>
      <c r="H308" s="818"/>
      <c r="I308" s="818"/>
      <c r="J308" s="818"/>
      <c r="K308" s="818"/>
      <c r="L308" s="818"/>
      <c r="M308" s="818"/>
      <c r="N308" s="818"/>
      <c r="O308" s="818"/>
      <c r="P308" s="818"/>
      <c r="Q308" s="818"/>
    </row>
    <row r="309" spans="1:31" ht="13.15" customHeight="1">
      <c r="A309" s="1057"/>
      <c r="B309" s="1058"/>
      <c r="C309" s="1058"/>
      <c r="D309" s="1058"/>
      <c r="E309" s="1058"/>
      <c r="F309" s="1058"/>
      <c r="G309" s="1058"/>
      <c r="H309" s="1058"/>
      <c r="I309" s="1058"/>
      <c r="J309" s="1058"/>
      <c r="K309" s="1058"/>
      <c r="L309" s="1058"/>
      <c r="M309" s="1058"/>
      <c r="N309" s="1058"/>
      <c r="O309" s="1058"/>
      <c r="P309" s="1058"/>
      <c r="Q309" s="1059"/>
    </row>
    <row r="310" spans="1:31" ht="4.1500000000000004" customHeight="1">
      <c r="B310" s="162"/>
      <c r="C310" s="818"/>
      <c r="D310" s="818"/>
      <c r="E310" s="818"/>
      <c r="F310" s="818"/>
      <c r="G310" s="818"/>
      <c r="H310" s="818"/>
      <c r="I310" s="818"/>
      <c r="J310" s="818"/>
      <c r="K310" s="818"/>
      <c r="L310" s="818"/>
      <c r="M310" s="818"/>
      <c r="Q310" s="59"/>
    </row>
    <row r="311" spans="1:31" ht="13.9" customHeight="1">
      <c r="A311" s="820">
        <v>21</v>
      </c>
      <c r="B311" s="5" t="s">
        <v>3503</v>
      </c>
      <c r="C311" s="5"/>
      <c r="D311" s="104"/>
      <c r="E311" s="818"/>
      <c r="F311" s="818"/>
      <c r="G311" s="818"/>
      <c r="H311" s="818"/>
      <c r="I311" s="818"/>
      <c r="J311" s="818"/>
      <c r="K311" s="818"/>
      <c r="L311" s="818"/>
      <c r="M311" s="818"/>
      <c r="O311" s="163" t="s">
        <v>2571</v>
      </c>
      <c r="P311" s="1060"/>
      <c r="Q311" s="1063"/>
    </row>
    <row r="312" spans="1:31" ht="3" customHeight="1"/>
    <row r="313" spans="1:31" ht="22.15" customHeight="1">
      <c r="B313" s="174" t="s">
        <v>2693</v>
      </c>
      <c r="C313" s="1054" t="s">
        <v>3760</v>
      </c>
      <c r="D313" s="1054"/>
      <c r="E313" s="1054"/>
      <c r="F313" s="1054"/>
      <c r="G313" s="1054"/>
      <c r="H313" s="1054"/>
      <c r="I313" s="1054"/>
      <c r="J313" s="1054"/>
      <c r="K313" s="1054"/>
      <c r="L313" s="1054"/>
      <c r="M313" s="1054"/>
      <c r="N313" s="1054"/>
      <c r="O313" s="199" t="s">
        <v>2693</v>
      </c>
      <c r="P313" s="1625" t="s">
        <v>4068</v>
      </c>
      <c r="Q313" s="210"/>
    </row>
    <row r="314" spans="1:31" ht="11.45" customHeight="1">
      <c r="B314" s="174" t="s">
        <v>2696</v>
      </c>
      <c r="C314" s="1054" t="s">
        <v>3761</v>
      </c>
      <c r="D314" s="1054"/>
      <c r="E314" s="1054"/>
      <c r="F314" s="1054"/>
      <c r="G314" s="1054"/>
      <c r="H314" s="1054"/>
      <c r="I314" s="1054"/>
      <c r="J314" s="1054"/>
      <c r="K314" s="1054"/>
      <c r="L314" s="1054"/>
      <c r="M314" s="1054"/>
      <c r="N314" s="1054"/>
      <c r="O314" s="199" t="s">
        <v>2696</v>
      </c>
      <c r="P314" s="1625" t="s">
        <v>4068</v>
      </c>
      <c r="Q314" s="210"/>
    </row>
    <row r="315" spans="1:31" ht="11.45" customHeight="1">
      <c r="B315" s="174" t="s">
        <v>1053</v>
      </c>
      <c r="C315" s="179" t="s">
        <v>3522</v>
      </c>
      <c r="D315" s="179"/>
      <c r="E315" s="179"/>
      <c r="F315" s="179"/>
      <c r="G315" s="179"/>
      <c r="H315" s="179"/>
      <c r="I315" s="179"/>
      <c r="J315" s="179"/>
      <c r="K315" s="179"/>
      <c r="L315" s="179"/>
      <c r="M315" s="179"/>
      <c r="O315" s="199" t="s">
        <v>1053</v>
      </c>
      <c r="P315" s="1625" t="s">
        <v>4068</v>
      </c>
      <c r="Q315" s="210"/>
    </row>
    <row r="316" spans="1:31">
      <c r="B316" s="174" t="s">
        <v>2829</v>
      </c>
      <c r="C316" s="1054" t="s">
        <v>3956</v>
      </c>
      <c r="D316" s="1054"/>
      <c r="E316" s="1054"/>
      <c r="F316" s="1054"/>
      <c r="G316" s="1054"/>
      <c r="H316" s="1054"/>
      <c r="I316" s="1054"/>
      <c r="J316" s="1054"/>
      <c r="K316" s="1054"/>
      <c r="L316" s="1054"/>
      <c r="M316" s="1054"/>
      <c r="N316" s="1054"/>
      <c r="O316" s="199" t="s">
        <v>2829</v>
      </c>
      <c r="P316" s="1625" t="s">
        <v>4068</v>
      </c>
      <c r="Q316" s="210"/>
    </row>
    <row r="317" spans="1:31" ht="11.25" customHeight="1">
      <c r="B317" s="173" t="s">
        <v>2569</v>
      </c>
      <c r="D317" s="173"/>
      <c r="E317" s="173"/>
      <c r="F317" s="173"/>
      <c r="G317" s="173"/>
      <c r="H317" s="822"/>
      <c r="I317" s="162"/>
      <c r="J317" s="162"/>
      <c r="K317" s="162"/>
      <c r="L317" s="811"/>
      <c r="M317" s="811"/>
      <c r="N317" s="811"/>
      <c r="O317" s="811"/>
      <c r="P317" s="811"/>
      <c r="Q317" s="59"/>
    </row>
    <row r="318" spans="1:31" ht="33.75" customHeight="1">
      <c r="A318" s="1629" t="s">
        <v>4145</v>
      </c>
      <c r="B318" s="1630"/>
      <c r="C318" s="1630"/>
      <c r="D318" s="1630"/>
      <c r="E318" s="1630"/>
      <c r="F318" s="1630"/>
      <c r="G318" s="1630"/>
      <c r="H318" s="1630"/>
      <c r="I318" s="1630"/>
      <c r="J318" s="1630"/>
      <c r="K318" s="1630"/>
      <c r="L318" s="1630"/>
      <c r="M318" s="1630"/>
      <c r="N318" s="1630"/>
      <c r="O318" s="1630"/>
      <c r="P318" s="1630"/>
      <c r="Q318" s="1631"/>
      <c r="U318" s="168"/>
      <c r="V318" s="168"/>
      <c r="W318" s="168"/>
      <c r="X318" s="168"/>
      <c r="Y318" s="168"/>
      <c r="Z318" s="168"/>
      <c r="AA318" s="168"/>
      <c r="AB318" s="168"/>
      <c r="AC318" s="168"/>
      <c r="AD318" s="168"/>
      <c r="AE318" s="656"/>
    </row>
    <row r="319" spans="1:31" ht="11.25" customHeight="1">
      <c r="B319" s="169" t="s">
        <v>2570</v>
      </c>
      <c r="C319" s="170"/>
      <c r="D319" s="818"/>
      <c r="E319" s="818"/>
      <c r="F319" s="818"/>
      <c r="G319" s="818"/>
      <c r="H319" s="818"/>
      <c r="I319" s="818"/>
      <c r="J319" s="818"/>
      <c r="K319" s="818"/>
      <c r="L319" s="818"/>
      <c r="M319" s="818"/>
      <c r="N319" s="818"/>
      <c r="O319" s="818"/>
      <c r="P319" s="818"/>
      <c r="Q319" s="818"/>
    </row>
    <row r="320" spans="1:31" ht="11.45" customHeight="1">
      <c r="A320" s="1057"/>
      <c r="B320" s="1058"/>
      <c r="C320" s="1058"/>
      <c r="D320" s="1058"/>
      <c r="E320" s="1058"/>
      <c r="F320" s="1058"/>
      <c r="G320" s="1058"/>
      <c r="H320" s="1058"/>
      <c r="I320" s="1058"/>
      <c r="J320" s="1058"/>
      <c r="K320" s="1058"/>
      <c r="L320" s="1058"/>
      <c r="M320" s="1058"/>
      <c r="N320" s="1058"/>
      <c r="O320" s="1058"/>
      <c r="P320" s="1058"/>
      <c r="Q320" s="1059"/>
    </row>
    <row r="321" spans="1:32" ht="2.25" customHeight="1">
      <c r="A321" s="811"/>
      <c r="B321" s="162"/>
      <c r="C321" s="818"/>
      <c r="D321" s="818"/>
      <c r="E321" s="818"/>
      <c r="F321" s="818"/>
      <c r="G321" s="818"/>
      <c r="H321" s="818"/>
      <c r="I321" s="818"/>
      <c r="J321" s="818"/>
      <c r="K321" s="818"/>
      <c r="L321" s="818"/>
      <c r="M321" s="818"/>
      <c r="N321" s="818"/>
      <c r="O321" s="818"/>
      <c r="P321" s="818"/>
      <c r="Q321" s="59"/>
      <c r="R321" s="9"/>
      <c r="S321" s="9"/>
    </row>
    <row r="322" spans="1:32" ht="13.9" customHeight="1">
      <c r="A322" s="820">
        <v>22</v>
      </c>
      <c r="B322" s="5" t="s">
        <v>3556</v>
      </c>
      <c r="C322" s="5"/>
      <c r="D322" s="5"/>
      <c r="E322" s="5"/>
      <c r="F322" s="5"/>
      <c r="G322" s="5"/>
      <c r="H322" s="818"/>
      <c r="I322" s="818"/>
      <c r="J322" s="818"/>
      <c r="K322" s="818"/>
      <c r="L322" s="818"/>
      <c r="M322" s="818"/>
      <c r="O322" s="163" t="s">
        <v>2571</v>
      </c>
      <c r="P322" s="1060"/>
      <c r="Q322" s="1063"/>
    </row>
    <row r="323" spans="1:32" ht="12" customHeight="1">
      <c r="B323" s="54" t="s">
        <v>2693</v>
      </c>
      <c r="C323" s="143" t="s">
        <v>3551</v>
      </c>
      <c r="D323" s="823"/>
      <c r="E323" s="823"/>
      <c r="F323" s="823"/>
      <c r="G323" s="823"/>
      <c r="H323" s="823"/>
      <c r="I323" s="49"/>
      <c r="J323" s="654" t="s">
        <v>2693</v>
      </c>
      <c r="K323" s="1689" t="s">
        <v>1368</v>
      </c>
      <c r="L323" s="1690"/>
      <c r="M323" s="1690"/>
      <c r="N323" s="1690"/>
      <c r="O323" s="1690"/>
      <c r="P323" s="1691"/>
      <c r="Q323" s="210"/>
    </row>
    <row r="324" spans="1:32" ht="22.5" customHeight="1">
      <c r="B324" s="174" t="s">
        <v>2696</v>
      </c>
      <c r="C324" s="1036" t="s">
        <v>3550</v>
      </c>
      <c r="D324" s="1036"/>
      <c r="E324" s="1036"/>
      <c r="F324" s="1036"/>
      <c r="G324" s="1036"/>
      <c r="H324" s="1036"/>
      <c r="I324" s="1036"/>
      <c r="J324" s="1036"/>
      <c r="K324" s="1036"/>
      <c r="L324" s="1036"/>
      <c r="M324" s="1036"/>
      <c r="N324" s="1036"/>
      <c r="O324" s="199" t="s">
        <v>2696</v>
      </c>
      <c r="P324" s="1674"/>
      <c r="Q324" s="210"/>
    </row>
    <row r="325" spans="1:32" ht="11.45" customHeight="1">
      <c r="B325" s="54" t="s">
        <v>1053</v>
      </c>
      <c r="C325" s="61" t="s">
        <v>3552</v>
      </c>
      <c r="D325" s="61"/>
      <c r="E325" s="61"/>
      <c r="F325" s="61"/>
      <c r="G325" s="61"/>
      <c r="H325" s="61"/>
      <c r="I325" s="61"/>
      <c r="J325" s="61"/>
      <c r="K325" s="61"/>
      <c r="L325" s="38"/>
      <c r="M325" s="38"/>
      <c r="O325" s="654" t="s">
        <v>1053</v>
      </c>
      <c r="P325" s="1625"/>
      <c r="Q325" s="210"/>
    </row>
    <row r="326" spans="1:32" ht="11.45" customHeight="1">
      <c r="B326" s="54" t="s">
        <v>2829</v>
      </c>
      <c r="C326" s="61" t="s">
        <v>3553</v>
      </c>
      <c r="D326" s="61"/>
      <c r="E326" s="61"/>
      <c r="F326" s="61"/>
      <c r="G326" s="61"/>
      <c r="H326" s="61"/>
      <c r="I326" s="61"/>
      <c r="J326" s="61"/>
      <c r="K326" s="61"/>
      <c r="L326" s="61"/>
      <c r="M326" s="61"/>
      <c r="O326" s="654" t="s">
        <v>2829</v>
      </c>
      <c r="P326" s="1625"/>
      <c r="Q326" s="210"/>
    </row>
    <row r="327" spans="1:32" s="164" customFormat="1" ht="11.45" customHeight="1">
      <c r="B327" s="174" t="s">
        <v>2427</v>
      </c>
      <c r="C327" s="1054" t="s">
        <v>3558</v>
      </c>
      <c r="D327" s="1054"/>
      <c r="E327" s="1054"/>
      <c r="F327" s="1054"/>
      <c r="G327" s="1054"/>
      <c r="H327" s="1054"/>
      <c r="I327" s="1054"/>
      <c r="J327" s="1054"/>
      <c r="K327" s="1054"/>
      <c r="L327" s="1054"/>
      <c r="M327" s="1054"/>
      <c r="N327" s="1054"/>
      <c r="O327" s="199" t="s">
        <v>2427</v>
      </c>
      <c r="P327" s="1674"/>
      <c r="Q327" s="323"/>
      <c r="AE327" s="657"/>
      <c r="AF327" s="657"/>
    </row>
    <row r="328" spans="1:32" s="164" customFormat="1" ht="11.45" customHeight="1">
      <c r="B328" s="174" t="s">
        <v>2428</v>
      </c>
      <c r="C328" s="1054" t="s">
        <v>3568</v>
      </c>
      <c r="D328" s="1054"/>
      <c r="E328" s="1054"/>
      <c r="F328" s="1054"/>
      <c r="G328" s="1054"/>
      <c r="H328" s="1054"/>
      <c r="I328" s="1054"/>
      <c r="J328" s="1054"/>
      <c r="K328" s="1054"/>
      <c r="L328" s="1054"/>
      <c r="M328" s="1054"/>
      <c r="N328" s="1054"/>
      <c r="O328" s="199" t="s">
        <v>2428</v>
      </c>
      <c r="P328" s="1674"/>
      <c r="Q328" s="323"/>
      <c r="AE328" s="657"/>
      <c r="AF328" s="657"/>
    </row>
    <row r="329" spans="1:32" ht="11.45" customHeight="1">
      <c r="B329" s="54" t="s">
        <v>2656</v>
      </c>
      <c r="C329" s="61" t="s">
        <v>3554</v>
      </c>
      <c r="D329" s="61"/>
      <c r="E329" s="61"/>
      <c r="F329" s="61"/>
      <c r="G329" s="61"/>
      <c r="H329" s="61"/>
      <c r="I329" s="61"/>
      <c r="J329" s="61"/>
      <c r="K329" s="61"/>
      <c r="L329" s="61"/>
      <c r="M329" s="61"/>
      <c r="O329" s="654" t="s">
        <v>2656</v>
      </c>
      <c r="P329" s="1625"/>
      <c r="Q329" s="210"/>
    </row>
    <row r="330" spans="1:32" ht="11.25" customHeight="1">
      <c r="B330" s="173" t="s">
        <v>2569</v>
      </c>
      <c r="D330" s="173"/>
      <c r="E330" s="173"/>
      <c r="F330" s="173"/>
      <c r="G330" s="173"/>
      <c r="H330" s="822"/>
      <c r="I330" s="162"/>
      <c r="J330" s="162"/>
      <c r="K330" s="162"/>
      <c r="L330" s="811"/>
      <c r="M330" s="811"/>
      <c r="N330" s="811"/>
      <c r="O330" s="811"/>
      <c r="P330" s="811"/>
      <c r="Q330" s="59"/>
    </row>
    <row r="331" spans="1:32" ht="11.45" customHeight="1">
      <c r="A331" s="1629" t="s">
        <v>4147</v>
      </c>
      <c r="B331" s="1630"/>
      <c r="C331" s="1630"/>
      <c r="D331" s="1630"/>
      <c r="E331" s="1630"/>
      <c r="F331" s="1630"/>
      <c r="G331" s="1630"/>
      <c r="H331" s="1630"/>
      <c r="I331" s="1630"/>
      <c r="J331" s="1630"/>
      <c r="K331" s="1630"/>
      <c r="L331" s="1630"/>
      <c r="M331" s="1630"/>
      <c r="N331" s="1630"/>
      <c r="O331" s="1630"/>
      <c r="P331" s="1630"/>
      <c r="Q331" s="1631"/>
      <c r="U331" s="168"/>
      <c r="V331" s="168"/>
      <c r="W331" s="168"/>
      <c r="X331" s="168"/>
      <c r="Y331" s="168"/>
      <c r="Z331" s="168"/>
      <c r="AA331" s="168"/>
      <c r="AB331" s="168"/>
      <c r="AC331" s="168"/>
      <c r="AD331" s="168"/>
      <c r="AE331" s="656"/>
    </row>
    <row r="332" spans="1:32" ht="11.25" customHeight="1">
      <c r="B332" s="169" t="s">
        <v>2570</v>
      </c>
      <c r="C332" s="170"/>
      <c r="D332" s="818"/>
      <c r="E332" s="818"/>
      <c r="F332" s="818"/>
      <c r="G332" s="818"/>
      <c r="H332" s="818"/>
      <c r="I332" s="818"/>
      <c r="J332" s="818"/>
      <c r="K332" s="818"/>
      <c r="L332" s="818"/>
      <c r="M332" s="818"/>
      <c r="N332" s="818"/>
      <c r="O332" s="818"/>
      <c r="P332" s="818"/>
      <c r="Q332" s="818"/>
    </row>
    <row r="333" spans="1:32" ht="11.45" customHeight="1">
      <c r="A333" s="1057"/>
      <c r="B333" s="1058"/>
      <c r="C333" s="1058"/>
      <c r="D333" s="1058"/>
      <c r="E333" s="1058"/>
      <c r="F333" s="1058"/>
      <c r="G333" s="1058"/>
      <c r="H333" s="1058"/>
      <c r="I333" s="1058"/>
      <c r="J333" s="1058"/>
      <c r="K333" s="1058"/>
      <c r="L333" s="1058"/>
      <c r="M333" s="1058"/>
      <c r="N333" s="1058"/>
      <c r="O333" s="1058"/>
      <c r="P333" s="1058"/>
      <c r="Q333" s="1059"/>
    </row>
    <row r="334" spans="1:32" ht="6" customHeight="1">
      <c r="A334" s="811"/>
      <c r="B334" s="162"/>
      <c r="C334" s="818"/>
      <c r="D334" s="818"/>
      <c r="E334" s="818"/>
      <c r="F334" s="818"/>
      <c r="G334" s="818"/>
      <c r="H334" s="818"/>
      <c r="I334" s="818"/>
      <c r="J334" s="818"/>
      <c r="K334" s="818"/>
      <c r="L334" s="818"/>
      <c r="M334" s="818"/>
      <c r="Q334" s="59"/>
    </row>
    <row r="335" spans="1:32" ht="13.9" customHeight="1">
      <c r="A335" s="820">
        <v>23</v>
      </c>
      <c r="B335" s="5" t="s">
        <v>3578</v>
      </c>
      <c r="C335" s="5"/>
      <c r="D335" s="5"/>
      <c r="E335" s="5"/>
      <c r="F335" s="5"/>
      <c r="G335" s="5"/>
      <c r="H335" s="818"/>
      <c r="I335" s="818"/>
      <c r="J335" s="818"/>
      <c r="O335" s="163" t="s">
        <v>2571</v>
      </c>
      <c r="P335" s="1060"/>
      <c r="Q335" s="1063"/>
    </row>
    <row r="336" spans="1:32" ht="13.9" customHeight="1">
      <c r="A336" s="820"/>
      <c r="B336" s="131" t="s">
        <v>3508</v>
      </c>
      <c r="C336" s="5"/>
      <c r="D336" s="5"/>
      <c r="E336" s="5"/>
      <c r="F336" s="5"/>
      <c r="G336" s="5"/>
      <c r="H336" s="818"/>
      <c r="I336" s="818"/>
      <c r="J336" s="818"/>
      <c r="S336" s="691" t="s">
        <v>3737</v>
      </c>
    </row>
    <row r="337" spans="2:32" ht="11.45" customHeight="1">
      <c r="B337" s="136" t="s">
        <v>2693</v>
      </c>
      <c r="C337" s="542" t="s">
        <v>3510</v>
      </c>
      <c r="D337" s="64"/>
      <c r="E337" s="823"/>
      <c r="F337" s="823"/>
      <c r="G337" s="823"/>
      <c r="H337" s="823"/>
      <c r="I337" s="49"/>
      <c r="O337" s="654" t="s">
        <v>2693</v>
      </c>
      <c r="S337" s="693" t="str">
        <f>IF(OR(P338="Yes",P339="Yes",P340="Yes",P341="Yes",P342="Yes",P343="Yes",P344="Yes"), "Yes","")</f>
        <v>Yes</v>
      </c>
    </row>
    <row r="338" spans="2:32" s="164" customFormat="1" ht="11.25" customHeight="1">
      <c r="B338" s="183" t="s">
        <v>2429</v>
      </c>
      <c r="C338" s="1065" t="s">
        <v>3743</v>
      </c>
      <c r="D338" s="1065"/>
      <c r="E338" s="1065"/>
      <c r="F338" s="1065"/>
      <c r="G338" s="1065"/>
      <c r="H338" s="1065"/>
      <c r="I338" s="1065"/>
      <c r="J338" s="1065"/>
      <c r="K338" s="1065"/>
      <c r="L338" s="1065"/>
      <c r="M338" s="1065"/>
      <c r="N338" s="1065"/>
      <c r="O338" s="183" t="s">
        <v>2429</v>
      </c>
      <c r="P338" s="1674" t="s">
        <v>4063</v>
      </c>
      <c r="Q338" s="323"/>
      <c r="AE338" s="657"/>
      <c r="AF338" s="657"/>
    </row>
    <row r="339" spans="2:32" s="164" customFormat="1" ht="21.75" customHeight="1">
      <c r="B339" s="183" t="s">
        <v>2430</v>
      </c>
      <c r="C339" s="1065" t="s">
        <v>3509</v>
      </c>
      <c r="D339" s="1065"/>
      <c r="E339" s="1065"/>
      <c r="F339" s="1065"/>
      <c r="G339" s="1065"/>
      <c r="H339" s="1065"/>
      <c r="I339" s="1065"/>
      <c r="J339" s="1065"/>
      <c r="K339" s="1065"/>
      <c r="L339" s="1065"/>
      <c r="M339" s="1065"/>
      <c r="N339" s="1065"/>
      <c r="O339" s="183" t="s">
        <v>2430</v>
      </c>
      <c r="P339" s="1674" t="s">
        <v>4068</v>
      </c>
      <c r="Q339" s="323"/>
      <c r="AE339" s="657"/>
      <c r="AF339" s="657"/>
    </row>
    <row r="340" spans="2:32" s="164" customFormat="1" ht="21.75" customHeight="1">
      <c r="B340" s="183" t="s">
        <v>2431</v>
      </c>
      <c r="C340" s="1062" t="s">
        <v>3732</v>
      </c>
      <c r="D340" s="1062"/>
      <c r="E340" s="1062"/>
      <c r="F340" s="1062"/>
      <c r="G340" s="1062"/>
      <c r="H340" s="1062"/>
      <c r="I340" s="1062"/>
      <c r="J340" s="1062"/>
      <c r="K340" s="1062"/>
      <c r="L340" s="1062"/>
      <c r="M340" s="1062"/>
      <c r="N340" s="1062"/>
      <c r="O340" s="183" t="s">
        <v>2431</v>
      </c>
      <c r="P340" s="1674" t="s">
        <v>4063</v>
      </c>
      <c r="Q340" s="323"/>
      <c r="AE340" s="657"/>
      <c r="AF340" s="657"/>
    </row>
    <row r="341" spans="2:32" s="164" customFormat="1" ht="21.75" customHeight="1">
      <c r="B341" s="183" t="s">
        <v>3119</v>
      </c>
      <c r="C341" s="1062" t="s">
        <v>3733</v>
      </c>
      <c r="D341" s="1062"/>
      <c r="E341" s="1062"/>
      <c r="F341" s="1062"/>
      <c r="G341" s="1062"/>
      <c r="H341" s="1062"/>
      <c r="I341" s="1062"/>
      <c r="J341" s="1062"/>
      <c r="K341" s="1062"/>
      <c r="L341" s="1062"/>
      <c r="M341" s="1062"/>
      <c r="N341" s="1062"/>
      <c r="O341" s="183" t="s">
        <v>3119</v>
      </c>
      <c r="P341" s="1674" t="s">
        <v>4063</v>
      </c>
      <c r="Q341" s="323"/>
      <c r="AE341" s="657"/>
      <c r="AF341" s="657"/>
    </row>
    <row r="342" spans="2:32" s="164" customFormat="1" ht="33.75" customHeight="1">
      <c r="B342" s="183" t="s">
        <v>2008</v>
      </c>
      <c r="C342" s="1062" t="s">
        <v>3734</v>
      </c>
      <c r="D342" s="1062"/>
      <c r="E342" s="1062"/>
      <c r="F342" s="1062"/>
      <c r="G342" s="1062"/>
      <c r="H342" s="1062"/>
      <c r="I342" s="1062"/>
      <c r="J342" s="1062"/>
      <c r="K342" s="1062"/>
      <c r="L342" s="1062"/>
      <c r="M342" s="1062"/>
      <c r="N342" s="1062"/>
      <c r="O342" s="183" t="s">
        <v>2008</v>
      </c>
      <c r="P342" s="1674" t="s">
        <v>4063</v>
      </c>
      <c r="Q342" s="323"/>
      <c r="AE342" s="657"/>
      <c r="AF342" s="657"/>
    </row>
    <row r="343" spans="2:32" s="164" customFormat="1" ht="21.75" customHeight="1">
      <c r="B343" s="199" t="s">
        <v>2009</v>
      </c>
      <c r="C343" s="1062" t="s">
        <v>3735</v>
      </c>
      <c r="D343" s="1062"/>
      <c r="E343" s="1062"/>
      <c r="F343" s="1062"/>
      <c r="G343" s="1062"/>
      <c r="H343" s="1062"/>
      <c r="I343" s="1062"/>
      <c r="J343" s="1062"/>
      <c r="K343" s="1062"/>
      <c r="L343" s="1062"/>
      <c r="M343" s="1062"/>
      <c r="N343" s="1062"/>
      <c r="O343" s="199" t="s">
        <v>2009</v>
      </c>
      <c r="P343" s="1674" t="s">
        <v>4063</v>
      </c>
      <c r="Q343" s="323"/>
      <c r="AE343" s="657"/>
      <c r="AF343" s="657"/>
    </row>
    <row r="344" spans="2:32" s="164" customFormat="1" ht="21.75" customHeight="1">
      <c r="B344" s="199" t="s">
        <v>104</v>
      </c>
      <c r="C344" s="1062" t="s">
        <v>3736</v>
      </c>
      <c r="D344" s="1062"/>
      <c r="E344" s="1062"/>
      <c r="F344" s="1062"/>
      <c r="G344" s="1062"/>
      <c r="H344" s="1062"/>
      <c r="I344" s="1062"/>
      <c r="J344" s="1062"/>
      <c r="K344" s="1062"/>
      <c r="L344" s="1062"/>
      <c r="M344" s="1062"/>
      <c r="N344" s="1062"/>
      <c r="O344" s="199" t="s">
        <v>104</v>
      </c>
      <c r="P344" s="1674" t="s">
        <v>4068</v>
      </c>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2696</v>
      </c>
      <c r="C346" s="271" t="s">
        <v>3511</v>
      </c>
      <c r="D346" s="165"/>
      <c r="E346" s="165"/>
      <c r="F346" s="165"/>
      <c r="G346" s="165"/>
      <c r="H346" s="165"/>
      <c r="I346" s="165"/>
      <c r="J346" s="165"/>
      <c r="K346" s="165"/>
      <c r="L346" s="165"/>
      <c r="M346" s="165"/>
      <c r="N346" s="165"/>
      <c r="O346" s="654" t="s">
        <v>2696</v>
      </c>
      <c r="P346" s="607"/>
      <c r="Q346" s="607"/>
    </row>
    <row r="347" spans="2:32" ht="11.25" customHeight="1">
      <c r="B347" s="78" t="s">
        <v>2429</v>
      </c>
      <c r="C347" s="580" t="s">
        <v>3512</v>
      </c>
      <c r="E347" s="580"/>
      <c r="F347" s="580"/>
      <c r="G347" s="580"/>
      <c r="H347" s="580"/>
      <c r="I347" s="580"/>
      <c r="J347" s="580"/>
      <c r="K347" s="580"/>
      <c r="L347" s="580"/>
      <c r="M347" s="580"/>
      <c r="N347" s="609"/>
      <c r="P347" s="78" t="s">
        <v>2429</v>
      </c>
      <c r="Q347" s="210"/>
    </row>
    <row r="348" spans="2:32" ht="11.25" customHeight="1">
      <c r="B348" s="78" t="s">
        <v>2430</v>
      </c>
      <c r="C348" s="166" t="s">
        <v>3513</v>
      </c>
      <c r="E348" s="166"/>
      <c r="F348" s="166"/>
      <c r="G348" s="166"/>
      <c r="H348" s="166"/>
      <c r="I348" s="44"/>
      <c r="J348" s="609"/>
      <c r="K348" s="609"/>
      <c r="L348" s="609"/>
      <c r="M348" s="609"/>
      <c r="N348" s="609"/>
      <c r="P348" s="78" t="s">
        <v>2430</v>
      </c>
      <c r="Q348" s="210"/>
    </row>
    <row r="349" spans="2:32" ht="11.25" customHeight="1">
      <c r="B349" s="78" t="s">
        <v>2431</v>
      </c>
      <c r="C349" s="61" t="s">
        <v>3655</v>
      </c>
      <c r="E349" s="61"/>
      <c r="F349" s="61"/>
      <c r="G349" s="61"/>
      <c r="H349" s="61"/>
      <c r="I349" s="61"/>
      <c r="J349" s="61"/>
      <c r="K349" s="61"/>
      <c r="L349" s="38"/>
      <c r="M349" s="38"/>
      <c r="N349" s="609"/>
      <c r="P349" s="78" t="s">
        <v>2431</v>
      </c>
      <c r="Q349" s="210"/>
    </row>
    <row r="350" spans="2:32" ht="11.25" customHeight="1">
      <c r="B350" s="78" t="s">
        <v>3119</v>
      </c>
      <c r="C350" s="61" t="s">
        <v>3514</v>
      </c>
      <c r="E350" s="61"/>
      <c r="F350" s="61"/>
      <c r="G350" s="61"/>
      <c r="H350" s="61"/>
      <c r="I350" s="61"/>
      <c r="J350" s="61"/>
      <c r="K350" s="61"/>
      <c r="L350" s="61"/>
      <c r="M350" s="61"/>
      <c r="N350" s="61"/>
      <c r="P350" s="78" t="s">
        <v>3119</v>
      </c>
      <c r="Q350" s="210"/>
    </row>
    <row r="351" spans="2:32" ht="11.25" customHeight="1">
      <c r="B351" s="78" t="s">
        <v>2008</v>
      </c>
      <c r="C351" s="61" t="s">
        <v>3515</v>
      </c>
      <c r="E351" s="61"/>
      <c r="F351" s="61"/>
      <c r="G351" s="61"/>
      <c r="H351" s="61"/>
      <c r="I351" s="61"/>
      <c r="J351" s="61"/>
      <c r="K351" s="61"/>
      <c r="L351" s="61"/>
      <c r="M351" s="61"/>
      <c r="N351" s="61"/>
      <c r="P351" s="78" t="s">
        <v>2008</v>
      </c>
      <c r="Q351" s="210"/>
    </row>
    <row r="352" spans="2:32" ht="11.25" customHeight="1">
      <c r="B352" s="654" t="s">
        <v>2009</v>
      </c>
      <c r="C352" s="172" t="s">
        <v>3656</v>
      </c>
      <c r="E352" s="172"/>
      <c r="F352" s="172"/>
      <c r="G352" s="172"/>
      <c r="H352" s="172"/>
      <c r="I352" s="172"/>
      <c r="J352" s="172"/>
      <c r="K352" s="172"/>
      <c r="L352" s="172"/>
      <c r="M352" s="172"/>
      <c r="N352" s="172"/>
      <c r="P352" s="654" t="s">
        <v>2009</v>
      </c>
      <c r="Q352" s="210"/>
    </row>
    <row r="353" spans="1:31" ht="11.25" customHeight="1">
      <c r="B353" s="654" t="s">
        <v>104</v>
      </c>
      <c r="C353" s="61" t="s">
        <v>3516</v>
      </c>
      <c r="E353" s="61"/>
      <c r="F353" s="61"/>
      <c r="G353" s="61"/>
      <c r="H353" s="61"/>
      <c r="I353" s="61"/>
      <c r="J353" s="61"/>
      <c r="K353" s="61"/>
      <c r="L353" s="61"/>
      <c r="M353" s="61"/>
      <c r="N353" s="61"/>
      <c r="P353" s="654" t="s">
        <v>104</v>
      </c>
      <c r="Q353" s="210"/>
    </row>
    <row r="354" spans="1:31" ht="11.25" customHeight="1">
      <c r="B354" s="654" t="s">
        <v>677</v>
      </c>
      <c r="C354" s="580" t="s">
        <v>3517</v>
      </c>
      <c r="E354" s="580"/>
      <c r="F354" s="580"/>
      <c r="G354" s="580"/>
      <c r="H354" s="580"/>
      <c r="I354" s="580"/>
      <c r="J354" s="580"/>
      <c r="K354" s="580"/>
      <c r="L354" s="580"/>
      <c r="M354" s="580"/>
      <c r="N354" s="609"/>
      <c r="P354" s="654" t="s">
        <v>677</v>
      </c>
      <c r="Q354" s="210"/>
    </row>
    <row r="355" spans="1:31" ht="11.25" customHeight="1">
      <c r="B355" s="173" t="s">
        <v>2569</v>
      </c>
      <c r="D355" s="173"/>
      <c r="E355" s="173"/>
      <c r="F355" s="173"/>
      <c r="G355" s="173"/>
      <c r="H355" s="822"/>
      <c r="I355" s="162"/>
      <c r="J355" s="162"/>
      <c r="K355" s="162"/>
      <c r="L355" s="811"/>
      <c r="M355" s="811"/>
      <c r="N355" s="811"/>
      <c r="O355" s="811"/>
      <c r="P355" s="811"/>
      <c r="Q355" s="59"/>
    </row>
    <row r="356" spans="1:31" ht="22.5" customHeight="1">
      <c r="A356" s="1629" t="s">
        <v>4148</v>
      </c>
      <c r="B356" s="1630"/>
      <c r="C356" s="1630"/>
      <c r="D356" s="1630"/>
      <c r="E356" s="1630"/>
      <c r="F356" s="1630"/>
      <c r="G356" s="1630"/>
      <c r="H356" s="1630"/>
      <c r="I356" s="1630"/>
      <c r="J356" s="1630"/>
      <c r="K356" s="1630"/>
      <c r="L356" s="1630"/>
      <c r="M356" s="1630"/>
      <c r="N356" s="1630"/>
      <c r="O356" s="1630"/>
      <c r="P356" s="1630"/>
      <c r="Q356" s="1631"/>
      <c r="U356" s="168"/>
      <c r="V356" s="168"/>
      <c r="W356" s="168"/>
      <c r="X356" s="168"/>
      <c r="Y356" s="168"/>
      <c r="Z356" s="168"/>
      <c r="AA356" s="168"/>
      <c r="AB356" s="168"/>
      <c r="AC356" s="168"/>
      <c r="AD356" s="168"/>
      <c r="AE356" s="656"/>
    </row>
    <row r="357" spans="1:31" ht="11.25" customHeight="1">
      <c r="B357" s="169" t="s">
        <v>2570</v>
      </c>
      <c r="C357" s="170"/>
      <c r="D357" s="818"/>
      <c r="E357" s="818"/>
      <c r="F357" s="818"/>
      <c r="G357" s="818"/>
      <c r="H357" s="818"/>
      <c r="I357" s="818"/>
      <c r="J357" s="818"/>
      <c r="K357" s="818"/>
      <c r="L357" s="818"/>
      <c r="M357" s="818"/>
      <c r="N357" s="818"/>
      <c r="O357" s="818"/>
      <c r="P357" s="818"/>
      <c r="Q357" s="818"/>
    </row>
    <row r="358" spans="1:31" ht="11.45" customHeight="1">
      <c r="A358" s="1057"/>
      <c r="B358" s="1058"/>
      <c r="C358" s="1058"/>
      <c r="D358" s="1058"/>
      <c r="E358" s="1058"/>
      <c r="F358" s="1058"/>
      <c r="G358" s="1058"/>
      <c r="H358" s="1058"/>
      <c r="I358" s="1058"/>
      <c r="J358" s="1058"/>
      <c r="K358" s="1058"/>
      <c r="L358" s="1058"/>
      <c r="M358" s="1058"/>
      <c r="N358" s="1058"/>
      <c r="O358" s="1058"/>
      <c r="P358" s="1058"/>
      <c r="Q358" s="1059"/>
    </row>
    <row r="359" spans="1:31" ht="3" customHeight="1">
      <c r="A359" s="811"/>
      <c r="B359" s="162"/>
      <c r="C359" s="818"/>
      <c r="D359" s="818"/>
      <c r="E359" s="818"/>
      <c r="F359" s="818"/>
      <c r="G359" s="818"/>
      <c r="H359" s="818"/>
      <c r="I359" s="818"/>
      <c r="J359" s="818"/>
      <c r="K359" s="818"/>
      <c r="L359" s="818"/>
      <c r="M359" s="818"/>
      <c r="Q359" s="59"/>
    </row>
    <row r="360" spans="1:31" ht="13.9" customHeight="1">
      <c r="A360" s="820">
        <v>24</v>
      </c>
      <c r="B360" s="5" t="s">
        <v>3569</v>
      </c>
      <c r="C360" s="5"/>
      <c r="D360" s="5"/>
      <c r="E360" s="5"/>
      <c r="F360" s="5"/>
      <c r="G360" s="5"/>
      <c r="H360" s="818"/>
      <c r="I360" s="818"/>
      <c r="J360" s="818"/>
      <c r="O360" s="163" t="s">
        <v>2571</v>
      </c>
      <c r="P360" s="1060"/>
      <c r="Q360" s="1063"/>
    </row>
    <row r="361" spans="1:31" ht="11.45" customHeight="1">
      <c r="B361" s="54" t="s">
        <v>2693</v>
      </c>
      <c r="C361" s="143" t="s">
        <v>1437</v>
      </c>
      <c r="E361" s="1675" t="s">
        <v>1368</v>
      </c>
      <c r="F361" s="1676"/>
      <c r="G361" s="1676"/>
      <c r="H361" s="1676"/>
      <c r="I361" s="1677"/>
      <c r="J361" s="1066" t="s">
        <v>3520</v>
      </c>
      <c r="K361" s="1067"/>
      <c r="L361" s="1068"/>
      <c r="M361" s="1675" t="s">
        <v>1368</v>
      </c>
      <c r="N361" s="1676"/>
      <c r="O361" s="1676"/>
      <c r="P361" s="1676"/>
      <c r="Q361" s="1677"/>
    </row>
    <row r="362" spans="1:31" ht="11.45" customHeight="1">
      <c r="B362" s="54" t="s">
        <v>2696</v>
      </c>
      <c r="C362" s="61" t="s">
        <v>2432</v>
      </c>
      <c r="D362" s="61"/>
      <c r="E362" s="61"/>
      <c r="F362" s="61"/>
      <c r="G362" s="61"/>
      <c r="H362" s="61"/>
      <c r="I362" s="61"/>
      <c r="J362" s="61"/>
      <c r="K362" s="61"/>
      <c r="L362" s="38"/>
      <c r="M362" s="38"/>
      <c r="O362" s="654" t="s">
        <v>2696</v>
      </c>
      <c r="P362" s="1625"/>
      <c r="Q362" s="210"/>
    </row>
    <row r="363" spans="1:31" ht="22.5" customHeight="1">
      <c r="B363" s="174" t="s">
        <v>1053</v>
      </c>
      <c r="C363" s="1036" t="s">
        <v>3682</v>
      </c>
      <c r="D363" s="1036"/>
      <c r="E363" s="1036"/>
      <c r="F363" s="1036"/>
      <c r="G363" s="1036"/>
      <c r="H363" s="1036"/>
      <c r="I363" s="1036"/>
      <c r="J363" s="1036"/>
      <c r="K363" s="1036"/>
      <c r="L363" s="1036"/>
      <c r="M363" s="1036"/>
      <c r="N363" s="1036"/>
      <c r="O363" s="654" t="s">
        <v>1053</v>
      </c>
      <c r="P363" s="1625"/>
      <c r="Q363" s="210"/>
    </row>
    <row r="364" spans="1:31" ht="11.45" customHeight="1">
      <c r="B364" s="54" t="s">
        <v>2829</v>
      </c>
      <c r="C364" s="61" t="s">
        <v>3555</v>
      </c>
      <c r="D364" s="61"/>
      <c r="E364" s="61"/>
      <c r="F364" s="61"/>
      <c r="G364" s="61"/>
      <c r="H364" s="61"/>
      <c r="I364" s="61"/>
      <c r="J364" s="61"/>
      <c r="K364" s="61"/>
      <c r="L364" s="61"/>
      <c r="M364" s="61"/>
      <c r="O364" s="654" t="s">
        <v>2829</v>
      </c>
      <c r="P364" s="1625"/>
      <c r="Q364" s="210"/>
    </row>
    <row r="365" spans="1:31" ht="21.75" customHeight="1">
      <c r="B365" s="174" t="s">
        <v>2427</v>
      </c>
      <c r="C365" s="1054" t="s">
        <v>551</v>
      </c>
      <c r="D365" s="1054"/>
      <c r="E365" s="1054"/>
      <c r="F365" s="1054"/>
      <c r="G365" s="1054"/>
      <c r="H365" s="1054"/>
      <c r="I365" s="1054"/>
      <c r="J365" s="1054"/>
      <c r="K365" s="1054"/>
      <c r="L365" s="1054"/>
      <c r="M365" s="1054"/>
      <c r="N365" s="1054"/>
      <c r="O365" s="199" t="s">
        <v>2427</v>
      </c>
      <c r="P365" s="1625"/>
      <c r="Q365" s="210"/>
    </row>
    <row r="366" spans="1:31" ht="21.75" customHeight="1">
      <c r="B366" s="174" t="s">
        <v>2428</v>
      </c>
      <c r="C366" s="1036" t="s">
        <v>190</v>
      </c>
      <c r="D366" s="1036"/>
      <c r="E366" s="1036"/>
      <c r="F366" s="1036"/>
      <c r="G366" s="1036"/>
      <c r="H366" s="1036"/>
      <c r="I366" s="1036"/>
      <c r="J366" s="1036"/>
      <c r="K366" s="1036"/>
      <c r="L366" s="1036"/>
      <c r="M366" s="1036"/>
      <c r="N366" s="1036"/>
      <c r="O366" s="199" t="s">
        <v>2428</v>
      </c>
      <c r="P366" s="1674"/>
      <c r="Q366" s="210"/>
    </row>
    <row r="367" spans="1:31" ht="11.45" customHeight="1">
      <c r="B367" s="54" t="s">
        <v>2656</v>
      </c>
      <c r="C367" s="38" t="s">
        <v>722</v>
      </c>
      <c r="D367" s="185"/>
      <c r="E367" s="185"/>
      <c r="F367" s="185"/>
      <c r="G367" s="185"/>
      <c r="H367" s="185"/>
      <c r="I367" s="185"/>
      <c r="J367" s="185"/>
      <c r="K367" s="185"/>
      <c r="L367" s="185"/>
      <c r="M367" s="185"/>
      <c r="O367" s="654" t="s">
        <v>2656</v>
      </c>
      <c r="P367" s="1625"/>
      <c r="Q367" s="210"/>
    </row>
    <row r="368" spans="1:31" ht="11.25" customHeight="1">
      <c r="B368" s="173" t="s">
        <v>2569</v>
      </c>
      <c r="D368" s="173"/>
      <c r="E368" s="173"/>
      <c r="F368" s="173"/>
      <c r="G368" s="173"/>
      <c r="H368" s="822"/>
      <c r="I368" s="162"/>
      <c r="J368" s="162"/>
      <c r="K368" s="162"/>
      <c r="L368" s="811"/>
      <c r="M368" s="811"/>
      <c r="N368" s="811"/>
      <c r="O368" s="811"/>
      <c r="P368" s="811"/>
      <c r="Q368" s="59"/>
    </row>
    <row r="369" spans="1:32" ht="11.45" customHeight="1">
      <c r="A369" s="1629" t="s">
        <v>4149</v>
      </c>
      <c r="B369" s="1630"/>
      <c r="C369" s="1630"/>
      <c r="D369" s="1630"/>
      <c r="E369" s="1630"/>
      <c r="F369" s="1630"/>
      <c r="G369" s="1630"/>
      <c r="H369" s="1630"/>
      <c r="I369" s="1630"/>
      <c r="J369" s="1630"/>
      <c r="K369" s="1630"/>
      <c r="L369" s="1630"/>
      <c r="M369" s="1630"/>
      <c r="N369" s="1630"/>
      <c r="O369" s="1630"/>
      <c r="P369" s="1630"/>
      <c r="Q369" s="1631"/>
      <c r="U369" s="168"/>
      <c r="V369" s="168"/>
      <c r="W369" s="168"/>
      <c r="X369" s="168"/>
      <c r="Y369" s="168"/>
      <c r="Z369" s="168"/>
      <c r="AA369" s="168"/>
      <c r="AB369" s="168"/>
      <c r="AC369" s="168"/>
      <c r="AD369" s="168"/>
      <c r="AE369" s="656"/>
    </row>
    <row r="370" spans="1:32" ht="11.25" customHeight="1">
      <c r="B370" s="169" t="s">
        <v>2570</v>
      </c>
      <c r="C370" s="170"/>
      <c r="D370" s="818"/>
      <c r="E370" s="818"/>
      <c r="F370" s="818"/>
      <c r="G370" s="818"/>
      <c r="H370" s="818"/>
      <c r="I370" s="818"/>
      <c r="J370" s="818"/>
      <c r="K370" s="818"/>
      <c r="L370" s="818"/>
      <c r="M370" s="818"/>
      <c r="N370" s="818"/>
      <c r="O370" s="818"/>
      <c r="P370" s="818"/>
      <c r="Q370" s="818"/>
    </row>
    <row r="371" spans="1:32" ht="11.45" customHeight="1">
      <c r="A371" s="1057"/>
      <c r="B371" s="1058"/>
      <c r="C371" s="1058"/>
      <c r="D371" s="1058"/>
      <c r="E371" s="1058"/>
      <c r="F371" s="1058"/>
      <c r="G371" s="1058"/>
      <c r="H371" s="1058"/>
      <c r="I371" s="1058"/>
      <c r="J371" s="1058"/>
      <c r="K371" s="1058"/>
      <c r="L371" s="1058"/>
      <c r="M371" s="1058"/>
      <c r="N371" s="1058"/>
      <c r="O371" s="1058"/>
      <c r="P371" s="1058"/>
      <c r="Q371" s="1059"/>
    </row>
    <row r="372" spans="1:32" ht="3.6" customHeight="1">
      <c r="A372" s="811"/>
      <c r="B372" s="162"/>
      <c r="C372" s="818"/>
      <c r="D372" s="818"/>
      <c r="E372" s="818"/>
      <c r="F372" s="818"/>
      <c r="G372" s="818"/>
      <c r="H372" s="818"/>
      <c r="I372" s="818"/>
      <c r="J372" s="818"/>
      <c r="K372" s="818"/>
      <c r="L372" s="818"/>
      <c r="M372" s="818"/>
      <c r="Q372" s="59"/>
    </row>
    <row r="373" spans="1:32" ht="13.9" customHeight="1">
      <c r="A373" s="820">
        <v>25</v>
      </c>
      <c r="B373" s="5" t="s">
        <v>3518</v>
      </c>
      <c r="C373" s="5"/>
      <c r="D373" s="104"/>
      <c r="E373" s="818"/>
      <c r="F373" s="818"/>
      <c r="G373" s="818"/>
      <c r="H373" s="818"/>
      <c r="I373" s="818"/>
      <c r="J373" s="818"/>
      <c r="K373" s="818"/>
      <c r="L373" s="818"/>
      <c r="M373" s="818"/>
      <c r="O373" s="163" t="s">
        <v>2571</v>
      </c>
      <c r="P373" s="1060"/>
      <c r="Q373" s="1063"/>
    </row>
    <row r="374" spans="1:32" s="1" customFormat="1" ht="23.45" customHeight="1">
      <c r="B374" s="174" t="s">
        <v>2693</v>
      </c>
      <c r="C374" s="1054" t="s">
        <v>162</v>
      </c>
      <c r="D374" s="1054"/>
      <c r="E374" s="1054"/>
      <c r="F374" s="1054"/>
      <c r="G374" s="1054"/>
      <c r="H374" s="1054"/>
      <c r="I374" s="1054"/>
      <c r="J374" s="1054"/>
      <c r="K374" s="1054"/>
      <c r="L374" s="1054"/>
      <c r="M374" s="199" t="s">
        <v>2693</v>
      </c>
      <c r="N374" s="1716" t="s">
        <v>2465</v>
      </c>
      <c r="O374" s="1717"/>
      <c r="P374" s="1052" t="s">
        <v>2465</v>
      </c>
      <c r="Q374" s="1053"/>
      <c r="AE374" s="6"/>
      <c r="AF374" s="6"/>
    </row>
    <row r="375" spans="1:32" s="1" customFormat="1" ht="12" customHeight="1">
      <c r="B375" s="54" t="s">
        <v>2696</v>
      </c>
      <c r="C375" s="140" t="s">
        <v>1</v>
      </c>
      <c r="D375" s="185"/>
      <c r="E375" s="185"/>
      <c r="G375" s="654" t="s">
        <v>2696</v>
      </c>
      <c r="H375" s="1678"/>
      <c r="I375" s="1679"/>
      <c r="J375" s="1679"/>
      <c r="K375" s="1679"/>
      <c r="L375" s="1679"/>
      <c r="M375" s="1679"/>
      <c r="N375" s="1679"/>
      <c r="O375" s="1679"/>
      <c r="P375" s="1680"/>
      <c r="Q375" s="210"/>
      <c r="AE375" s="6"/>
      <c r="AF375" s="6"/>
    </row>
    <row r="376" spans="1:32" s="1" customFormat="1" ht="12" customHeight="1">
      <c r="B376" s="54" t="s">
        <v>1053</v>
      </c>
      <c r="C376" s="38" t="s">
        <v>1854</v>
      </c>
      <c r="D376" s="12"/>
      <c r="E376" s="12"/>
      <c r="F376" s="12"/>
      <c r="G376" s="8"/>
      <c r="H376" s="8"/>
      <c r="I376" s="38"/>
      <c r="K376" s="8"/>
      <c r="L376" s="8"/>
      <c r="M376" s="8"/>
      <c r="O376" s="654" t="s">
        <v>1053</v>
      </c>
      <c r="P376" s="1625"/>
      <c r="Q376" s="210"/>
      <c r="AE376" s="6"/>
      <c r="AF376" s="6"/>
    </row>
    <row r="377" spans="1:32" ht="11.25" customHeight="1">
      <c r="B377" s="173" t="s">
        <v>2569</v>
      </c>
      <c r="D377" s="173"/>
      <c r="E377" s="173"/>
      <c r="F377" s="173"/>
      <c r="G377" s="173"/>
      <c r="H377" s="822"/>
      <c r="I377" s="162"/>
      <c r="J377" s="162"/>
      <c r="K377" s="162"/>
      <c r="L377" s="811"/>
      <c r="M377" s="811"/>
      <c r="N377" s="811"/>
      <c r="O377" s="811"/>
      <c r="P377" s="811"/>
      <c r="Q377" s="59"/>
    </row>
    <row r="378" spans="1:32" ht="11.45" customHeight="1">
      <c r="A378" s="1629" t="s">
        <v>4150</v>
      </c>
      <c r="B378" s="1630"/>
      <c r="C378" s="1630"/>
      <c r="D378" s="1630"/>
      <c r="E378" s="1630"/>
      <c r="F378" s="1630"/>
      <c r="G378" s="1630"/>
      <c r="H378" s="1630"/>
      <c r="I378" s="1630"/>
      <c r="J378" s="1630"/>
      <c r="K378" s="1630"/>
      <c r="L378" s="1630"/>
      <c r="M378" s="1630"/>
      <c r="N378" s="1630"/>
      <c r="O378" s="1630"/>
      <c r="P378" s="1630"/>
      <c r="Q378" s="1631"/>
      <c r="R378" s="615" t="s">
        <v>1676</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2570</v>
      </c>
      <c r="C380" s="170"/>
      <c r="D380" s="818"/>
      <c r="E380" s="818"/>
      <c r="F380" s="818"/>
      <c r="G380" s="818"/>
      <c r="H380" s="818"/>
      <c r="I380" s="818"/>
      <c r="J380" s="818"/>
      <c r="K380" s="818"/>
      <c r="L380" s="818"/>
      <c r="M380" s="818"/>
      <c r="N380" s="818"/>
      <c r="O380" s="818"/>
      <c r="P380" s="818"/>
      <c r="Q380" s="818"/>
    </row>
    <row r="381" spans="1:32" ht="11.45" customHeight="1">
      <c r="A381" s="1057"/>
      <c r="B381" s="1058"/>
      <c r="C381" s="1058"/>
      <c r="D381" s="1058"/>
      <c r="E381" s="1058"/>
      <c r="F381" s="1058"/>
      <c r="G381" s="1058"/>
      <c r="H381" s="1058"/>
      <c r="I381" s="1058"/>
      <c r="J381" s="1058"/>
      <c r="K381" s="1058"/>
      <c r="L381" s="1058"/>
      <c r="M381" s="1058"/>
      <c r="N381" s="1058"/>
      <c r="O381" s="1058"/>
      <c r="P381" s="1058"/>
      <c r="Q381" s="1059"/>
    </row>
    <row r="382" spans="1:32" ht="6" customHeight="1">
      <c r="A382" s="811"/>
      <c r="B382" s="162"/>
      <c r="C382" s="818"/>
      <c r="D382" s="818"/>
      <c r="E382" s="818"/>
      <c r="F382" s="818"/>
      <c r="G382" s="818"/>
      <c r="H382" s="818"/>
      <c r="I382" s="818"/>
      <c r="J382" s="818"/>
      <c r="K382" s="818"/>
      <c r="L382" s="818"/>
      <c r="M382" s="818"/>
      <c r="N382" s="818"/>
      <c r="O382" s="818"/>
      <c r="P382" s="818"/>
      <c r="Q382" s="811"/>
    </row>
    <row r="383" spans="1:32" ht="13.9" customHeight="1">
      <c r="A383" s="820">
        <v>26</v>
      </c>
      <c r="B383" s="5" t="s">
        <v>3504</v>
      </c>
      <c r="C383" s="5"/>
      <c r="D383" s="5"/>
      <c r="E383" s="818"/>
      <c r="G383" s="172" t="s">
        <v>889</v>
      </c>
      <c r="H383" s="818"/>
      <c r="I383" s="818"/>
      <c r="J383" s="818"/>
      <c r="K383" s="818"/>
      <c r="L383" s="818"/>
      <c r="M383" s="818"/>
      <c r="O383" s="163" t="s">
        <v>2571</v>
      </c>
      <c r="P383" s="1060"/>
      <c r="Q383" s="1061"/>
    </row>
    <row r="384" spans="1:32" ht="12" customHeight="1">
      <c r="A384" s="176"/>
      <c r="B384" s="54" t="s">
        <v>2693</v>
      </c>
      <c r="C384" s="61" t="s">
        <v>3523</v>
      </c>
      <c r="D384" s="607"/>
      <c r="E384" s="607"/>
      <c r="H384" s="172"/>
      <c r="O384" s="654" t="s">
        <v>2693</v>
      </c>
      <c r="P384" s="1625" t="s">
        <v>4068</v>
      </c>
      <c r="Q384" s="210"/>
    </row>
    <row r="385" spans="1:31" ht="12" customHeight="1">
      <c r="A385" s="176"/>
      <c r="B385" s="54" t="s">
        <v>2696</v>
      </c>
      <c r="C385" s="61" t="s">
        <v>3524</v>
      </c>
      <c r="D385" s="607"/>
      <c r="E385" s="607"/>
      <c r="O385" s="654" t="s">
        <v>2696</v>
      </c>
      <c r="P385" s="1625" t="s">
        <v>4063</v>
      </c>
      <c r="Q385" s="210"/>
    </row>
    <row r="386" spans="1:31" ht="12" customHeight="1">
      <c r="A386" s="176"/>
      <c r="B386" s="54" t="s">
        <v>1053</v>
      </c>
      <c r="C386" s="61" t="s">
        <v>3570</v>
      </c>
      <c r="D386" s="607"/>
      <c r="E386" s="607"/>
      <c r="O386" s="654" t="s">
        <v>1053</v>
      </c>
      <c r="P386" s="1625" t="s">
        <v>4063</v>
      </c>
      <c r="Q386" s="210"/>
    </row>
    <row r="387" spans="1:31" ht="12" customHeight="1">
      <c r="A387" s="176"/>
      <c r="B387" s="54" t="s">
        <v>2829</v>
      </c>
      <c r="C387" s="61" t="s">
        <v>3519</v>
      </c>
      <c r="E387" s="172"/>
      <c r="O387" s="654" t="s">
        <v>2829</v>
      </c>
      <c r="P387" s="1625" t="s">
        <v>4063</v>
      </c>
      <c r="Q387" s="210"/>
    </row>
    <row r="388" spans="1:31" ht="24" customHeight="1">
      <c r="B388" s="54" t="s">
        <v>2427</v>
      </c>
      <c r="C388" s="61" t="s">
        <v>2793</v>
      </c>
      <c r="E388" s="172"/>
      <c r="G388" s="654" t="s">
        <v>2427</v>
      </c>
      <c r="H388" s="1718" t="s">
        <v>4151</v>
      </c>
      <c r="I388" s="1719"/>
      <c r="J388" s="1719"/>
      <c r="K388" s="1719"/>
      <c r="L388" s="1719"/>
      <c r="M388" s="1719"/>
      <c r="N388" s="1719"/>
      <c r="O388" s="1720"/>
      <c r="P388" s="1625" t="s">
        <v>4068</v>
      </c>
      <c r="Q388" s="210"/>
    </row>
    <row r="389" spans="1:31" ht="11.25" customHeight="1">
      <c r="B389" s="173" t="s">
        <v>2569</v>
      </c>
      <c r="D389" s="173"/>
      <c r="E389" s="173"/>
      <c r="F389" s="173"/>
      <c r="G389" s="173"/>
      <c r="H389" s="822"/>
      <c r="I389" s="162"/>
      <c r="J389" s="162"/>
      <c r="K389" s="162"/>
      <c r="L389" s="811"/>
      <c r="M389" s="811"/>
      <c r="N389" s="811"/>
      <c r="O389" s="811"/>
      <c r="P389" s="811"/>
      <c r="Q389" s="59"/>
    </row>
    <row r="390" spans="1:31" ht="23.25" customHeight="1">
      <c r="A390" s="1629" t="s">
        <v>4152</v>
      </c>
      <c r="B390" s="1630"/>
      <c r="C390" s="1630"/>
      <c r="D390" s="1630"/>
      <c r="E390" s="1630"/>
      <c r="F390" s="1630"/>
      <c r="G390" s="1630"/>
      <c r="H390" s="1630"/>
      <c r="I390" s="1630"/>
      <c r="J390" s="1630"/>
      <c r="K390" s="1630"/>
      <c r="L390" s="1630"/>
      <c r="M390" s="1630"/>
      <c r="N390" s="1630"/>
      <c r="O390" s="1630"/>
      <c r="P390" s="1630"/>
      <c r="Q390" s="1631"/>
      <c r="U390" s="168"/>
      <c r="V390" s="168"/>
      <c r="W390" s="168"/>
      <c r="X390" s="168"/>
      <c r="Y390" s="168"/>
      <c r="Z390" s="168"/>
      <c r="AA390" s="168"/>
      <c r="AB390" s="168"/>
      <c r="AC390" s="168"/>
      <c r="AD390" s="168"/>
      <c r="AE390" s="656"/>
    </row>
    <row r="391" spans="1:31" ht="11.25" customHeight="1">
      <c r="B391" s="169" t="s">
        <v>2570</v>
      </c>
      <c r="C391" s="170"/>
      <c r="D391" s="818"/>
      <c r="E391" s="818"/>
      <c r="F391" s="818"/>
      <c r="G391" s="818"/>
      <c r="H391" s="818"/>
      <c r="I391" s="818"/>
      <c r="J391" s="818"/>
      <c r="K391" s="818"/>
      <c r="L391" s="818"/>
      <c r="M391" s="818"/>
      <c r="N391" s="818"/>
      <c r="O391" s="818"/>
      <c r="P391" s="818"/>
      <c r="Q391" s="818"/>
    </row>
    <row r="392" spans="1:31" ht="11.45" customHeight="1">
      <c r="A392" s="1057"/>
      <c r="B392" s="1058"/>
      <c r="C392" s="1058"/>
      <c r="D392" s="1058"/>
      <c r="E392" s="1058"/>
      <c r="F392" s="1058"/>
      <c r="G392" s="1058"/>
      <c r="H392" s="1058"/>
      <c r="I392" s="1058"/>
      <c r="J392" s="1058"/>
      <c r="K392" s="1058"/>
      <c r="L392" s="1058"/>
      <c r="M392" s="1058"/>
      <c r="N392" s="1058"/>
      <c r="O392" s="1058"/>
      <c r="P392" s="1058"/>
      <c r="Q392" s="1059"/>
    </row>
    <row r="393" spans="1:31" ht="6" customHeight="1">
      <c r="A393" s="811"/>
      <c r="B393" s="162"/>
      <c r="C393" s="818"/>
      <c r="D393" s="818"/>
      <c r="E393" s="818"/>
      <c r="F393" s="818"/>
      <c r="G393" s="818"/>
      <c r="H393" s="818"/>
      <c r="I393" s="818"/>
      <c r="J393" s="818"/>
      <c r="K393" s="818"/>
      <c r="L393" s="818"/>
      <c r="M393" s="818"/>
      <c r="N393" s="818"/>
      <c r="O393" s="818"/>
      <c r="P393" s="818"/>
      <c r="Q393" s="811"/>
    </row>
    <row r="394" spans="1:31" ht="13.9" customHeight="1">
      <c r="A394" s="820">
        <v>27</v>
      </c>
      <c r="B394" s="5" t="s">
        <v>3505</v>
      </c>
      <c r="C394" s="5"/>
      <c r="D394" s="5"/>
      <c r="E394" s="5"/>
      <c r="F394" s="5"/>
      <c r="G394" s="5"/>
      <c r="H394" s="818"/>
      <c r="I394" s="818"/>
      <c r="J394" s="818"/>
      <c r="K394" s="818"/>
      <c r="L394" s="818"/>
      <c r="M394" s="818"/>
      <c r="O394" s="163" t="s">
        <v>2571</v>
      </c>
      <c r="P394" s="1060"/>
      <c r="Q394" s="1061"/>
    </row>
    <row r="395" spans="1:31" ht="12" customHeight="1">
      <c r="A395" s="49"/>
      <c r="B395" s="54" t="s">
        <v>2693</v>
      </c>
      <c r="C395" s="47" t="s">
        <v>1056</v>
      </c>
      <c r="D395" s="49"/>
      <c r="E395" s="49"/>
      <c r="F395" s="49"/>
      <c r="G395" s="49"/>
      <c r="H395" s="49"/>
      <c r="I395" s="49"/>
      <c r="J395" s="49"/>
      <c r="K395" s="49"/>
      <c r="L395" s="49"/>
      <c r="M395" s="49"/>
      <c r="N395" s="49"/>
      <c r="O395" s="654" t="s">
        <v>2693</v>
      </c>
      <c r="P395" s="1625" t="s">
        <v>4068</v>
      </c>
      <c r="Q395" s="210"/>
    </row>
    <row r="396" spans="1:31" ht="12" customHeight="1">
      <c r="A396" s="49"/>
      <c r="B396" s="54" t="s">
        <v>2696</v>
      </c>
      <c r="C396" s="47" t="s">
        <v>2921</v>
      </c>
      <c r="D396" s="49"/>
      <c r="E396" s="49"/>
      <c r="F396" s="49"/>
      <c r="G396" s="49"/>
      <c r="H396" s="49"/>
      <c r="I396" s="49"/>
      <c r="J396" s="49"/>
      <c r="K396" s="49"/>
      <c r="L396" s="49"/>
      <c r="M396" s="49"/>
      <c r="N396" s="49"/>
      <c r="O396" s="654" t="s">
        <v>1890</v>
      </c>
      <c r="P396" s="1625" t="s">
        <v>4068</v>
      </c>
      <c r="Q396" s="210"/>
    </row>
    <row r="397" spans="1:31" ht="12" customHeight="1">
      <c r="A397" s="49"/>
      <c r="B397" s="54"/>
      <c r="C397" s="61" t="s">
        <v>1934</v>
      </c>
      <c r="D397" s="61"/>
      <c r="E397" s="61"/>
      <c r="F397" s="61"/>
      <c r="G397" s="61"/>
      <c r="H397" s="61"/>
      <c r="I397" s="61"/>
      <c r="J397" s="61"/>
      <c r="K397" s="61"/>
      <c r="L397" s="61"/>
      <c r="M397" s="61"/>
      <c r="N397" s="49"/>
    </row>
    <row r="398" spans="1:31" ht="12" customHeight="1">
      <c r="A398" s="49"/>
      <c r="B398" s="54"/>
      <c r="C398" s="61" t="s">
        <v>2922</v>
      </c>
      <c r="D398" s="61"/>
      <c r="E398" s="61"/>
      <c r="F398" s="61"/>
      <c r="G398" s="61"/>
      <c r="H398" s="61"/>
      <c r="I398" s="61"/>
      <c r="J398" s="61"/>
      <c r="K398" s="61"/>
      <c r="L398" s="61"/>
      <c r="M398" s="61"/>
      <c r="N398" s="49"/>
      <c r="O398" s="654" t="s">
        <v>2430</v>
      </c>
      <c r="P398" s="1625" t="s">
        <v>4063</v>
      </c>
      <c r="Q398" s="210"/>
    </row>
    <row r="399" spans="1:31" ht="12" customHeight="1">
      <c r="A399" s="49"/>
      <c r="B399" s="54" t="s">
        <v>1053</v>
      </c>
      <c r="C399" s="1036" t="s">
        <v>2920</v>
      </c>
      <c r="D399" s="1036"/>
      <c r="E399" s="1036"/>
      <c r="F399" s="1036"/>
      <c r="G399" s="1036"/>
      <c r="H399" s="1036"/>
      <c r="I399" s="1036"/>
      <c r="J399" s="1036"/>
      <c r="K399" s="1036"/>
      <c r="L399" s="1036"/>
      <c r="M399" s="1036"/>
      <c r="N399" s="1036"/>
      <c r="O399" s="654" t="s">
        <v>1053</v>
      </c>
      <c r="P399" s="1625" t="s">
        <v>4068</v>
      </c>
      <c r="Q399" s="210"/>
    </row>
    <row r="400" spans="1:31" ht="12" customHeight="1">
      <c r="A400" s="49"/>
      <c r="B400" s="54" t="s">
        <v>2829</v>
      </c>
      <c r="C400" s="38" t="s">
        <v>135</v>
      </c>
      <c r="D400" s="38"/>
      <c r="E400" s="38"/>
      <c r="F400" s="38"/>
      <c r="G400" s="38"/>
      <c r="H400" s="38"/>
      <c r="I400" s="38"/>
      <c r="J400" s="38"/>
      <c r="K400" s="38"/>
      <c r="L400" s="38"/>
      <c r="M400" s="38"/>
      <c r="N400" s="49"/>
      <c r="O400" s="654"/>
      <c r="P400" s="49"/>
      <c r="Q400" s="49"/>
    </row>
    <row r="401" spans="1:32" ht="12" customHeight="1">
      <c r="A401" s="49"/>
      <c r="B401" s="54"/>
      <c r="C401" s="166" t="s">
        <v>2923</v>
      </c>
      <c r="D401" s="44"/>
      <c r="E401" s="49"/>
      <c r="F401" s="38"/>
      <c r="G401" s="1570" t="s">
        <v>4124</v>
      </c>
      <c r="H401" s="767" t="s">
        <v>266</v>
      </c>
      <c r="J401" s="166" t="s">
        <v>2926</v>
      </c>
      <c r="K401" s="38"/>
      <c r="N401" s="1570" t="s">
        <v>4124</v>
      </c>
      <c r="O401" s="767" t="s">
        <v>266</v>
      </c>
    </row>
    <row r="402" spans="1:32" ht="12" customHeight="1">
      <c r="A402" s="49"/>
      <c r="B402" s="54"/>
      <c r="C402" s="166" t="s">
        <v>2924</v>
      </c>
      <c r="D402" s="44"/>
      <c r="E402" s="49"/>
      <c r="F402" s="38"/>
      <c r="G402" s="1576" t="s">
        <v>4124</v>
      </c>
      <c r="H402" s="768"/>
      <c r="J402" s="166" t="s">
        <v>2927</v>
      </c>
      <c r="K402" s="38"/>
      <c r="N402" s="1582">
        <v>12</v>
      </c>
      <c r="O402" s="769"/>
    </row>
    <row r="403" spans="1:32" ht="12" customHeight="1">
      <c r="A403" s="49"/>
      <c r="B403" s="54"/>
      <c r="C403" s="166" t="s">
        <v>2925</v>
      </c>
      <c r="D403" s="44"/>
      <c r="E403" s="49"/>
      <c r="F403" s="38"/>
      <c r="G403" s="1582" t="s">
        <v>4124</v>
      </c>
      <c r="H403" s="769" t="s">
        <v>266</v>
      </c>
      <c r="K403" s="38"/>
      <c r="L403" s="38"/>
      <c r="M403" s="38"/>
      <c r="N403" s="49"/>
      <c r="O403" s="654"/>
    </row>
    <row r="404" spans="1:32" ht="12" customHeight="1">
      <c r="A404" s="49"/>
      <c r="B404" s="54" t="s">
        <v>2427</v>
      </c>
      <c r="C404" s="38" t="s">
        <v>3141</v>
      </c>
      <c r="D404" s="38"/>
      <c r="E404" s="38"/>
      <c r="F404" s="38"/>
      <c r="G404" s="38"/>
      <c r="J404" s="49"/>
      <c r="K404" s="38"/>
      <c r="L404" s="38"/>
      <c r="M404" s="38"/>
      <c r="N404" s="49"/>
      <c r="O404" s="654"/>
      <c r="P404" s="654"/>
      <c r="Q404" s="654"/>
    </row>
    <row r="405" spans="1:32" ht="12" customHeight="1">
      <c r="A405" s="49"/>
      <c r="B405" s="54"/>
      <c r="C405" s="578" t="s">
        <v>2928</v>
      </c>
      <c r="D405" s="38"/>
      <c r="E405" s="38"/>
      <c r="F405" s="38"/>
      <c r="G405" s="1682" t="s">
        <v>4068</v>
      </c>
      <c r="H405" s="324"/>
      <c r="J405" s="578" t="s">
        <v>1596</v>
      </c>
      <c r="K405" s="38"/>
      <c r="N405" s="1707" t="s">
        <v>4068</v>
      </c>
      <c r="O405" s="679"/>
    </row>
    <row r="406" spans="1:32" ht="12" customHeight="1">
      <c r="A406" s="49"/>
      <c r="B406" s="54"/>
      <c r="C406" s="578" t="s">
        <v>1595</v>
      </c>
      <c r="D406" s="38"/>
      <c r="E406" s="38"/>
      <c r="F406" s="38"/>
      <c r="G406" s="1684" t="s">
        <v>4068</v>
      </c>
      <c r="H406" s="325"/>
      <c r="J406" s="578" t="s">
        <v>2980</v>
      </c>
      <c r="N406" s="1721" t="s">
        <v>4153</v>
      </c>
      <c r="O406" s="1722"/>
      <c r="P406" s="1722"/>
      <c r="Q406" s="1723"/>
    </row>
    <row r="407" spans="1:32" ht="12" customHeight="1">
      <c r="B407" s="173" t="s">
        <v>2569</v>
      </c>
      <c r="D407" s="173"/>
      <c r="E407" s="173"/>
      <c r="F407" s="173"/>
      <c r="G407" s="173"/>
      <c r="H407" s="822"/>
      <c r="I407" s="162"/>
      <c r="J407" s="162"/>
      <c r="K407" s="162"/>
      <c r="P407" s="811"/>
      <c r="Q407" s="59"/>
    </row>
    <row r="408" spans="1:32" ht="12" customHeight="1">
      <c r="A408" s="1629" t="s">
        <v>4154</v>
      </c>
      <c r="B408" s="1630"/>
      <c r="C408" s="1630"/>
      <c r="D408" s="1630"/>
      <c r="E408" s="1630"/>
      <c r="F408" s="1630"/>
      <c r="G408" s="1630"/>
      <c r="H408" s="1630"/>
      <c r="I408" s="1630"/>
      <c r="J408" s="1630"/>
      <c r="K408" s="1630"/>
      <c r="L408" s="1630"/>
      <c r="M408" s="1630"/>
      <c r="N408" s="1630"/>
      <c r="O408" s="1630"/>
      <c r="P408" s="1630"/>
      <c r="Q408" s="1631"/>
      <c r="U408" s="168"/>
      <c r="V408" s="168"/>
      <c r="W408" s="168"/>
      <c r="X408" s="168"/>
      <c r="Y408" s="168"/>
      <c r="Z408" s="168"/>
      <c r="AA408" s="168"/>
      <c r="AB408" s="168"/>
      <c r="AC408" s="168"/>
      <c r="AD408" s="168"/>
      <c r="AE408" s="656"/>
    </row>
    <row r="409" spans="1:32" ht="12" customHeight="1">
      <c r="B409" s="169" t="s">
        <v>2570</v>
      </c>
      <c r="C409" s="170"/>
      <c r="D409" s="818"/>
      <c r="E409" s="818"/>
      <c r="F409" s="818"/>
      <c r="G409" s="818"/>
      <c r="H409" s="818"/>
      <c r="I409" s="818"/>
      <c r="J409" s="818"/>
      <c r="K409" s="818"/>
      <c r="L409" s="818"/>
      <c r="M409" s="818"/>
      <c r="N409" s="818"/>
      <c r="O409" s="818"/>
      <c r="P409" s="818"/>
      <c r="Q409" s="818"/>
    </row>
    <row r="410" spans="1:32" ht="12" customHeight="1">
      <c r="A410" s="1057"/>
      <c r="B410" s="1058"/>
      <c r="C410" s="1058"/>
      <c r="D410" s="1058"/>
      <c r="E410" s="1058"/>
      <c r="F410" s="1058"/>
      <c r="G410" s="1058"/>
      <c r="H410" s="1058"/>
      <c r="I410" s="1058"/>
      <c r="J410" s="1058"/>
      <c r="K410" s="1058"/>
      <c r="L410" s="1058"/>
      <c r="M410" s="1058"/>
      <c r="N410" s="1058"/>
      <c r="O410" s="1058"/>
      <c r="P410" s="1058"/>
      <c r="Q410" s="1059"/>
    </row>
    <row r="411" spans="1:32" ht="7.15" customHeight="1">
      <c r="A411" s="811"/>
      <c r="B411" s="162"/>
      <c r="C411" s="818"/>
      <c r="D411" s="818"/>
      <c r="E411" s="818"/>
      <c r="F411" s="818"/>
      <c r="G411" s="818"/>
      <c r="H411" s="818"/>
      <c r="I411" s="818"/>
      <c r="J411" s="818"/>
      <c r="K411" s="818"/>
      <c r="L411" s="818"/>
      <c r="M411" s="818"/>
      <c r="Q411" s="59"/>
    </row>
    <row r="412" spans="1:32" ht="13.9" customHeight="1">
      <c r="A412" s="820">
        <v>28</v>
      </c>
      <c r="B412" s="5" t="s">
        <v>3506</v>
      </c>
      <c r="C412" s="5"/>
      <c r="D412" s="104"/>
      <c r="E412" s="818"/>
      <c r="F412" s="818"/>
      <c r="G412" s="818"/>
      <c r="H412" s="818"/>
      <c r="O412" s="163" t="s">
        <v>2571</v>
      </c>
      <c r="P412" s="1060"/>
      <c r="Q412" s="1063"/>
    </row>
    <row r="413" spans="1:32" s="164" customFormat="1" ht="21.75" customHeight="1">
      <c r="B413" s="174" t="s">
        <v>2693</v>
      </c>
      <c r="C413" s="1051" t="s">
        <v>3559</v>
      </c>
      <c r="D413" s="1051"/>
      <c r="E413" s="1051"/>
      <c r="F413" s="1051"/>
      <c r="G413" s="1051"/>
      <c r="H413" s="1051"/>
      <c r="I413" s="1051"/>
      <c r="J413" s="1051"/>
      <c r="K413" s="1051"/>
      <c r="L413" s="1051"/>
      <c r="M413" s="1051"/>
      <c r="N413" s="1051"/>
      <c r="O413" s="199" t="s">
        <v>2693</v>
      </c>
      <c r="P413" s="1674" t="s">
        <v>4109</v>
      </c>
      <c r="Q413" s="323"/>
      <c r="AE413" s="657"/>
      <c r="AF413" s="657"/>
    </row>
    <row r="414" spans="1:32" s="164" customFormat="1" ht="21.75" customHeight="1">
      <c r="B414" s="174" t="s">
        <v>2696</v>
      </c>
      <c r="C414" s="1051" t="s">
        <v>3560</v>
      </c>
      <c r="D414" s="1051"/>
      <c r="E414" s="1051"/>
      <c r="F414" s="1051"/>
      <c r="G414" s="1051"/>
      <c r="H414" s="1051"/>
      <c r="I414" s="1051"/>
      <c r="J414" s="1051"/>
      <c r="K414" s="1051"/>
      <c r="L414" s="1051"/>
      <c r="M414" s="1051"/>
      <c r="N414" s="1051"/>
      <c r="O414" s="199" t="s">
        <v>2696</v>
      </c>
      <c r="P414" s="1674" t="s">
        <v>4109</v>
      </c>
      <c r="Q414" s="323"/>
      <c r="AE414" s="657"/>
      <c r="AF414" s="657"/>
    </row>
    <row r="415" spans="1:32" s="164" customFormat="1" ht="21.75" customHeight="1">
      <c r="B415" s="174" t="s">
        <v>1053</v>
      </c>
      <c r="C415" s="1051" t="s">
        <v>3561</v>
      </c>
      <c r="D415" s="1051"/>
      <c r="E415" s="1051"/>
      <c r="F415" s="1051"/>
      <c r="G415" s="1051"/>
      <c r="H415" s="1051"/>
      <c r="I415" s="1051"/>
      <c r="J415" s="1051"/>
      <c r="K415" s="1051"/>
      <c r="L415" s="1051"/>
      <c r="M415" s="1051"/>
      <c r="N415" s="1051"/>
      <c r="O415" s="199" t="s">
        <v>1053</v>
      </c>
      <c r="P415" s="1674" t="s">
        <v>4109</v>
      </c>
      <c r="Q415" s="323"/>
      <c r="AE415" s="657"/>
      <c r="AF415" s="657"/>
    </row>
    <row r="416" spans="1:32" s="164" customFormat="1" ht="33.75" customHeight="1">
      <c r="B416" s="174" t="s">
        <v>2829</v>
      </c>
      <c r="C416" s="1051" t="s">
        <v>3562</v>
      </c>
      <c r="D416" s="1051"/>
      <c r="E416" s="1051"/>
      <c r="F416" s="1051"/>
      <c r="G416" s="1051"/>
      <c r="H416" s="1051"/>
      <c r="I416" s="1051"/>
      <c r="J416" s="1051"/>
      <c r="K416" s="1051"/>
      <c r="L416" s="1051"/>
      <c r="M416" s="1051"/>
      <c r="N416" s="1051"/>
      <c r="O416" s="199" t="s">
        <v>2829</v>
      </c>
      <c r="P416" s="1674" t="s">
        <v>4109</v>
      </c>
      <c r="Q416" s="323"/>
      <c r="AE416" s="657"/>
      <c r="AF416" s="657"/>
    </row>
    <row r="417" spans="1:32" s="164" customFormat="1" ht="34.5" customHeight="1">
      <c r="B417" s="174" t="s">
        <v>2427</v>
      </c>
      <c r="C417" s="1051" t="s">
        <v>3563</v>
      </c>
      <c r="D417" s="1051"/>
      <c r="E417" s="1051"/>
      <c r="F417" s="1051"/>
      <c r="G417" s="1051"/>
      <c r="H417" s="1051"/>
      <c r="I417" s="1051"/>
      <c r="J417" s="1051"/>
      <c r="K417" s="1051"/>
      <c r="L417" s="1051"/>
      <c r="M417" s="1051"/>
      <c r="N417" s="1051"/>
      <c r="O417" s="199" t="s">
        <v>2427</v>
      </c>
      <c r="P417" s="1674" t="s">
        <v>4109</v>
      </c>
      <c r="Q417" s="323"/>
      <c r="AE417" s="657"/>
      <c r="AF417" s="657"/>
    </row>
    <row r="418" spans="1:32" s="164" customFormat="1" ht="21.75" customHeight="1">
      <c r="B418" s="174" t="s">
        <v>2428</v>
      </c>
      <c r="C418" s="1051" t="s">
        <v>3564</v>
      </c>
      <c r="D418" s="1051"/>
      <c r="E418" s="1051"/>
      <c r="F418" s="1051"/>
      <c r="G418" s="1051"/>
      <c r="H418" s="1051"/>
      <c r="I418" s="1051"/>
      <c r="J418" s="1051"/>
      <c r="K418" s="1051"/>
      <c r="L418" s="1051"/>
      <c r="M418" s="1051"/>
      <c r="N418" s="1051"/>
      <c r="O418" s="199" t="s">
        <v>2428</v>
      </c>
      <c r="P418" s="1674" t="s">
        <v>4109</v>
      </c>
      <c r="Q418" s="323"/>
      <c r="AE418" s="657"/>
      <c r="AF418" s="657"/>
    </row>
    <row r="419" spans="1:32" ht="11.25" customHeight="1">
      <c r="B419" s="173" t="s">
        <v>2569</v>
      </c>
      <c r="D419" s="173"/>
      <c r="E419" s="173"/>
      <c r="F419" s="173"/>
      <c r="G419" s="173"/>
      <c r="H419" s="822"/>
      <c r="I419" s="162"/>
      <c r="J419" s="162"/>
      <c r="K419" s="162"/>
      <c r="L419" s="811"/>
      <c r="M419" s="811"/>
      <c r="N419" s="811"/>
      <c r="O419" s="811"/>
      <c r="P419" s="811"/>
      <c r="Q419" s="59"/>
    </row>
    <row r="420" spans="1:32" ht="11.45" customHeight="1">
      <c r="A420" s="1629" t="s">
        <v>4155</v>
      </c>
      <c r="B420" s="1630"/>
      <c r="C420" s="1630"/>
      <c r="D420" s="1630"/>
      <c r="E420" s="1630"/>
      <c r="F420" s="1630"/>
      <c r="G420" s="1630"/>
      <c r="H420" s="1630"/>
      <c r="I420" s="1630"/>
      <c r="J420" s="1630"/>
      <c r="K420" s="1630"/>
      <c r="L420" s="1630"/>
      <c r="M420" s="1630"/>
      <c r="N420" s="1630"/>
      <c r="O420" s="1630"/>
      <c r="P420" s="1630"/>
      <c r="Q420" s="1631"/>
      <c r="R420" s="614" t="s">
        <v>1676</v>
      </c>
      <c r="S420" s="615"/>
      <c r="U420" s="168"/>
      <c r="V420" s="168"/>
      <c r="W420" s="168"/>
      <c r="X420" s="168"/>
      <c r="Y420" s="168"/>
      <c r="Z420" s="168"/>
      <c r="AA420" s="168"/>
      <c r="AB420" s="168"/>
      <c r="AC420" s="168"/>
      <c r="AD420" s="168"/>
      <c r="AE420" s="656"/>
    </row>
    <row r="421" spans="1:32" ht="11.25" customHeight="1">
      <c r="B421" s="169" t="s">
        <v>2570</v>
      </c>
      <c r="C421" s="170"/>
      <c r="D421" s="818"/>
      <c r="E421" s="818"/>
      <c r="F421" s="818"/>
      <c r="G421" s="818"/>
      <c r="H421" s="818"/>
      <c r="I421" s="818"/>
      <c r="J421" s="818"/>
      <c r="K421" s="818"/>
      <c r="L421" s="818"/>
      <c r="M421" s="818"/>
      <c r="N421" s="818"/>
      <c r="O421" s="818"/>
      <c r="P421" s="818"/>
      <c r="Q421" s="818"/>
    </row>
    <row r="422" spans="1:32" ht="11.45" customHeight="1">
      <c r="A422" s="1057"/>
      <c r="B422" s="1058"/>
      <c r="C422" s="1058"/>
      <c r="D422" s="1058"/>
      <c r="E422" s="1058"/>
      <c r="F422" s="1058"/>
      <c r="G422" s="1058"/>
      <c r="H422" s="1058"/>
      <c r="I422" s="1058"/>
      <c r="J422" s="1058"/>
      <c r="K422" s="1058"/>
      <c r="L422" s="1058"/>
      <c r="M422" s="1058"/>
      <c r="N422" s="1058"/>
      <c r="O422" s="1058"/>
      <c r="P422" s="1058"/>
      <c r="Q422" s="1059"/>
    </row>
    <row r="423" spans="1:32" ht="7.15" customHeight="1">
      <c r="A423" s="811"/>
      <c r="B423" s="162"/>
      <c r="C423" s="818"/>
      <c r="D423" s="818"/>
      <c r="E423" s="818"/>
      <c r="F423" s="818"/>
      <c r="G423" s="818"/>
      <c r="H423" s="818"/>
      <c r="I423" s="818"/>
      <c r="J423" s="818"/>
      <c r="K423" s="818"/>
      <c r="L423" s="818"/>
      <c r="M423" s="818"/>
      <c r="Q423" s="59"/>
    </row>
    <row r="424" spans="1:32" ht="13.9" customHeight="1">
      <c r="A424" s="820">
        <v>29</v>
      </c>
      <c r="B424" s="5" t="s">
        <v>3507</v>
      </c>
      <c r="C424" s="5"/>
      <c r="D424" s="104"/>
      <c r="E424" s="818"/>
      <c r="F424" s="818"/>
      <c r="G424" s="818"/>
      <c r="H424" s="818"/>
      <c r="I424" s="818"/>
      <c r="J424" s="818"/>
      <c r="K424" s="818"/>
      <c r="L424" s="818"/>
      <c r="M424" s="818"/>
      <c r="O424" s="163" t="s">
        <v>2571</v>
      </c>
      <c r="P424" s="1060"/>
      <c r="Q424" s="1063"/>
    </row>
    <row r="425" spans="1:32" ht="11.25" customHeight="1">
      <c r="A425" s="820"/>
      <c r="B425" s="173" t="s">
        <v>2569</v>
      </c>
      <c r="D425" s="173"/>
      <c r="E425" s="173"/>
      <c r="F425" s="173"/>
      <c r="G425" s="173"/>
      <c r="H425" s="822"/>
      <c r="I425" s="162"/>
      <c r="J425" s="162"/>
      <c r="K425" s="162"/>
      <c r="L425" s="811"/>
      <c r="M425" s="811"/>
      <c r="N425" s="811"/>
      <c r="O425" s="811"/>
      <c r="P425" s="811"/>
      <c r="Q425" s="59"/>
    </row>
    <row r="426" spans="1:32" ht="15.75">
      <c r="A426" s="1629" t="s">
        <v>4156</v>
      </c>
      <c r="B426" s="1630"/>
      <c r="C426" s="1630"/>
      <c r="D426" s="1630"/>
      <c r="E426" s="1630"/>
      <c r="F426" s="1630"/>
      <c r="G426" s="1630"/>
      <c r="H426" s="1630"/>
      <c r="I426" s="1630"/>
      <c r="J426" s="1630"/>
      <c r="K426" s="1630"/>
      <c r="L426" s="1630"/>
      <c r="M426" s="1630"/>
      <c r="N426" s="1630"/>
      <c r="O426" s="1630"/>
      <c r="P426" s="1630"/>
      <c r="Q426" s="1631"/>
      <c r="R426" s="614" t="s">
        <v>1676</v>
      </c>
      <c r="S426" s="615"/>
      <c r="U426" s="168"/>
      <c r="V426" s="168"/>
      <c r="W426" s="168"/>
      <c r="X426" s="168"/>
      <c r="Y426" s="168"/>
      <c r="Z426" s="168"/>
      <c r="AA426" s="168"/>
      <c r="AB426" s="168"/>
      <c r="AC426" s="168"/>
      <c r="AD426" s="168"/>
      <c r="AE426" s="656"/>
    </row>
    <row r="427" spans="1:32" ht="11.25" customHeight="1">
      <c r="B427" s="169" t="s">
        <v>2570</v>
      </c>
      <c r="C427" s="170"/>
      <c r="D427" s="818"/>
      <c r="E427" s="818"/>
      <c r="F427" s="818"/>
      <c r="G427" s="818"/>
      <c r="H427" s="818"/>
      <c r="I427" s="818"/>
      <c r="J427" s="818"/>
      <c r="K427" s="818"/>
      <c r="L427" s="818"/>
      <c r="M427" s="818"/>
      <c r="N427" s="818"/>
      <c r="O427" s="818"/>
      <c r="P427" s="818"/>
      <c r="Q427" s="818"/>
    </row>
    <row r="428" spans="1:32" ht="21.75" customHeight="1">
      <c r="A428" s="1057"/>
      <c r="B428" s="1058"/>
      <c r="C428" s="1058"/>
      <c r="D428" s="1058"/>
      <c r="E428" s="1058"/>
      <c r="F428" s="1058"/>
      <c r="G428" s="1058"/>
      <c r="H428" s="1058"/>
      <c r="I428" s="1058"/>
      <c r="J428" s="1058"/>
      <c r="K428" s="1058"/>
      <c r="L428" s="1058"/>
      <c r="M428" s="1058"/>
      <c r="N428" s="1058"/>
      <c r="O428" s="1058"/>
      <c r="P428" s="1058"/>
      <c r="Q428" s="1059"/>
    </row>
    <row r="429" spans="1:32" ht="3" customHeight="1">
      <c r="A429" s="811"/>
      <c r="B429" s="162"/>
      <c r="C429" s="818"/>
      <c r="D429" s="818"/>
      <c r="E429" s="818"/>
      <c r="F429" s="818"/>
      <c r="G429" s="818"/>
      <c r="H429" s="818"/>
      <c r="I429" s="818"/>
      <c r="J429" s="818"/>
      <c r="K429" s="818"/>
      <c r="L429" s="818"/>
      <c r="M429" s="818"/>
      <c r="N429" s="818"/>
      <c r="O429" s="818"/>
      <c r="P429" s="818"/>
      <c r="Q429" s="811"/>
    </row>
    <row r="430" spans="1:32" s="181" customFormat="1" ht="8.4499999999999993" customHeight="1">
      <c r="A430" s="811"/>
      <c r="B430" s="162"/>
      <c r="C430" s="818"/>
      <c r="D430" s="818"/>
      <c r="E430" s="818"/>
      <c r="F430" s="818"/>
      <c r="G430" s="818"/>
      <c r="H430" s="818"/>
      <c r="I430" s="818"/>
      <c r="J430" s="818"/>
      <c r="K430" s="818"/>
      <c r="L430" s="818"/>
      <c r="M430" s="818"/>
      <c r="AE430" s="658"/>
      <c r="AF430" s="658"/>
    </row>
    <row r="431" spans="1:32" s="181" customFormat="1" ht="3" customHeight="1">
      <c r="A431" s="811"/>
      <c r="B431" s="162"/>
      <c r="C431" s="818"/>
      <c r="D431" s="818"/>
      <c r="E431" s="818"/>
      <c r="F431" s="818"/>
      <c r="G431" s="818"/>
      <c r="H431" s="818"/>
      <c r="I431" s="818"/>
      <c r="J431" s="818"/>
      <c r="K431" s="818"/>
      <c r="L431" s="818"/>
      <c r="M431" s="818"/>
      <c r="N431" s="818"/>
      <c r="O431" s="818"/>
      <c r="P431" s="818"/>
      <c r="Q431" s="811"/>
      <c r="AE431" s="658"/>
      <c r="AF431" s="658"/>
    </row>
    <row r="432" spans="1:32" s="181" customFormat="1" ht="12" customHeight="1">
      <c r="A432" s="1724"/>
      <c r="B432" s="1724"/>
      <c r="C432" s="1724"/>
      <c r="D432" s="1724"/>
      <c r="E432" s="1724"/>
      <c r="F432" s="1724"/>
      <c r="G432" s="1724"/>
      <c r="H432" s="1724"/>
      <c r="I432" s="1724"/>
      <c r="J432" s="1724"/>
      <c r="K432" s="1724"/>
      <c r="L432" s="1724"/>
      <c r="M432" s="1724"/>
      <c r="N432" s="1724"/>
      <c r="O432" s="1724"/>
      <c r="P432" s="1724"/>
      <c r="Q432" s="1724"/>
      <c r="AE432" s="658"/>
      <c r="AF432" s="658"/>
    </row>
    <row r="433" spans="1:32" s="181" customFormat="1" ht="12" customHeight="1">
      <c r="A433" s="1724"/>
      <c r="B433" s="1724"/>
      <c r="C433" s="1724"/>
      <c r="D433" s="1724"/>
      <c r="E433" s="1724"/>
      <c r="F433" s="1724"/>
      <c r="G433" s="1724"/>
      <c r="H433" s="1724"/>
      <c r="I433" s="1724"/>
      <c r="J433" s="1724"/>
      <c r="K433" s="1724"/>
      <c r="L433" s="1724"/>
      <c r="M433" s="1724"/>
      <c r="N433" s="1724"/>
      <c r="O433" s="1724"/>
      <c r="P433" s="1724"/>
      <c r="Q433" s="1724"/>
      <c r="AE433" s="658"/>
      <c r="AF433" s="658"/>
    </row>
    <row r="434" spans="1:32" s="181" customFormat="1" ht="12" customHeight="1">
      <c r="A434" s="1724"/>
      <c r="B434" s="1724"/>
      <c r="C434" s="1724"/>
      <c r="D434" s="1724"/>
      <c r="E434" s="1724"/>
      <c r="F434" s="1724"/>
      <c r="G434" s="1724"/>
      <c r="H434" s="1724"/>
      <c r="I434" s="1724"/>
      <c r="J434" s="1724"/>
      <c r="K434" s="1724"/>
      <c r="L434" s="1724"/>
      <c r="M434" s="1724"/>
      <c r="N434" s="1724"/>
      <c r="O434" s="1724"/>
      <c r="P434" s="1724"/>
      <c r="Q434" s="1724"/>
      <c r="AE434" s="658"/>
      <c r="AF434" s="658"/>
    </row>
    <row r="435" spans="1:32" s="181" customFormat="1" ht="12" customHeight="1">
      <c r="A435" s="1724"/>
      <c r="B435" s="1724"/>
      <c r="C435" s="1724"/>
      <c r="D435" s="1724"/>
      <c r="E435" s="1724"/>
      <c r="F435" s="1724"/>
      <c r="G435" s="1724"/>
      <c r="H435" s="1724"/>
      <c r="I435" s="1724"/>
      <c r="J435" s="1724"/>
      <c r="K435" s="1724"/>
      <c r="L435" s="1724"/>
      <c r="M435" s="1724"/>
      <c r="N435" s="1724"/>
      <c r="O435" s="1724"/>
      <c r="P435" s="1724"/>
      <c r="Q435" s="1724"/>
      <c r="AE435" s="658"/>
      <c r="AF435" s="658"/>
    </row>
    <row r="436" spans="1:32" s="181" customFormat="1" ht="12" customHeight="1">
      <c r="A436" s="1724"/>
      <c r="B436" s="1724"/>
      <c r="C436" s="1724"/>
      <c r="D436" s="1724"/>
      <c r="E436" s="1724"/>
      <c r="F436" s="1724"/>
      <c r="G436" s="1724"/>
      <c r="H436" s="1724"/>
      <c r="I436" s="1724"/>
      <c r="J436" s="1724"/>
      <c r="K436" s="1724"/>
      <c r="L436" s="1724"/>
      <c r="M436" s="1724"/>
      <c r="N436" s="1724"/>
      <c r="O436" s="1724"/>
      <c r="P436" s="1724"/>
      <c r="Q436" s="1724"/>
      <c r="AE436" s="658"/>
      <c r="AF436" s="658"/>
    </row>
    <row r="437" spans="1:32" s="181" customFormat="1" ht="12" customHeight="1">
      <c r="A437" s="1724"/>
      <c r="B437" s="1724"/>
      <c r="C437" s="1724"/>
      <c r="D437" s="1724"/>
      <c r="E437" s="1724"/>
      <c r="F437" s="1724"/>
      <c r="G437" s="1724"/>
      <c r="H437" s="1724"/>
      <c r="I437" s="1724"/>
      <c r="J437" s="1724"/>
      <c r="K437" s="1724"/>
      <c r="L437" s="1724"/>
      <c r="M437" s="1724"/>
      <c r="N437" s="1724"/>
      <c r="O437" s="1724"/>
      <c r="P437" s="1724"/>
      <c r="Q437" s="1724"/>
      <c r="AE437" s="658"/>
      <c r="AF437" s="658"/>
    </row>
    <row r="438" spans="1:32" s="181" customFormat="1" ht="12" customHeight="1">
      <c r="A438" s="1724"/>
      <c r="B438" s="1724"/>
      <c r="C438" s="1724"/>
      <c r="D438" s="1724"/>
      <c r="E438" s="1724"/>
      <c r="F438" s="1724"/>
      <c r="G438" s="1724"/>
      <c r="H438" s="1724"/>
      <c r="I438" s="1724"/>
      <c r="J438" s="1724"/>
      <c r="K438" s="1724"/>
      <c r="L438" s="1724"/>
      <c r="M438" s="1724"/>
      <c r="N438" s="1724"/>
      <c r="O438" s="1724"/>
      <c r="P438" s="1724"/>
      <c r="Q438" s="1724"/>
      <c r="AE438" s="658"/>
      <c r="AF438" s="658"/>
    </row>
    <row r="439" spans="1:32" s="181" customFormat="1" ht="12" customHeight="1">
      <c r="A439" s="1724"/>
      <c r="B439" s="1724"/>
      <c r="C439" s="1724"/>
      <c r="D439" s="1724"/>
      <c r="E439" s="1724"/>
      <c r="F439" s="1724"/>
      <c r="G439" s="1724"/>
      <c r="H439" s="1724"/>
      <c r="I439" s="1724"/>
      <c r="J439" s="1724"/>
      <c r="K439" s="1724"/>
      <c r="L439" s="1724"/>
      <c r="M439" s="1724"/>
      <c r="N439" s="1724"/>
      <c r="O439" s="1724"/>
      <c r="P439" s="1724"/>
      <c r="Q439" s="1724"/>
      <c r="AE439" s="658"/>
      <c r="AF439" s="658"/>
    </row>
    <row r="440" spans="1:32" s="181" customFormat="1" ht="12" customHeight="1">
      <c r="A440" s="1724"/>
      <c r="B440" s="1724"/>
      <c r="C440" s="1724"/>
      <c r="D440" s="1724"/>
      <c r="E440" s="1724"/>
      <c r="F440" s="1724"/>
      <c r="G440" s="1724"/>
      <c r="H440" s="1724"/>
      <c r="I440" s="1724"/>
      <c r="J440" s="1724"/>
      <c r="K440" s="1724"/>
      <c r="L440" s="1724"/>
      <c r="M440" s="1724"/>
      <c r="N440" s="1724"/>
      <c r="O440" s="1724"/>
      <c r="P440" s="1724"/>
      <c r="Q440" s="1724"/>
      <c r="AE440" s="658"/>
      <c r="AF440" s="658"/>
    </row>
    <row r="441" spans="1:32" s="181" customFormat="1" ht="12" customHeight="1">
      <c r="A441" s="1724"/>
      <c r="B441" s="1724"/>
      <c r="C441" s="1724"/>
      <c r="D441" s="1724"/>
      <c r="E441" s="1724"/>
      <c r="F441" s="1724"/>
      <c r="G441" s="1724"/>
      <c r="H441" s="1724"/>
      <c r="I441" s="1724"/>
      <c r="J441" s="1724"/>
      <c r="K441" s="1724"/>
      <c r="L441" s="1724"/>
      <c r="M441" s="1724"/>
      <c r="N441" s="1724"/>
      <c r="O441" s="1724"/>
      <c r="P441" s="1724"/>
      <c r="Q441" s="1724"/>
      <c r="AE441" s="658"/>
      <c r="AF441" s="658"/>
    </row>
    <row r="442" spans="1:32" s="181" customFormat="1" ht="12" customHeight="1">
      <c r="A442" s="1724"/>
      <c r="B442" s="1724"/>
      <c r="C442" s="1724"/>
      <c r="D442" s="1724"/>
      <c r="E442" s="1724"/>
      <c r="F442" s="1724"/>
      <c r="G442" s="1724"/>
      <c r="H442" s="1724"/>
      <c r="I442" s="1724"/>
      <c r="J442" s="1724"/>
      <c r="K442" s="1724"/>
      <c r="L442" s="1724"/>
      <c r="M442" s="1724"/>
      <c r="N442" s="1724"/>
      <c r="O442" s="1724"/>
      <c r="P442" s="1724"/>
      <c r="Q442" s="1724"/>
      <c r="AE442" s="658"/>
      <c r="AF442" s="658"/>
    </row>
    <row r="443" spans="1:32" s="181" customFormat="1" ht="12" customHeight="1">
      <c r="A443" s="1724"/>
      <c r="B443" s="1724"/>
      <c r="C443" s="1724"/>
      <c r="D443" s="1724"/>
      <c r="E443" s="1724"/>
      <c r="F443" s="1724"/>
      <c r="G443" s="1724"/>
      <c r="H443" s="1724"/>
      <c r="I443" s="1724"/>
      <c r="J443" s="1724"/>
      <c r="K443" s="1724"/>
      <c r="L443" s="1724"/>
      <c r="M443" s="1724"/>
      <c r="N443" s="1724"/>
      <c r="O443" s="1724"/>
      <c r="P443" s="1724"/>
      <c r="Q443" s="1724"/>
      <c r="AE443" s="658"/>
      <c r="AF443" s="658"/>
    </row>
    <row r="444" spans="1:32" s="181" customFormat="1" ht="12" customHeight="1">
      <c r="A444" s="1724"/>
      <c r="B444" s="1724"/>
      <c r="C444" s="1724"/>
      <c r="D444" s="1724"/>
      <c r="E444" s="1724"/>
      <c r="F444" s="1724"/>
      <c r="G444" s="1724"/>
      <c r="H444" s="1724"/>
      <c r="I444" s="1724"/>
      <c r="J444" s="1724"/>
      <c r="K444" s="1724"/>
      <c r="L444" s="1724"/>
      <c r="M444" s="1724"/>
      <c r="N444" s="1724"/>
      <c r="O444" s="1724"/>
      <c r="P444" s="1724"/>
      <c r="Q444" s="1724"/>
      <c r="AE444" s="658"/>
      <c r="AF444" s="658"/>
    </row>
    <row r="445" spans="1:32" s="181" customFormat="1" ht="12" customHeight="1">
      <c r="A445" s="1725"/>
      <c r="B445" s="1725"/>
      <c r="C445" s="1725"/>
      <c r="D445" s="1725"/>
      <c r="E445" s="1725"/>
      <c r="F445" s="1725"/>
      <c r="G445" s="1725"/>
      <c r="H445" s="1725"/>
      <c r="I445" s="1725"/>
      <c r="J445" s="1725"/>
      <c r="K445" s="1725"/>
      <c r="L445" s="1725"/>
      <c r="M445" s="1725"/>
      <c r="N445" s="1724"/>
      <c r="O445" s="1724"/>
      <c r="P445" s="1724"/>
      <c r="Q445" s="1724"/>
      <c r="AE445" s="658"/>
      <c r="AF445" s="658"/>
    </row>
    <row r="446" spans="1:32" s="181" customFormat="1" ht="12" customHeight="1">
      <c r="A446" s="1725"/>
      <c r="B446" s="1725"/>
      <c r="C446" s="1725"/>
      <c r="D446" s="1725"/>
      <c r="E446" s="1725"/>
      <c r="F446" s="1725"/>
      <c r="G446" s="1725"/>
      <c r="H446" s="1725"/>
      <c r="I446" s="1725"/>
      <c r="J446" s="1725"/>
      <c r="K446" s="1725"/>
      <c r="L446" s="1725"/>
      <c r="M446" s="1725"/>
      <c r="N446" s="1724"/>
      <c r="O446" s="1724"/>
      <c r="P446" s="1724"/>
      <c r="Q446" s="1724"/>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10"/>
      <c r="P448" s="810"/>
      <c r="AE448" s="661"/>
      <c r="AF448" s="661"/>
    </row>
    <row r="449" spans="1:32" s="578" customFormat="1" ht="11.25">
      <c r="A449" s="709"/>
      <c r="B449" s="709"/>
      <c r="C449" s="710" t="s">
        <v>2327</v>
      </c>
      <c r="D449" s="710"/>
      <c r="E449" s="710"/>
      <c r="F449" s="710"/>
      <c r="G449" s="710"/>
      <c r="H449" s="710"/>
      <c r="I449" s="710"/>
      <c r="J449" s="710" t="s">
        <v>1413</v>
      </c>
      <c r="K449" s="710"/>
      <c r="L449" s="709"/>
      <c r="M449" s="709"/>
      <c r="N449" s="585"/>
      <c r="O449" s="610"/>
      <c r="P449" s="610"/>
      <c r="AE449" s="601"/>
      <c r="AF449" s="601"/>
    </row>
    <row r="450" spans="1:32" s="578" customFormat="1" ht="11.25">
      <c r="A450" s="709"/>
      <c r="B450" s="709"/>
      <c r="C450" s="709" t="s">
        <v>2803</v>
      </c>
      <c r="D450" s="709"/>
      <c r="E450" s="709"/>
      <c r="F450" s="709"/>
      <c r="G450" s="709"/>
      <c r="H450" s="709"/>
      <c r="I450" s="709"/>
      <c r="J450" s="709" t="s">
        <v>2465</v>
      </c>
      <c r="K450" s="709"/>
      <c r="L450" s="709"/>
      <c r="M450" s="709"/>
      <c r="N450" s="585"/>
      <c r="O450" s="610"/>
      <c r="P450" s="610"/>
      <c r="AE450" s="601"/>
      <c r="AF450" s="601"/>
    </row>
    <row r="451" spans="1:32" s="578" customFormat="1" ht="11.25">
      <c r="A451" s="709"/>
      <c r="B451" s="709"/>
      <c r="C451" s="710" t="s">
        <v>3341</v>
      </c>
      <c r="D451" s="710"/>
      <c r="E451" s="710"/>
      <c r="F451" s="710"/>
      <c r="G451" s="710"/>
      <c r="H451" s="710"/>
      <c r="I451" s="710"/>
      <c r="J451" s="711" t="s">
        <v>2415</v>
      </c>
      <c r="K451" s="710"/>
      <c r="L451" s="709"/>
      <c r="M451" s="709"/>
      <c r="N451" s="585"/>
      <c r="O451" s="610"/>
      <c r="P451" s="610"/>
      <c r="AE451" s="601"/>
      <c r="AF451" s="601"/>
    </row>
    <row r="452" spans="1:32" s="578" customFormat="1" ht="11.25">
      <c r="A452" s="709"/>
      <c r="B452" s="709"/>
      <c r="C452" s="710" t="s">
        <v>2804</v>
      </c>
      <c r="D452" s="710"/>
      <c r="E452" s="710"/>
      <c r="F452" s="710"/>
      <c r="G452" s="710"/>
      <c r="H452" s="710"/>
      <c r="I452" s="710"/>
      <c r="J452" s="711" t="s">
        <v>251</v>
      </c>
      <c r="K452" s="710"/>
      <c r="L452" s="709"/>
      <c r="M452" s="709"/>
      <c r="N452" s="585"/>
      <c r="O452" s="610"/>
      <c r="P452" s="610"/>
      <c r="AE452" s="601"/>
      <c r="AF452" s="601"/>
    </row>
    <row r="453" spans="1:32" s="578" customFormat="1" ht="11.25">
      <c r="A453" s="709"/>
      <c r="B453" s="709"/>
      <c r="C453" s="710" t="s">
        <v>2805</v>
      </c>
      <c r="D453" s="710"/>
      <c r="E453" s="710"/>
      <c r="F453" s="710"/>
      <c r="G453" s="710"/>
      <c r="H453" s="710"/>
      <c r="I453" s="710"/>
      <c r="J453" s="709" t="s">
        <v>1600</v>
      </c>
      <c r="K453" s="710"/>
      <c r="L453" s="709"/>
      <c r="M453" s="709"/>
      <c r="N453" s="585"/>
      <c r="O453" s="610"/>
      <c r="P453" s="610"/>
      <c r="AE453" s="601"/>
      <c r="AF453" s="601"/>
    </row>
    <row r="454" spans="1:32" s="578" customFormat="1" ht="11.25">
      <c r="A454" s="709"/>
      <c r="B454" s="709"/>
      <c r="C454" s="712" t="s">
        <v>2806</v>
      </c>
      <c r="D454" s="710"/>
      <c r="E454" s="710"/>
      <c r="F454" s="710"/>
      <c r="G454" s="710"/>
      <c r="H454" s="710"/>
      <c r="I454" s="710"/>
      <c r="J454" s="713" t="s">
        <v>2818</v>
      </c>
      <c r="K454" s="710"/>
      <c r="L454" s="709"/>
      <c r="M454" s="709"/>
      <c r="N454" s="585"/>
      <c r="O454" s="610"/>
      <c r="P454" s="610"/>
      <c r="AE454" s="601"/>
      <c r="AF454" s="601"/>
    </row>
    <row r="455" spans="1:32" s="578" customFormat="1" ht="11.25">
      <c r="A455" s="709"/>
      <c r="B455" s="709"/>
      <c r="C455" s="712" t="s">
        <v>2807</v>
      </c>
      <c r="D455" s="710"/>
      <c r="E455" s="710"/>
      <c r="F455" s="710"/>
      <c r="G455" s="710"/>
      <c r="H455" s="710"/>
      <c r="I455" s="710"/>
      <c r="J455" s="711" t="s">
        <v>2339</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1608</v>
      </c>
      <c r="K456" s="710"/>
      <c r="L456" s="709"/>
      <c r="M456" s="709"/>
      <c r="N456" s="585"/>
      <c r="O456" s="610"/>
      <c r="P456" s="610"/>
      <c r="AE456" s="601"/>
      <c r="AF456" s="601"/>
    </row>
    <row r="457" spans="1:32" s="578" customFormat="1" ht="11.25">
      <c r="A457" s="709"/>
      <c r="B457" s="709"/>
      <c r="C457" s="709" t="s">
        <v>2465</v>
      </c>
      <c r="D457" s="710"/>
      <c r="E457" s="710"/>
      <c r="F457" s="710"/>
      <c r="G457" s="710"/>
      <c r="H457" s="710"/>
      <c r="I457" s="710"/>
      <c r="J457" s="711" t="s">
        <v>2336</v>
      </c>
      <c r="K457" s="710"/>
      <c r="L457" s="709"/>
      <c r="M457" s="709"/>
      <c r="N457" s="585"/>
      <c r="O457" s="610"/>
      <c r="P457" s="610"/>
      <c r="AE457" s="601"/>
      <c r="AF457" s="601"/>
    </row>
    <row r="458" spans="1:32" s="578" customFormat="1" ht="11.25">
      <c r="A458" s="709"/>
      <c r="B458" s="709"/>
      <c r="C458" s="714" t="s">
        <v>1827</v>
      </c>
      <c r="D458" s="710"/>
      <c r="E458" s="710"/>
      <c r="F458" s="710"/>
      <c r="G458" s="710"/>
      <c r="H458" s="710"/>
      <c r="I458" s="710"/>
      <c r="J458" s="711" t="s">
        <v>2819</v>
      </c>
      <c r="K458" s="710"/>
      <c r="L458" s="709"/>
      <c r="M458" s="709"/>
      <c r="N458" s="585"/>
      <c r="O458" s="610"/>
      <c r="P458" s="610"/>
      <c r="AE458" s="601"/>
      <c r="AF458" s="601"/>
    </row>
    <row r="459" spans="1:32" s="578" customFormat="1" ht="11.25">
      <c r="A459" s="709"/>
      <c r="B459" s="709"/>
      <c r="C459" s="714" t="s">
        <v>1828</v>
      </c>
      <c r="D459" s="710"/>
      <c r="E459" s="710"/>
      <c r="F459" s="710"/>
      <c r="G459" s="710"/>
      <c r="H459" s="710"/>
      <c r="I459" s="710"/>
      <c r="J459" s="711" t="s">
        <v>2329</v>
      </c>
      <c r="K459" s="710"/>
      <c r="L459" s="709"/>
      <c r="M459" s="709"/>
      <c r="N459" s="585"/>
      <c r="O459" s="610"/>
      <c r="P459" s="610"/>
      <c r="AE459" s="601"/>
      <c r="AF459" s="601"/>
    </row>
    <row r="460" spans="1:32" s="578" customFormat="1" ht="11.25">
      <c r="A460" s="709"/>
      <c r="B460" s="709"/>
      <c r="C460" s="715" t="s">
        <v>2847</v>
      </c>
      <c r="D460" s="710"/>
      <c r="E460" s="710"/>
      <c r="F460" s="710"/>
      <c r="G460" s="710"/>
      <c r="H460" s="710"/>
      <c r="I460" s="710"/>
      <c r="J460" s="711" t="s">
        <v>1609</v>
      </c>
      <c r="K460" s="710"/>
      <c r="L460" s="709"/>
      <c r="M460" s="709"/>
      <c r="N460" s="585"/>
      <c r="O460" s="610"/>
      <c r="P460" s="610"/>
      <c r="AE460" s="601"/>
      <c r="AF460" s="601"/>
    </row>
    <row r="461" spans="1:32" s="578" customFormat="1" ht="11.25">
      <c r="A461" s="709"/>
      <c r="B461" s="709"/>
      <c r="C461" s="715" t="s">
        <v>1824</v>
      </c>
      <c r="D461" s="710"/>
      <c r="E461" s="710"/>
      <c r="F461" s="710"/>
      <c r="G461" s="710"/>
      <c r="H461" s="710"/>
      <c r="I461" s="710"/>
      <c r="J461" s="711" t="s">
        <v>764</v>
      </c>
      <c r="K461" s="710"/>
      <c r="L461" s="709"/>
      <c r="M461" s="709"/>
      <c r="N461" s="585"/>
      <c r="O461" s="610"/>
      <c r="P461" s="610"/>
      <c r="AE461" s="601"/>
      <c r="AF461" s="601"/>
    </row>
    <row r="462" spans="1:32" s="578" customFormat="1" ht="11.25">
      <c r="A462" s="709"/>
      <c r="B462" s="709"/>
      <c r="C462" s="715" t="s">
        <v>1825</v>
      </c>
      <c r="D462" s="710"/>
      <c r="E462" s="710"/>
      <c r="F462" s="710"/>
      <c r="G462" s="710"/>
      <c r="H462" s="710"/>
      <c r="I462" s="710"/>
      <c r="J462" s="711" t="s">
        <v>2335</v>
      </c>
      <c r="K462" s="710"/>
      <c r="L462" s="709"/>
      <c r="M462" s="709"/>
      <c r="N462" s="585"/>
      <c r="O462" s="610"/>
      <c r="P462" s="610"/>
      <c r="AE462" s="601"/>
      <c r="AF462" s="601"/>
    </row>
    <row r="463" spans="1:32" s="578" customFormat="1" ht="11.25">
      <c r="A463" s="709"/>
      <c r="B463" s="709"/>
      <c r="C463" s="714" t="s">
        <v>2842</v>
      </c>
      <c r="D463" s="710"/>
      <c r="E463" s="710"/>
      <c r="F463" s="710"/>
      <c r="G463" s="710"/>
      <c r="H463" s="710"/>
      <c r="I463" s="710"/>
      <c r="J463" s="711" t="s">
        <v>1602</v>
      </c>
      <c r="K463" s="710"/>
      <c r="L463" s="709"/>
      <c r="M463" s="709"/>
      <c r="N463" s="585"/>
      <c r="O463" s="610"/>
      <c r="P463" s="610"/>
      <c r="AE463" s="601"/>
      <c r="AF463" s="601"/>
    </row>
    <row r="464" spans="1:32" s="578" customFormat="1" ht="11.25">
      <c r="A464" s="709"/>
      <c r="B464" s="709"/>
      <c r="C464" s="714" t="s">
        <v>2843</v>
      </c>
      <c r="D464" s="710"/>
      <c r="E464" s="710"/>
      <c r="F464" s="710"/>
      <c r="G464" s="710"/>
      <c r="H464" s="710"/>
      <c r="I464" s="710"/>
      <c r="J464" s="711" t="s">
        <v>1601</v>
      </c>
      <c r="K464" s="709"/>
      <c r="L464" s="709"/>
      <c r="M464" s="709"/>
      <c r="N464" s="585"/>
      <c r="O464" s="610"/>
      <c r="P464" s="610"/>
      <c r="AE464" s="601"/>
      <c r="AF464" s="601"/>
    </row>
    <row r="465" spans="1:32" s="578" customFormat="1" ht="11.25">
      <c r="A465" s="709"/>
      <c r="B465" s="709"/>
      <c r="C465" s="714" t="s">
        <v>2844</v>
      </c>
      <c r="D465" s="709"/>
      <c r="E465" s="709"/>
      <c r="F465" s="709"/>
      <c r="G465" s="709"/>
      <c r="H465" s="709"/>
      <c r="I465" s="709"/>
      <c r="J465" s="711" t="s">
        <v>2416</v>
      </c>
      <c r="K465" s="709"/>
      <c r="L465" s="709"/>
      <c r="M465" s="709"/>
      <c r="N465" s="585"/>
      <c r="O465" s="610"/>
      <c r="P465" s="610"/>
      <c r="AE465" s="601"/>
      <c r="AF465" s="601"/>
    </row>
    <row r="466" spans="1:32" s="578" customFormat="1" ht="11.25">
      <c r="A466" s="709"/>
      <c r="B466" s="709"/>
      <c r="C466" s="714" t="s">
        <v>2845</v>
      </c>
      <c r="D466" s="709"/>
      <c r="E466" s="709"/>
      <c r="F466" s="709"/>
      <c r="G466" s="709"/>
      <c r="H466" s="709"/>
      <c r="I466" s="709"/>
      <c r="J466" s="711" t="s">
        <v>2338</v>
      </c>
      <c r="K466" s="709"/>
      <c r="L466" s="709"/>
      <c r="M466" s="709"/>
      <c r="N466" s="585"/>
      <c r="O466" s="610"/>
      <c r="P466" s="610"/>
      <c r="AE466" s="601"/>
      <c r="AF466" s="601"/>
    </row>
    <row r="467" spans="1:32" s="578" customFormat="1" ht="11.25">
      <c r="A467" s="709"/>
      <c r="B467" s="709"/>
      <c r="C467" s="714" t="s">
        <v>2846</v>
      </c>
      <c r="D467" s="709"/>
      <c r="E467" s="709"/>
      <c r="F467" s="709"/>
      <c r="G467" s="709"/>
      <c r="H467" s="709"/>
      <c r="I467" s="709"/>
      <c r="J467" s="711" t="s">
        <v>2330</v>
      </c>
      <c r="K467" s="709"/>
      <c r="L467" s="709"/>
      <c r="M467" s="709"/>
      <c r="N467" s="585"/>
      <c r="O467" s="610"/>
      <c r="P467" s="610"/>
      <c r="AE467" s="601"/>
      <c r="AF467" s="601"/>
    </row>
    <row r="468" spans="1:32" s="578" customFormat="1" ht="11.25">
      <c r="A468" s="709"/>
      <c r="B468" s="709"/>
      <c r="C468" s="714" t="s">
        <v>1826</v>
      </c>
      <c r="D468" s="709"/>
      <c r="E468" s="709"/>
      <c r="F468" s="709"/>
      <c r="G468" s="709"/>
      <c r="H468" s="709"/>
      <c r="I468" s="709"/>
      <c r="J468" s="711" t="s">
        <v>2817</v>
      </c>
      <c r="K468" s="709"/>
      <c r="L468" s="709"/>
      <c r="M468" s="709"/>
      <c r="N468" s="585"/>
      <c r="O468" s="610"/>
      <c r="P468" s="610"/>
      <c r="AE468" s="601"/>
      <c r="AF468" s="601"/>
    </row>
    <row r="469" spans="1:32" s="578" customFormat="1" ht="11.25">
      <c r="A469" s="709"/>
      <c r="B469" s="709"/>
      <c r="C469" s="714" t="s">
        <v>3009</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2048</v>
      </c>
      <c r="D471" s="710"/>
      <c r="E471" s="710"/>
      <c r="F471" s="710"/>
      <c r="G471" s="710"/>
      <c r="H471" s="710"/>
      <c r="I471" s="710"/>
      <c r="J471" s="710"/>
      <c r="K471" s="710"/>
      <c r="L471" s="710"/>
      <c r="M471" s="710"/>
      <c r="AE471" s="551"/>
      <c r="AF471" s="551"/>
    </row>
    <row r="472" spans="1:32" s="64" customFormat="1" ht="11.25">
      <c r="A472" s="710"/>
      <c r="B472" s="710"/>
      <c r="C472" s="710" t="s">
        <v>2465</v>
      </c>
      <c r="D472" s="710"/>
      <c r="E472" s="710"/>
      <c r="F472" s="710"/>
      <c r="G472" s="710"/>
      <c r="H472" s="710"/>
      <c r="I472" s="710"/>
      <c r="J472" s="710"/>
      <c r="K472" s="710"/>
      <c r="L472" s="710"/>
      <c r="M472" s="710"/>
      <c r="AE472" s="551"/>
      <c r="AF472" s="551"/>
    </row>
    <row r="473" spans="1:32" s="64" customFormat="1" ht="11.25">
      <c r="A473" s="710"/>
      <c r="B473" s="710"/>
      <c r="C473" s="710" t="s">
        <v>2803</v>
      </c>
      <c r="D473" s="710"/>
      <c r="E473" s="709"/>
      <c r="F473" s="709"/>
      <c r="G473" s="709"/>
      <c r="H473" s="709"/>
      <c r="I473" s="709"/>
      <c r="J473" s="709"/>
      <c r="K473" s="709"/>
      <c r="L473" s="709"/>
      <c r="M473" s="709"/>
      <c r="AE473" s="551"/>
      <c r="AF473" s="551"/>
    </row>
    <row r="474" spans="1:32" s="64" customFormat="1" ht="11.25">
      <c r="A474" s="710"/>
      <c r="B474" s="710"/>
      <c r="C474" s="710" t="s">
        <v>3341</v>
      </c>
      <c r="D474" s="709"/>
      <c r="E474" s="709"/>
      <c r="F474" s="709"/>
      <c r="G474" s="709"/>
      <c r="H474" s="710"/>
      <c r="I474" s="709"/>
      <c r="J474" s="709"/>
      <c r="K474" s="709"/>
      <c r="L474" s="709"/>
      <c r="M474" s="709"/>
      <c r="AE474" s="551"/>
      <c r="AF474" s="551"/>
    </row>
    <row r="475" spans="1:32" s="64" customFormat="1" ht="11.25">
      <c r="A475" s="710"/>
      <c r="B475" s="710"/>
      <c r="C475" s="710" t="s">
        <v>2804</v>
      </c>
      <c r="D475" s="709"/>
      <c r="E475" s="709"/>
      <c r="F475" s="709"/>
      <c r="G475" s="709"/>
      <c r="H475" s="709"/>
      <c r="I475" s="709"/>
      <c r="J475" s="709"/>
      <c r="K475" s="709"/>
      <c r="L475" s="709"/>
      <c r="M475" s="709"/>
      <c r="AE475" s="551"/>
      <c r="AF475" s="551"/>
    </row>
    <row r="476" spans="1:32" s="64" customFormat="1" ht="11.25">
      <c r="A476" s="710"/>
      <c r="B476" s="710"/>
      <c r="C476" s="710" t="s">
        <v>2328</v>
      </c>
      <c r="D476" s="709"/>
      <c r="E476" s="709"/>
      <c r="F476" s="709"/>
      <c r="G476" s="709"/>
      <c r="H476" s="710"/>
      <c r="I476" s="709"/>
      <c r="J476" s="709"/>
      <c r="K476" s="709"/>
      <c r="L476" s="709"/>
      <c r="M476" s="709"/>
      <c r="AE476" s="551"/>
      <c r="AF476" s="551"/>
    </row>
    <row r="477" spans="1:32" s="64" customFormat="1" ht="11.25">
      <c r="A477" s="710"/>
      <c r="B477" s="710"/>
      <c r="C477" s="712" t="s">
        <v>2722</v>
      </c>
      <c r="D477" s="709"/>
      <c r="E477" s="709"/>
      <c r="F477" s="709"/>
      <c r="G477" s="709"/>
      <c r="H477" s="710"/>
      <c r="I477" s="709"/>
      <c r="J477" s="709"/>
      <c r="K477" s="709"/>
      <c r="L477" s="709"/>
      <c r="M477" s="709"/>
      <c r="AE477" s="551"/>
      <c r="AF477" s="551"/>
    </row>
    <row r="478" spans="1:32" s="64" customFormat="1" ht="11.25">
      <c r="A478" s="710"/>
      <c r="B478" s="710"/>
      <c r="C478" s="710" t="s">
        <v>251</v>
      </c>
      <c r="D478" s="709"/>
      <c r="E478" s="709"/>
      <c r="F478" s="709"/>
      <c r="G478" s="709"/>
      <c r="H478" s="710"/>
      <c r="I478" s="709"/>
      <c r="J478" s="710"/>
      <c r="K478" s="709"/>
      <c r="L478" s="709"/>
      <c r="M478" s="709"/>
      <c r="AE478" s="551"/>
      <c r="AF478" s="551"/>
    </row>
    <row r="479" spans="1:32" s="64" customFormat="1" ht="11.25">
      <c r="A479" s="710"/>
      <c r="B479" s="710"/>
      <c r="C479" s="710" t="s">
        <v>2329</v>
      </c>
      <c r="D479" s="709"/>
      <c r="E479" s="709"/>
      <c r="F479" s="709"/>
      <c r="G479" s="709"/>
      <c r="H479" s="710"/>
      <c r="I479" s="709"/>
      <c r="J479" s="710"/>
      <c r="K479" s="709"/>
      <c r="L479" s="709"/>
      <c r="M479" s="709"/>
      <c r="AE479" s="551"/>
      <c r="AF479" s="551"/>
    </row>
    <row r="480" spans="1:32" s="64" customFormat="1" ht="11.25">
      <c r="A480" s="710"/>
      <c r="B480" s="710"/>
      <c r="C480" s="710" t="s">
        <v>2330</v>
      </c>
      <c r="D480" s="709"/>
      <c r="E480" s="709"/>
      <c r="F480" s="709"/>
      <c r="G480" s="709"/>
      <c r="H480" s="710"/>
      <c r="I480" s="709"/>
      <c r="J480" s="710"/>
      <c r="K480" s="709"/>
      <c r="L480" s="709"/>
      <c r="M480" s="709"/>
      <c r="AE480" s="551"/>
      <c r="AF480" s="551"/>
    </row>
    <row r="481" spans="1:32" s="64" customFormat="1" ht="11.25">
      <c r="A481" s="710"/>
      <c r="B481" s="710"/>
      <c r="C481" s="710" t="s">
        <v>3286</v>
      </c>
      <c r="D481" s="709"/>
      <c r="E481" s="709"/>
      <c r="F481" s="709"/>
      <c r="G481" s="709"/>
      <c r="H481" s="709"/>
      <c r="I481" s="709"/>
      <c r="J481" s="709"/>
      <c r="K481" s="709"/>
      <c r="L481" s="709"/>
      <c r="M481" s="709"/>
      <c r="AE481" s="551"/>
      <c r="AF481" s="551"/>
    </row>
    <row r="482" spans="1:32" s="64" customFormat="1" ht="11.25">
      <c r="A482" s="710"/>
      <c r="B482" s="710"/>
      <c r="C482" s="710" t="s">
        <v>2049</v>
      </c>
      <c r="D482" s="709"/>
      <c r="E482" s="709"/>
      <c r="F482" s="709"/>
      <c r="G482" s="709"/>
      <c r="H482" s="709"/>
      <c r="I482" s="709"/>
      <c r="J482" s="709"/>
      <c r="K482" s="709"/>
      <c r="L482" s="709"/>
      <c r="M482" s="709"/>
      <c r="AE482" s="551"/>
      <c r="AF482" s="551"/>
    </row>
    <row r="483" spans="1:32" s="64" customFormat="1" ht="11.25">
      <c r="A483" s="710"/>
      <c r="B483" s="710"/>
      <c r="C483" s="710" t="s">
        <v>2332</v>
      </c>
      <c r="D483" s="709"/>
      <c r="E483" s="709"/>
      <c r="F483" s="709"/>
      <c r="G483" s="709"/>
      <c r="H483" s="709"/>
      <c r="I483" s="709"/>
      <c r="J483" s="709"/>
      <c r="K483" s="709"/>
      <c r="L483" s="709"/>
      <c r="M483" s="709"/>
      <c r="AE483" s="551"/>
      <c r="AF483" s="551"/>
    </row>
    <row r="484" spans="1:32" s="64" customFormat="1" ht="11.25">
      <c r="A484" s="710"/>
      <c r="B484" s="710"/>
      <c r="C484" s="710" t="s">
        <v>3289</v>
      </c>
      <c r="D484" s="709"/>
      <c r="E484" s="709"/>
      <c r="F484" s="709"/>
      <c r="G484" s="709"/>
      <c r="H484" s="709"/>
      <c r="I484" s="709"/>
      <c r="J484" s="709"/>
      <c r="K484" s="709"/>
      <c r="L484" s="709"/>
      <c r="M484" s="709"/>
      <c r="AE484" s="551"/>
      <c r="AF484" s="551"/>
    </row>
    <row r="485" spans="1:32" s="64" customFormat="1" ht="11.25">
      <c r="A485" s="710"/>
      <c r="B485" s="710"/>
      <c r="C485" s="710" t="s">
        <v>2334</v>
      </c>
      <c r="D485" s="709"/>
      <c r="E485" s="709"/>
      <c r="F485" s="709"/>
      <c r="G485" s="709"/>
      <c r="H485" s="709"/>
      <c r="I485" s="709"/>
      <c r="J485" s="709"/>
      <c r="K485" s="709"/>
      <c r="L485" s="709"/>
      <c r="M485" s="709"/>
      <c r="N485" s="64" t="s">
        <v>3287</v>
      </c>
      <c r="AE485" s="551"/>
      <c r="AF485" s="551"/>
    </row>
    <row r="486" spans="1:32" s="64" customFormat="1" ht="11.25">
      <c r="A486" s="710"/>
      <c r="B486" s="710"/>
      <c r="C486" s="710" t="s">
        <v>2335</v>
      </c>
      <c r="D486" s="709"/>
      <c r="E486" s="709"/>
      <c r="F486" s="709"/>
      <c r="G486" s="709"/>
      <c r="H486" s="709"/>
      <c r="I486" s="709"/>
      <c r="J486" s="709"/>
      <c r="K486" s="709"/>
      <c r="L486" s="709"/>
      <c r="M486" s="709"/>
      <c r="AE486" s="551"/>
      <c r="AF486" s="551"/>
    </row>
    <row r="487" spans="1:32" s="64" customFormat="1" ht="11.25">
      <c r="A487" s="710"/>
      <c r="B487" s="710"/>
      <c r="C487" s="710" t="s">
        <v>2336</v>
      </c>
      <c r="D487" s="709"/>
      <c r="E487" s="709"/>
      <c r="F487" s="709"/>
      <c r="G487" s="709"/>
      <c r="H487" s="709"/>
      <c r="I487" s="709"/>
      <c r="J487" s="709"/>
      <c r="K487" s="709"/>
      <c r="L487" s="709"/>
      <c r="M487" s="709"/>
      <c r="AE487" s="551"/>
      <c r="AF487" s="551"/>
    </row>
    <row r="488" spans="1:32" s="64" customFormat="1" ht="11.25">
      <c r="A488" s="710"/>
      <c r="B488" s="710"/>
      <c r="C488" s="710" t="s">
        <v>764</v>
      </c>
      <c r="D488" s="709"/>
      <c r="E488" s="709"/>
      <c r="F488" s="709"/>
      <c r="G488" s="709"/>
      <c r="H488" s="709"/>
      <c r="I488" s="709"/>
      <c r="J488" s="709"/>
      <c r="K488" s="709"/>
      <c r="L488" s="709"/>
      <c r="M488" s="709"/>
      <c r="AE488" s="551"/>
      <c r="AF488" s="551"/>
    </row>
    <row r="489" spans="1:32" s="64" customFormat="1" ht="11.25">
      <c r="A489" s="710"/>
      <c r="B489" s="710"/>
      <c r="C489" s="710" t="s">
        <v>2337</v>
      </c>
      <c r="D489" s="709"/>
      <c r="E489" s="709"/>
      <c r="F489" s="709"/>
      <c r="G489" s="709"/>
      <c r="H489" s="709"/>
      <c r="I489" s="709"/>
      <c r="J489" s="709"/>
      <c r="K489" s="709"/>
      <c r="L489" s="709"/>
      <c r="M489" s="709"/>
      <c r="AE489" s="551"/>
      <c r="AF489" s="551"/>
    </row>
    <row r="490" spans="1:32" s="64" customFormat="1" ht="11.25">
      <c r="A490" s="710"/>
      <c r="B490" s="710"/>
      <c r="C490" s="710" t="s">
        <v>2582</v>
      </c>
      <c r="D490" s="709"/>
      <c r="E490" s="709"/>
      <c r="F490" s="709"/>
      <c r="G490" s="709"/>
      <c r="H490" s="709"/>
      <c r="I490" s="709"/>
      <c r="J490" s="709"/>
      <c r="K490" s="709"/>
      <c r="L490" s="709"/>
      <c r="M490" s="709"/>
      <c r="AE490" s="551"/>
      <c r="AF490" s="551"/>
    </row>
    <row r="491" spans="1:32" s="64" customFormat="1" ht="11.25">
      <c r="A491" s="710"/>
      <c r="B491" s="710"/>
      <c r="C491" s="710" t="s">
        <v>250</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2484</v>
      </c>
      <c r="D493" s="710"/>
      <c r="E493" s="710"/>
      <c r="F493" s="710"/>
      <c r="G493" s="710"/>
      <c r="H493" s="710"/>
      <c r="I493" s="710"/>
      <c r="J493" s="710"/>
      <c r="K493" s="710"/>
      <c r="L493" s="710"/>
      <c r="M493" s="710"/>
      <c r="AE493" s="551"/>
      <c r="AF493" s="551"/>
    </row>
    <row r="494" spans="1:32" s="64" customFormat="1" ht="11.25">
      <c r="A494" s="710"/>
      <c r="B494" s="710"/>
      <c r="C494" s="710" t="s">
        <v>1322</v>
      </c>
      <c r="D494" s="710"/>
      <c r="E494" s="710"/>
      <c r="F494" s="710"/>
      <c r="G494" s="710"/>
      <c r="H494" s="710"/>
      <c r="I494" s="710"/>
      <c r="J494" s="710"/>
      <c r="K494" s="710"/>
      <c r="L494" s="710"/>
      <c r="M494" s="710"/>
      <c r="AE494" s="551"/>
      <c r="AF494" s="551"/>
    </row>
    <row r="495" spans="1:32" s="64" customFormat="1" ht="11.25">
      <c r="A495" s="710"/>
      <c r="B495" s="710"/>
      <c r="C495" s="714" t="s">
        <v>2231</v>
      </c>
      <c r="D495" s="710"/>
      <c r="E495" s="710"/>
      <c r="F495" s="710"/>
      <c r="G495" s="710"/>
      <c r="H495" s="710"/>
      <c r="I495" s="710"/>
      <c r="J495" s="710"/>
      <c r="K495" s="710"/>
      <c r="L495" s="710"/>
      <c r="M495" s="710"/>
      <c r="AE495" s="551"/>
      <c r="AF495" s="551"/>
    </row>
    <row r="496" spans="1:32" s="64" customFormat="1" ht="11.25">
      <c r="A496" s="710"/>
      <c r="B496" s="710"/>
      <c r="C496" s="714" t="s">
        <v>911</v>
      </c>
      <c r="D496" s="710"/>
      <c r="E496" s="710"/>
      <c r="F496" s="710"/>
      <c r="G496" s="710"/>
      <c r="H496" s="710"/>
      <c r="I496" s="710"/>
      <c r="J496" s="710"/>
      <c r="K496" s="710"/>
      <c r="L496" s="714"/>
      <c r="M496" s="710"/>
      <c r="AE496" s="551"/>
      <c r="AF496" s="551"/>
    </row>
    <row r="497" spans="1:32" s="64" customFormat="1" ht="11.25">
      <c r="A497" s="710"/>
      <c r="B497" s="710"/>
      <c r="C497" s="714" t="s">
        <v>912</v>
      </c>
      <c r="D497" s="710"/>
      <c r="E497" s="710"/>
      <c r="F497" s="710"/>
      <c r="G497" s="710"/>
      <c r="H497" s="710"/>
      <c r="I497" s="710"/>
      <c r="J497" s="710"/>
      <c r="K497" s="710"/>
      <c r="L497" s="714"/>
      <c r="M497" s="710"/>
      <c r="AE497" s="551"/>
      <c r="AF497" s="551"/>
    </row>
    <row r="498" spans="1:32" s="64" customFormat="1" ht="11.25">
      <c r="A498" s="710"/>
      <c r="B498" s="710"/>
      <c r="C498" s="714" t="s">
        <v>2872</v>
      </c>
      <c r="D498" s="710"/>
      <c r="E498" s="710"/>
      <c r="F498" s="710"/>
      <c r="G498" s="710"/>
      <c r="H498" s="710"/>
      <c r="I498" s="710"/>
      <c r="J498" s="710"/>
      <c r="K498" s="710"/>
      <c r="L498" s="714"/>
      <c r="M498" s="710"/>
      <c r="AE498" s="551"/>
      <c r="AF498" s="551"/>
    </row>
    <row r="499" spans="1:32" s="64" customFormat="1" ht="11.25">
      <c r="A499" s="710"/>
      <c r="B499" s="710"/>
      <c r="C499" s="714" t="s">
        <v>132</v>
      </c>
      <c r="D499" s="710"/>
      <c r="E499" s="710"/>
      <c r="F499" s="710"/>
      <c r="G499" s="710"/>
      <c r="H499" s="710"/>
      <c r="I499" s="710"/>
      <c r="J499" s="710"/>
      <c r="K499" s="710"/>
      <c r="L499" s="714"/>
      <c r="M499" s="710"/>
      <c r="AE499" s="551"/>
      <c r="AF499" s="551"/>
    </row>
    <row r="500" spans="1:32" s="64" customFormat="1" ht="11.25">
      <c r="A500" s="710"/>
      <c r="B500" s="710"/>
      <c r="C500" s="623" t="s">
        <v>130</v>
      </c>
      <c r="D500" s="710"/>
      <c r="E500" s="710"/>
      <c r="F500" s="710"/>
      <c r="G500" s="710"/>
      <c r="H500" s="710"/>
      <c r="I500" s="710"/>
      <c r="J500" s="710"/>
      <c r="K500" s="710"/>
      <c r="L500" s="714"/>
      <c r="M500" s="710"/>
      <c r="AE500" s="551"/>
      <c r="AF500" s="551"/>
    </row>
    <row r="501" spans="1:32" s="64" customFormat="1" ht="11.25">
      <c r="A501" s="710"/>
      <c r="B501" s="710"/>
      <c r="C501" s="623" t="s">
        <v>2587</v>
      </c>
      <c r="D501" s="710"/>
      <c r="E501" s="710"/>
      <c r="F501" s="710"/>
      <c r="G501" s="710"/>
      <c r="H501" s="710"/>
      <c r="I501" s="710"/>
      <c r="J501" s="710"/>
      <c r="K501" s="710"/>
      <c r="L501" s="710"/>
      <c r="M501" s="710"/>
      <c r="AE501" s="551"/>
      <c r="AF501" s="551"/>
    </row>
    <row r="502" spans="1:32" s="64" customFormat="1" ht="11.25">
      <c r="A502" s="710"/>
      <c r="B502" s="710"/>
      <c r="C502" s="714" t="s">
        <v>1342</v>
      </c>
      <c r="D502" s="710"/>
      <c r="E502" s="710"/>
      <c r="F502" s="710"/>
      <c r="G502" s="710"/>
      <c r="H502" s="710"/>
      <c r="I502" s="710"/>
      <c r="J502" s="710"/>
      <c r="K502" s="710"/>
      <c r="L502" s="714"/>
      <c r="M502" s="710"/>
      <c r="AE502" s="551"/>
      <c r="AF502" s="551"/>
    </row>
    <row r="503" spans="1:32" s="64" customFormat="1" ht="11.25">
      <c r="A503" s="710"/>
      <c r="B503" s="710"/>
      <c r="C503" s="623" t="s">
        <v>131</v>
      </c>
      <c r="D503" s="710"/>
      <c r="E503" s="710"/>
      <c r="F503" s="710"/>
      <c r="G503" s="710"/>
      <c r="H503" s="710"/>
      <c r="I503" s="710"/>
      <c r="J503" s="710"/>
      <c r="K503" s="710"/>
      <c r="L503" s="714"/>
      <c r="M503" s="710"/>
      <c r="AE503" s="551"/>
      <c r="AF503" s="551"/>
    </row>
    <row r="504" spans="1:32" s="64" customFormat="1" ht="11.25">
      <c r="A504" s="710"/>
      <c r="B504" s="710"/>
      <c r="C504" s="623" t="s">
        <v>132</v>
      </c>
      <c r="D504" s="710"/>
      <c r="E504" s="710"/>
      <c r="F504" s="710"/>
      <c r="G504" s="710"/>
      <c r="H504" s="710"/>
      <c r="I504" s="710"/>
      <c r="J504" s="710"/>
      <c r="K504" s="710"/>
      <c r="L504" s="714"/>
      <c r="M504" s="710"/>
      <c r="AE504" s="551"/>
      <c r="AF504" s="551"/>
    </row>
    <row r="505" spans="1:32" s="64" customFormat="1" ht="11.25">
      <c r="A505" s="710"/>
      <c r="B505" s="710"/>
      <c r="C505" s="623" t="s">
        <v>133</v>
      </c>
      <c r="D505" s="710"/>
      <c r="E505" s="710"/>
      <c r="F505" s="710"/>
      <c r="G505" s="710"/>
      <c r="H505" s="710"/>
      <c r="I505" s="710"/>
      <c r="J505" s="710"/>
      <c r="K505" s="710"/>
      <c r="L505" s="714"/>
      <c r="M505" s="710"/>
      <c r="AE505" s="551"/>
      <c r="AF505" s="551"/>
    </row>
    <row r="506" spans="1:32" s="64" customFormat="1" ht="11.25">
      <c r="A506" s="710"/>
      <c r="B506" s="710"/>
      <c r="C506" s="623" t="s">
        <v>3525</v>
      </c>
      <c r="D506" s="710"/>
      <c r="E506" s="710"/>
      <c r="F506" s="710"/>
      <c r="G506" s="710"/>
      <c r="H506" s="710"/>
      <c r="I506" s="710"/>
      <c r="J506" s="710"/>
      <c r="K506" s="710"/>
      <c r="L506" s="710"/>
      <c r="M506" s="710"/>
      <c r="AE506" s="551"/>
      <c r="AF506" s="551"/>
    </row>
    <row r="507" spans="1:32" s="64" customFormat="1" ht="11.25">
      <c r="A507" s="710"/>
      <c r="B507" s="710"/>
      <c r="C507" s="714" t="s">
        <v>2721</v>
      </c>
      <c r="D507" s="710"/>
      <c r="E507" s="710"/>
      <c r="F507" s="710"/>
      <c r="G507" s="710"/>
      <c r="H507" s="710"/>
      <c r="I507" s="710"/>
      <c r="J507" s="710"/>
      <c r="K507" s="710"/>
      <c r="L507" s="714"/>
      <c r="M507" s="710"/>
      <c r="AE507" s="551"/>
      <c r="AF507" s="551"/>
    </row>
    <row r="508" spans="1:32" s="64" customFormat="1" ht="11.25">
      <c r="A508" s="710"/>
      <c r="B508" s="710"/>
      <c r="C508" s="623" t="s">
        <v>3526</v>
      </c>
      <c r="D508" s="710"/>
      <c r="E508" s="710"/>
      <c r="F508" s="710"/>
      <c r="G508" s="710"/>
      <c r="H508" s="710"/>
      <c r="I508" s="710"/>
      <c r="J508" s="710"/>
      <c r="K508" s="710"/>
      <c r="L508" s="714"/>
      <c r="M508" s="710"/>
      <c r="AE508" s="551"/>
      <c r="AF508" s="551"/>
    </row>
    <row r="509" spans="1:32" s="64" customFormat="1" ht="11.25">
      <c r="A509" s="710"/>
      <c r="B509" s="710"/>
      <c r="C509" s="623" t="s">
        <v>1817</v>
      </c>
      <c r="D509" s="710"/>
      <c r="E509" s="710"/>
      <c r="F509" s="710"/>
      <c r="G509" s="710"/>
      <c r="H509" s="710"/>
      <c r="I509" s="710"/>
      <c r="J509" s="710"/>
      <c r="K509" s="710"/>
      <c r="L509" s="714"/>
      <c r="M509" s="710"/>
      <c r="AE509" s="551"/>
      <c r="AF509" s="551"/>
    </row>
    <row r="510" spans="1:32" s="64" customFormat="1" ht="11.25">
      <c r="A510" s="710"/>
      <c r="B510" s="710"/>
      <c r="C510" s="623" t="s">
        <v>2047</v>
      </c>
      <c r="D510" s="710"/>
      <c r="E510" s="710"/>
      <c r="F510" s="710"/>
      <c r="G510" s="710"/>
      <c r="H510" s="710"/>
      <c r="I510" s="710"/>
      <c r="J510" s="710"/>
      <c r="K510" s="717" t="s">
        <v>588</v>
      </c>
      <c r="L510" s="714"/>
      <c r="M510" s="710"/>
      <c r="AE510" s="551"/>
      <c r="AF510" s="551"/>
    </row>
    <row r="511" spans="1:32" s="64" customFormat="1" ht="11.25">
      <c r="A511" s="710"/>
      <c r="B511" s="710"/>
      <c r="C511" s="623" t="s">
        <v>3527</v>
      </c>
      <c r="D511" s="710"/>
      <c r="E511" s="710"/>
      <c r="F511" s="710"/>
      <c r="G511" s="710"/>
      <c r="H511" s="710"/>
      <c r="I511" s="710"/>
      <c r="J511" s="710"/>
      <c r="K511" s="710" t="s">
        <v>1490</v>
      </c>
      <c r="L511" s="714"/>
      <c r="M511" s="710"/>
      <c r="AE511" s="551"/>
      <c r="AF511" s="551"/>
    </row>
    <row r="512" spans="1:32" s="64" customFormat="1" ht="11.25">
      <c r="A512" s="710"/>
      <c r="B512" s="710"/>
      <c r="C512" s="623" t="s">
        <v>3528</v>
      </c>
      <c r="D512" s="710"/>
      <c r="E512" s="710"/>
      <c r="F512" s="710"/>
      <c r="G512" s="710"/>
      <c r="H512" s="710"/>
      <c r="I512" s="710"/>
      <c r="J512" s="710"/>
      <c r="K512" s="710" t="s">
        <v>3483</v>
      </c>
      <c r="L512" s="710"/>
      <c r="M512" s="710"/>
      <c r="AE512" s="551"/>
      <c r="AF512" s="551"/>
    </row>
    <row r="513" spans="1:32" s="64" customFormat="1" ht="11.25">
      <c r="A513" s="710"/>
      <c r="B513" s="710"/>
      <c r="C513" s="714" t="s">
        <v>1624</v>
      </c>
      <c r="D513" s="710"/>
      <c r="E513" s="710"/>
      <c r="F513" s="710"/>
      <c r="G513" s="710"/>
      <c r="H513" s="710"/>
      <c r="I513" s="710"/>
      <c r="J513" s="710"/>
      <c r="K513" s="710" t="s">
        <v>3484</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280</v>
      </c>
      <c r="D515" s="710"/>
      <c r="E515" s="710"/>
      <c r="F515" s="710"/>
      <c r="G515" s="710"/>
      <c r="H515" s="710"/>
      <c r="I515" s="710"/>
      <c r="J515" s="710"/>
      <c r="K515" s="717" t="s">
        <v>2968</v>
      </c>
      <c r="L515" s="710"/>
      <c r="M515" s="710"/>
      <c r="AE515" s="551"/>
      <c r="AF515" s="551"/>
    </row>
    <row r="516" spans="1:32" s="64" customFormat="1" ht="11.25">
      <c r="A516" s="710"/>
      <c r="B516" s="710"/>
      <c r="C516" s="710" t="s">
        <v>1491</v>
      </c>
      <c r="D516" s="710"/>
      <c r="E516" s="710"/>
      <c r="F516" s="710"/>
      <c r="G516" s="710"/>
      <c r="H516" s="710"/>
      <c r="I516" s="710"/>
      <c r="J516" s="710"/>
      <c r="K516" s="710" t="s">
        <v>3057</v>
      </c>
      <c r="L516" s="710"/>
      <c r="M516" s="710"/>
      <c r="AE516" s="551"/>
      <c r="AF516" s="551"/>
    </row>
    <row r="517" spans="1:32" s="64" customFormat="1" ht="11.25">
      <c r="A517" s="710"/>
      <c r="B517" s="710"/>
      <c r="C517" s="710" t="s">
        <v>186</v>
      </c>
      <c r="D517" s="710"/>
      <c r="E517" s="710"/>
      <c r="F517" s="710"/>
      <c r="G517" s="710"/>
      <c r="H517" s="710"/>
      <c r="I517" s="710"/>
      <c r="J517" s="710"/>
      <c r="K517" s="710" t="s">
        <v>1887</v>
      </c>
      <c r="L517" s="710"/>
      <c r="M517" s="710"/>
      <c r="AE517" s="551"/>
      <c r="AF517" s="551"/>
    </row>
    <row r="518" spans="1:32" s="64" customFormat="1" ht="11.25">
      <c r="A518" s="710"/>
      <c r="B518" s="710"/>
      <c r="C518" s="710" t="s">
        <v>1982</v>
      </c>
      <c r="D518" s="710"/>
      <c r="E518" s="710"/>
      <c r="F518" s="710"/>
      <c r="G518" s="710"/>
      <c r="H518" s="710"/>
      <c r="I518" s="710"/>
      <c r="J518" s="710"/>
      <c r="K518" s="710" t="s">
        <v>1543</v>
      </c>
      <c r="L518" s="710"/>
      <c r="M518" s="710"/>
      <c r="AE518" s="551"/>
      <c r="AF518" s="551"/>
    </row>
    <row r="519" spans="1:32" s="64" customFormat="1" ht="11.25">
      <c r="A519" s="710"/>
      <c r="B519" s="710"/>
      <c r="C519" s="710" t="s">
        <v>2832</v>
      </c>
      <c r="D519" s="710"/>
      <c r="E519" s="710"/>
      <c r="F519" s="710"/>
      <c r="G519" s="710"/>
      <c r="H519" s="710"/>
      <c r="I519" s="710"/>
      <c r="J519" s="710"/>
      <c r="K519" s="710" t="s">
        <v>1542</v>
      </c>
      <c r="L519" s="710"/>
      <c r="M519" s="710"/>
      <c r="AE519" s="551"/>
      <c r="AF519" s="551"/>
    </row>
    <row r="520" spans="1:32" s="64" customFormat="1" ht="11.25">
      <c r="A520" s="710"/>
      <c r="B520" s="710"/>
      <c r="C520" s="710" t="s">
        <v>185</v>
      </c>
      <c r="D520" s="710"/>
      <c r="E520" s="710"/>
      <c r="F520" s="710"/>
      <c r="G520" s="710"/>
      <c r="H520" s="710"/>
      <c r="I520" s="710"/>
      <c r="J520" s="710"/>
      <c r="K520" s="710" t="s">
        <v>3681</v>
      </c>
      <c r="L520" s="710"/>
      <c r="M520" s="710"/>
      <c r="AE520" s="551"/>
      <c r="AF520" s="551"/>
    </row>
    <row r="521" spans="1:32" s="64" customFormat="1" ht="11.25">
      <c r="A521" s="710"/>
      <c r="B521" s="710"/>
      <c r="C521" s="710"/>
      <c r="D521" s="710"/>
      <c r="E521" s="710"/>
      <c r="F521" s="710"/>
      <c r="G521" s="710"/>
      <c r="H521" s="710"/>
      <c r="I521" s="710"/>
      <c r="J521" s="710"/>
      <c r="K521" s="717" t="s">
        <v>2657</v>
      </c>
      <c r="L521" s="710"/>
      <c r="M521" s="710"/>
      <c r="AE521" s="551"/>
      <c r="AF521" s="551"/>
    </row>
    <row r="522" spans="1:32" s="64" customFormat="1" ht="11.25">
      <c r="A522" s="710"/>
      <c r="B522" s="710"/>
      <c r="C522" s="710"/>
      <c r="D522" s="710"/>
      <c r="E522" s="710"/>
      <c r="F522" s="710"/>
      <c r="G522" s="710"/>
      <c r="H522" s="710"/>
      <c r="I522" s="710"/>
      <c r="J522" s="710"/>
      <c r="K522" s="710" t="s">
        <v>1489</v>
      </c>
      <c r="L522" s="710"/>
      <c r="M522" s="710"/>
      <c r="AE522" s="551"/>
      <c r="AF522" s="551"/>
    </row>
    <row r="523" spans="1:32" s="64" customFormat="1" ht="11.25">
      <c r="A523" s="710"/>
      <c r="B523" s="710"/>
      <c r="C523" s="710"/>
      <c r="D523" s="710"/>
      <c r="E523" s="710"/>
      <c r="F523" s="710"/>
      <c r="G523" s="710"/>
      <c r="H523" s="710"/>
      <c r="I523" s="710"/>
      <c r="J523" s="710"/>
      <c r="K523" s="710" t="s">
        <v>2444</v>
      </c>
      <c r="L523" s="710"/>
      <c r="M523" s="710"/>
      <c r="AE523" s="551"/>
      <c r="AF523" s="551"/>
    </row>
    <row r="524" spans="1:32" s="64" customFormat="1" ht="11.25">
      <c r="A524" s="710"/>
      <c r="B524" s="710"/>
      <c r="C524" s="710"/>
      <c r="D524" s="710"/>
      <c r="E524" s="710"/>
      <c r="F524" s="710"/>
      <c r="G524" s="710"/>
      <c r="H524" s="710"/>
      <c r="I524" s="710"/>
      <c r="J524" s="710"/>
      <c r="K524" s="710" t="s">
        <v>1544</v>
      </c>
      <c r="L524" s="710"/>
      <c r="M524" s="710"/>
      <c r="AE524" s="551"/>
      <c r="AF524" s="551"/>
    </row>
    <row r="525" spans="1:32" s="64" customFormat="1" ht="11.25">
      <c r="A525" s="710"/>
      <c r="B525" s="710"/>
      <c r="C525" s="710"/>
      <c r="D525" s="710"/>
      <c r="E525" s="710"/>
      <c r="F525" s="710"/>
      <c r="G525" s="710"/>
      <c r="H525" s="710"/>
      <c r="I525" s="710"/>
      <c r="J525" s="710"/>
      <c r="K525" s="710" t="s">
        <v>2445</v>
      </c>
      <c r="L525" s="710"/>
      <c r="M525" s="710"/>
      <c r="AE525" s="551"/>
      <c r="AF525" s="551"/>
    </row>
    <row r="526" spans="1:32" s="64" customFormat="1" ht="11.25">
      <c r="A526" s="710"/>
      <c r="B526" s="710"/>
      <c r="C526" s="710"/>
      <c r="D526" s="710"/>
      <c r="E526" s="710"/>
      <c r="F526" s="710"/>
      <c r="G526" s="710"/>
      <c r="H526" s="710"/>
      <c r="I526" s="710"/>
      <c r="J526" s="710"/>
      <c r="K526" s="710" t="s">
        <v>3122</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1414</v>
      </c>
      <c r="D528" s="710"/>
      <c r="E528" s="710"/>
      <c r="F528" s="710"/>
      <c r="G528" s="710"/>
      <c r="H528" s="710"/>
      <c r="I528" s="710"/>
      <c r="J528" s="710"/>
      <c r="K528" s="716" t="s">
        <v>1415</v>
      </c>
      <c r="L528" s="710"/>
      <c r="M528" s="710"/>
      <c r="AE528" s="551"/>
      <c r="AF528" s="551"/>
    </row>
    <row r="529" spans="1:32" s="64" customFormat="1" ht="11.25">
      <c r="A529" s="710"/>
      <c r="B529" s="710"/>
      <c r="C529" s="710" t="s">
        <v>1413</v>
      </c>
      <c r="D529" s="710"/>
      <c r="E529" s="710"/>
      <c r="F529" s="710"/>
      <c r="G529" s="710"/>
      <c r="H529" s="710"/>
      <c r="I529" s="710"/>
      <c r="J529" s="710"/>
      <c r="K529" s="710" t="s">
        <v>1413</v>
      </c>
      <c r="L529" s="710"/>
      <c r="M529" s="710"/>
      <c r="AE529" s="551"/>
      <c r="AF529" s="551"/>
    </row>
    <row r="530" spans="1:32" s="64" customFormat="1" ht="11.25">
      <c r="A530" s="710"/>
      <c r="B530" s="710"/>
      <c r="C530" s="710" t="s">
        <v>2803</v>
      </c>
      <c r="D530" s="710"/>
      <c r="E530" s="710"/>
      <c r="F530" s="710"/>
      <c r="G530" s="710"/>
      <c r="H530" s="710"/>
      <c r="I530" s="710"/>
      <c r="J530" s="710"/>
      <c r="K530" s="710" t="s">
        <v>251</v>
      </c>
      <c r="L530" s="710"/>
      <c r="M530" s="710"/>
      <c r="AE530" s="551"/>
      <c r="AF530" s="551"/>
    </row>
    <row r="531" spans="1:32" s="64" customFormat="1" ht="11.25">
      <c r="A531" s="710"/>
      <c r="B531" s="710"/>
      <c r="C531" s="710" t="s">
        <v>3341</v>
      </c>
      <c r="D531" s="710"/>
      <c r="E531" s="710"/>
      <c r="F531" s="710"/>
      <c r="G531" s="710"/>
      <c r="H531" s="710"/>
      <c r="I531" s="710"/>
      <c r="J531" s="710"/>
      <c r="K531" s="710" t="s">
        <v>616</v>
      </c>
      <c r="L531" s="710"/>
      <c r="M531" s="710"/>
      <c r="AE531" s="551"/>
      <c r="AF531" s="551"/>
    </row>
    <row r="532" spans="1:32" s="64" customFormat="1" ht="11.25">
      <c r="A532" s="710"/>
      <c r="B532" s="710"/>
      <c r="C532" s="710" t="s">
        <v>2804</v>
      </c>
      <c r="D532" s="710"/>
      <c r="E532" s="710"/>
      <c r="F532" s="710"/>
      <c r="G532" s="710"/>
      <c r="H532" s="710"/>
      <c r="I532" s="710"/>
      <c r="J532" s="710"/>
      <c r="K532" s="710" t="s">
        <v>3286</v>
      </c>
      <c r="L532" s="710"/>
      <c r="M532" s="710"/>
      <c r="AE532" s="551"/>
      <c r="AF532" s="551"/>
    </row>
    <row r="533" spans="1:32" s="64" customFormat="1" ht="11.25">
      <c r="A533" s="710"/>
      <c r="B533" s="710"/>
      <c r="C533" s="710" t="s">
        <v>2658</v>
      </c>
      <c r="D533" s="710"/>
      <c r="E533" s="710"/>
      <c r="F533" s="710"/>
      <c r="G533" s="710"/>
      <c r="H533" s="710"/>
      <c r="I533" s="710"/>
      <c r="J533" s="710"/>
      <c r="K533" s="710" t="s">
        <v>2667</v>
      </c>
      <c r="L533" s="710"/>
      <c r="M533" s="710"/>
      <c r="AE533" s="551"/>
      <c r="AF533" s="551"/>
    </row>
    <row r="534" spans="1:32" s="64" customFormat="1" ht="11.25">
      <c r="A534" s="710"/>
      <c r="B534" s="710"/>
      <c r="C534" s="710" t="s">
        <v>763</v>
      </c>
      <c r="D534" s="710"/>
      <c r="E534" s="710"/>
      <c r="F534" s="710"/>
      <c r="G534" s="710"/>
      <c r="H534" s="710"/>
      <c r="I534" s="710"/>
      <c r="J534" s="710"/>
      <c r="K534" s="710" t="s">
        <v>3288</v>
      </c>
      <c r="L534" s="710"/>
      <c r="M534" s="710"/>
      <c r="AE534" s="551"/>
      <c r="AF534" s="551"/>
    </row>
    <row r="535" spans="1:32" s="64" customFormat="1" ht="11.25">
      <c r="A535" s="710"/>
      <c r="B535" s="710"/>
      <c r="C535" s="710" t="s">
        <v>2913</v>
      </c>
      <c r="D535" s="710"/>
      <c r="E535" s="710"/>
      <c r="F535" s="710"/>
      <c r="G535" s="710"/>
      <c r="H535" s="710"/>
      <c r="I535" s="710"/>
      <c r="J535" s="710"/>
      <c r="K535" s="710" t="s">
        <v>35</v>
      </c>
      <c r="L535" s="710"/>
      <c r="M535" s="710"/>
      <c r="AE535" s="551"/>
      <c r="AF535" s="551"/>
    </row>
    <row r="536" spans="1:32" s="64" customFormat="1" ht="11.25">
      <c r="A536" s="710"/>
      <c r="B536" s="710"/>
      <c r="C536" s="712" t="s">
        <v>36</v>
      </c>
      <c r="D536" s="710"/>
      <c r="E536" s="710"/>
      <c r="F536" s="710"/>
      <c r="G536" s="710"/>
      <c r="H536" s="710"/>
      <c r="I536" s="710"/>
      <c r="J536" s="710"/>
      <c r="K536" s="710" t="s">
        <v>2519</v>
      </c>
      <c r="L536" s="710"/>
      <c r="M536" s="710"/>
      <c r="AE536" s="551"/>
      <c r="AF536" s="551"/>
    </row>
    <row r="537" spans="1:32" s="64" customFormat="1" ht="11.25">
      <c r="A537" s="710"/>
      <c r="B537" s="710"/>
      <c r="C537" s="710"/>
      <c r="D537" s="710"/>
      <c r="E537" s="710"/>
      <c r="F537" s="710"/>
      <c r="G537" s="710"/>
      <c r="H537" s="710"/>
      <c r="I537" s="710"/>
      <c r="J537" s="710"/>
      <c r="K537" s="710" t="s">
        <v>3289</v>
      </c>
      <c r="L537" s="710"/>
      <c r="M537" s="710"/>
      <c r="AE537" s="551"/>
      <c r="AF537" s="551"/>
    </row>
    <row r="538" spans="1:32" s="64" customFormat="1" ht="11.25">
      <c r="A538" s="710"/>
      <c r="B538" s="710"/>
      <c r="C538" s="710"/>
      <c r="D538" s="710"/>
      <c r="E538" s="710"/>
      <c r="F538" s="710"/>
      <c r="G538" s="710"/>
      <c r="H538" s="710"/>
      <c r="I538" s="710"/>
      <c r="J538" s="710"/>
      <c r="K538" s="710" t="s">
        <v>1576</v>
      </c>
      <c r="L538" s="710"/>
      <c r="M538" s="710"/>
      <c r="AE538" s="551"/>
      <c r="AF538" s="551"/>
    </row>
    <row r="539" spans="1:32" s="64" customFormat="1" ht="11.25">
      <c r="A539" s="710"/>
      <c r="B539" s="710"/>
      <c r="C539" s="710"/>
      <c r="D539" s="710"/>
      <c r="E539" s="710"/>
      <c r="F539" s="710"/>
      <c r="G539" s="710"/>
      <c r="H539" s="710"/>
      <c r="I539" s="710"/>
      <c r="J539" s="710"/>
      <c r="K539" s="710" t="s">
        <v>2581</v>
      </c>
      <c r="L539" s="710"/>
      <c r="M539" s="710"/>
      <c r="AE539" s="551"/>
      <c r="AF539" s="551"/>
    </row>
    <row r="540" spans="1:32" s="64" customFormat="1" ht="11.25">
      <c r="A540" s="710"/>
      <c r="B540" s="710"/>
      <c r="C540" s="710"/>
      <c r="D540" s="710"/>
      <c r="E540" s="710"/>
      <c r="F540" s="710"/>
      <c r="G540" s="710"/>
      <c r="H540" s="710"/>
      <c r="I540" s="710"/>
      <c r="J540" s="710"/>
      <c r="K540" s="710" t="s">
        <v>762</v>
      </c>
      <c r="L540" s="710"/>
      <c r="M540" s="710"/>
      <c r="AE540" s="551"/>
      <c r="AF540" s="551"/>
    </row>
    <row r="541" spans="1:32" s="64" customFormat="1" ht="11.25">
      <c r="A541" s="710"/>
      <c r="B541" s="710"/>
      <c r="C541" s="710"/>
      <c r="D541" s="710"/>
      <c r="E541" s="710"/>
      <c r="F541" s="710"/>
      <c r="G541" s="710"/>
      <c r="H541" s="710"/>
      <c r="I541" s="710"/>
      <c r="J541" s="710"/>
      <c r="K541" s="710" t="s">
        <v>2582</v>
      </c>
      <c r="L541" s="710"/>
      <c r="M541" s="710"/>
      <c r="AE541" s="551"/>
      <c r="AF541" s="551"/>
    </row>
    <row r="542" spans="1:32" s="64" customFormat="1" ht="11.25">
      <c r="A542" s="710"/>
      <c r="B542" s="710"/>
      <c r="C542" s="710"/>
      <c r="D542" s="710"/>
      <c r="E542" s="710"/>
      <c r="F542" s="710"/>
      <c r="G542" s="710"/>
      <c r="H542" s="710"/>
      <c r="I542" s="710"/>
      <c r="J542" s="710"/>
      <c r="K542" s="710" t="s">
        <v>764</v>
      </c>
      <c r="L542" s="710"/>
      <c r="M542" s="710"/>
      <c r="AE542" s="551"/>
      <c r="AF542" s="551"/>
    </row>
    <row r="543" spans="1:32" s="64" customFormat="1" ht="11.25">
      <c r="A543" s="710"/>
      <c r="B543" s="710"/>
      <c r="C543" s="710"/>
      <c r="D543" s="710"/>
      <c r="E543" s="710"/>
      <c r="F543" s="710"/>
      <c r="G543" s="710"/>
      <c r="H543" s="710"/>
      <c r="I543" s="710"/>
      <c r="J543" s="710"/>
      <c r="K543" s="710" t="s">
        <v>250</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2749</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22"/>
      <c r="H708" s="822"/>
      <c r="I708" s="822"/>
      <c r="J708" s="822"/>
      <c r="K708" s="82"/>
      <c r="L708" s="82"/>
      <c r="M708" s="82"/>
      <c r="N708" s="43"/>
      <c r="O708" s="822"/>
      <c r="P708" s="822"/>
      <c r="Q708" s="82"/>
      <c r="AE708" s="57"/>
      <c r="AF708" s="57"/>
    </row>
    <row r="709" spans="1:32" s="49" customFormat="1" ht="11.25" customHeight="1">
      <c r="A709" s="822"/>
      <c r="B709" s="822"/>
      <c r="C709" s="822"/>
      <c r="D709" s="43"/>
      <c r="E709" s="43"/>
      <c r="F709" s="43"/>
      <c r="G709" s="822"/>
      <c r="H709" s="822"/>
      <c r="I709" s="822"/>
      <c r="J709" s="822"/>
      <c r="K709" s="822"/>
      <c r="L709" s="822"/>
      <c r="M709" s="822"/>
      <c r="N709" s="43"/>
      <c r="O709" s="822"/>
      <c r="P709" s="822"/>
      <c r="Q709" s="822"/>
      <c r="AE709" s="57"/>
      <c r="AF709" s="57"/>
    </row>
    <row r="710" spans="1:32" s="49" customFormat="1" ht="11.25" customHeight="1">
      <c r="A710" s="822"/>
      <c r="B710" s="822"/>
      <c r="C710" s="822"/>
      <c r="D710" s="43"/>
      <c r="E710" s="43"/>
      <c r="F710" s="43"/>
      <c r="G710" s="822"/>
      <c r="H710" s="822"/>
      <c r="I710" s="822"/>
      <c r="J710" s="822"/>
      <c r="K710" s="822"/>
      <c r="L710" s="822"/>
      <c r="M710" s="822"/>
      <c r="N710" s="43"/>
      <c r="O710" s="822"/>
      <c r="P710" s="822"/>
      <c r="Q710" s="822"/>
      <c r="AE710" s="57"/>
      <c r="AF710" s="57"/>
    </row>
    <row r="711" spans="1:32" s="49" customFormat="1" ht="11.25" customHeight="1">
      <c r="A711" s="822"/>
      <c r="B711" s="822"/>
      <c r="C711" s="822"/>
      <c r="D711" s="43"/>
      <c r="E711" s="43"/>
      <c r="F711" s="43"/>
      <c r="G711" s="822"/>
      <c r="H711" s="822"/>
      <c r="I711" s="822"/>
      <c r="J711" s="822"/>
      <c r="K711" s="822"/>
      <c r="L711" s="822"/>
      <c r="M711" s="822"/>
      <c r="N711" s="43"/>
      <c r="O711" s="822"/>
      <c r="P711" s="822"/>
      <c r="Q711" s="822"/>
      <c r="AE711" s="57"/>
      <c r="AF711" s="57"/>
    </row>
    <row r="712" spans="1:32" s="49" customFormat="1" ht="11.25" customHeight="1">
      <c r="A712" s="822"/>
      <c r="B712" s="822"/>
      <c r="C712" s="822"/>
      <c r="D712" s="43"/>
      <c r="E712" s="43"/>
      <c r="F712" s="43"/>
      <c r="G712" s="43"/>
      <c r="H712" s="43"/>
      <c r="I712" s="822"/>
      <c r="J712" s="822"/>
      <c r="K712" s="822"/>
      <c r="L712" s="822"/>
      <c r="M712" s="822"/>
      <c r="N712" s="43"/>
      <c r="O712" s="822"/>
      <c r="P712" s="43"/>
      <c r="Q712" s="822"/>
      <c r="AE712" s="57"/>
      <c r="AF712" s="57"/>
    </row>
    <row r="713" spans="1:32">
      <c r="A713" s="822"/>
      <c r="B713" s="822"/>
      <c r="C713" s="822"/>
      <c r="K713" s="822"/>
      <c r="L713" s="822"/>
      <c r="M713" s="822"/>
      <c r="Q713" s="822"/>
    </row>
  </sheetData>
  <sheetProtection password="BD88" sheet="1" objects="1" scenarios="1" formatColumns="0" formatRows="0"/>
  <mergeCells count="240">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s>
  <phoneticPr fontId="6"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topLeftCell="A243" zoomScaleNormal="100" workbookViewId="0">
      <selection activeCell="A262"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5703125" style="810"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28" t="str">
        <f>CONCATENATE("PART NINE - SCORING CRITERIA","  -  ",'Part I-Project Information'!$O$4," ",'Part I-Project Information'!$F$23,", ",'Part I-Project Information'!F26,", ",'Part I-Project Information'!J27," County")</f>
        <v>PART NINE - SCORING CRITERIA  -  2013-007 Country Grove Apartments, Monroe, Walton County</v>
      </c>
      <c r="B1" s="929"/>
      <c r="C1" s="929"/>
      <c r="D1" s="929"/>
      <c r="E1" s="929"/>
      <c r="F1" s="929"/>
      <c r="G1" s="929"/>
      <c r="H1" s="929"/>
      <c r="I1" s="929"/>
      <c r="J1" s="929"/>
      <c r="K1" s="929"/>
      <c r="L1" s="929"/>
      <c r="M1" s="929"/>
      <c r="N1" s="929"/>
      <c r="O1" s="929"/>
      <c r="P1" s="930"/>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2941</v>
      </c>
      <c r="N3" s="89"/>
      <c r="O3" s="100" t="s">
        <v>2940</v>
      </c>
      <c r="P3" s="222" t="s">
        <v>282</v>
      </c>
    </row>
    <row r="4" spans="1:19" s="51" customFormat="1" ht="12.6" customHeight="1">
      <c r="A4" s="49"/>
      <c r="B4" s="49"/>
      <c r="C4" s="49"/>
      <c r="D4" s="49"/>
      <c r="E4" s="49"/>
      <c r="F4" s="49"/>
      <c r="G4" s="49"/>
      <c r="H4" s="49"/>
      <c r="I4" s="49"/>
      <c r="J4" s="49"/>
      <c r="K4" s="49"/>
      <c r="M4" s="224" t="s">
        <v>97</v>
      </c>
      <c r="N4" s="102"/>
      <c r="O4" s="223" t="s">
        <v>2941</v>
      </c>
      <c r="P4" s="101" t="s">
        <v>2941</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1646</v>
      </c>
      <c r="M6" s="349">
        <f>M288</f>
        <v>103</v>
      </c>
      <c r="N6" s="10"/>
      <c r="O6" s="76">
        <f>O288</f>
        <v>59</v>
      </c>
      <c r="P6" s="76">
        <f>P288</f>
        <v>13</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2697</v>
      </c>
      <c r="B8" s="127" t="s">
        <v>1451</v>
      </c>
      <c r="C8" s="5"/>
      <c r="D8" s="5"/>
      <c r="E8" s="5"/>
      <c r="F8" s="11"/>
      <c r="H8" s="56" t="s">
        <v>2222</v>
      </c>
      <c r="M8" s="2">
        <v>10</v>
      </c>
      <c r="N8" s="128"/>
      <c r="O8" s="76">
        <f>MIN($M8, $M8-O10-O12-O11)</f>
        <v>10</v>
      </c>
      <c r="P8" s="76">
        <f>MIN($M8, $M8-P10-P12-P11)</f>
        <v>10</v>
      </c>
      <c r="Q8" s="130" t="s">
        <v>566</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2693</v>
      </c>
      <c r="B10" s="213" t="s">
        <v>2572</v>
      </c>
      <c r="D10" s="55"/>
      <c r="E10" s="55"/>
      <c r="F10" s="669" t="s">
        <v>3380</v>
      </c>
      <c r="G10" s="38">
        <f>F16</f>
        <v>0</v>
      </c>
      <c r="H10" s="221" t="s">
        <v>274</v>
      </c>
      <c r="M10" s="7"/>
      <c r="N10" s="77" t="s">
        <v>2693</v>
      </c>
      <c r="O10" s="1726">
        <v>0</v>
      </c>
      <c r="P10" s="65"/>
    </row>
    <row r="11" spans="1:19" s="50" customFormat="1" ht="11.25" customHeight="1">
      <c r="A11" s="230"/>
      <c r="B11" s="131" t="s">
        <v>2827</v>
      </c>
      <c r="D11" s="55"/>
      <c r="E11" s="55"/>
      <c r="F11" s="669" t="s">
        <v>3380</v>
      </c>
      <c r="G11" s="38">
        <f>P16</f>
        <v>0</v>
      </c>
      <c r="H11" s="221" t="s">
        <v>3963</v>
      </c>
      <c r="J11" s="56"/>
      <c r="M11" s="7">
        <v>1</v>
      </c>
      <c r="N11" s="77"/>
      <c r="O11" s="1726">
        <v>0</v>
      </c>
      <c r="P11" s="65"/>
    </row>
    <row r="12" spans="1:19" s="49" customFormat="1" ht="11.25" customHeight="1">
      <c r="A12" s="230" t="s">
        <v>2696</v>
      </c>
      <c r="B12" s="213" t="s">
        <v>1030</v>
      </c>
      <c r="D12" s="55"/>
      <c r="E12" s="55"/>
      <c r="F12" s="669" t="s">
        <v>3380</v>
      </c>
      <c r="G12" s="38">
        <f>K16</f>
        <v>0</v>
      </c>
      <c r="H12" s="221" t="s">
        <v>3683</v>
      </c>
      <c r="J12" s="56"/>
      <c r="M12" s="7"/>
      <c r="N12" s="77" t="s">
        <v>2696</v>
      </c>
      <c r="O12" s="1726">
        <v>0</v>
      </c>
      <c r="P12" s="65"/>
      <c r="Q12" s="130"/>
    </row>
    <row r="13" spans="1:19" s="49" customFormat="1" ht="11.25" customHeight="1">
      <c r="A13" s="56" t="s">
        <v>281</v>
      </c>
      <c r="D13" s="55"/>
      <c r="E13" s="55"/>
      <c r="F13" s="55"/>
      <c r="G13" s="55"/>
      <c r="H13" s="44"/>
      <c r="I13" s="44"/>
      <c r="J13" s="44"/>
      <c r="K13" s="44"/>
      <c r="L13" s="50"/>
      <c r="M13" s="53"/>
      <c r="N13" s="73"/>
      <c r="O13" s="4"/>
      <c r="P13" s="817"/>
    </row>
    <row r="14" spans="1:19" s="49" customFormat="1" ht="12.6" customHeight="1">
      <c r="A14" s="1629"/>
      <c r="B14" s="1630"/>
      <c r="C14" s="1630"/>
      <c r="D14" s="1630"/>
      <c r="E14" s="1630"/>
      <c r="F14" s="1630"/>
      <c r="G14" s="1630"/>
      <c r="H14" s="1630"/>
      <c r="I14" s="1630"/>
      <c r="J14" s="1630"/>
      <c r="K14" s="1630"/>
      <c r="L14" s="1630"/>
      <c r="M14" s="1630"/>
      <c r="N14" s="1630"/>
      <c r="O14" s="1630"/>
      <c r="P14" s="1631"/>
      <c r="Q14" s="614" t="s">
        <v>1676</v>
      </c>
      <c r="R14" s="615"/>
    </row>
    <row r="15" spans="1:19" s="49" customFormat="1" ht="10.9" customHeight="1">
      <c r="A15" s="79" t="s">
        <v>2570</v>
      </c>
      <c r="C15" s="115"/>
      <c r="D15" s="115"/>
      <c r="F15" s="162" t="s">
        <v>2405</v>
      </c>
      <c r="K15" s="162" t="s">
        <v>2405</v>
      </c>
      <c r="P15" s="654" t="s">
        <v>2405</v>
      </c>
      <c r="R15" s="616"/>
      <c r="S15" s="195"/>
    </row>
    <row r="16" spans="1:19" s="49" customFormat="1" ht="12" customHeight="1">
      <c r="A16" s="1149" t="s">
        <v>3163</v>
      </c>
      <c r="B16" s="1149"/>
      <c r="C16" s="1149"/>
      <c r="D16" s="1149"/>
      <c r="E16" s="78" t="s">
        <v>674</v>
      </c>
      <c r="F16" s="92">
        <f>SUM(F17:F28)</f>
        <v>0</v>
      </c>
      <c r="G16" s="1150" t="s">
        <v>3164</v>
      </c>
      <c r="H16" s="1149"/>
      <c r="I16" s="1149"/>
      <c r="J16" s="78" t="s">
        <v>674</v>
      </c>
      <c r="K16" s="92">
        <f>SUM(K17:K28)</f>
        <v>0</v>
      </c>
      <c r="L16" s="825" t="s">
        <v>3962</v>
      </c>
      <c r="M16" s="115"/>
      <c r="N16" s="113"/>
      <c r="O16" s="78"/>
      <c r="P16" s="92">
        <f>SUM(P17:P28)</f>
        <v>0</v>
      </c>
      <c r="R16" s="616"/>
      <c r="S16" s="195"/>
    </row>
    <row r="17" spans="1:19" s="49" customFormat="1" ht="23.25" customHeight="1">
      <c r="A17" s="1146" t="e">
        <f>#REF!</f>
        <v>#REF!</v>
      </c>
      <c r="B17" s="1147"/>
      <c r="C17" s="1147"/>
      <c r="D17" s="1147"/>
      <c r="E17" s="1148"/>
      <c r="F17" s="281"/>
      <c r="G17" s="1144">
        <v>1</v>
      </c>
      <c r="H17" s="1145"/>
      <c r="I17" s="1145"/>
      <c r="J17" s="1145"/>
      <c r="K17" s="281"/>
      <c r="L17" s="1144">
        <v>1</v>
      </c>
      <c r="M17" s="1145"/>
      <c r="N17" s="1145"/>
      <c r="O17" s="1145"/>
      <c r="P17" s="281"/>
      <c r="Q17" s="614" t="s">
        <v>1676</v>
      </c>
      <c r="R17" s="615"/>
      <c r="S17" s="195"/>
    </row>
    <row r="18" spans="1:19" s="49" customFormat="1" ht="23.25" customHeight="1">
      <c r="A18" s="1141">
        <v>2</v>
      </c>
      <c r="B18" s="1142"/>
      <c r="C18" s="1142"/>
      <c r="D18" s="1142"/>
      <c r="E18" s="1143"/>
      <c r="F18" s="282"/>
      <c r="G18" s="1136">
        <v>2</v>
      </c>
      <c r="H18" s="1137"/>
      <c r="I18" s="1137"/>
      <c r="J18" s="1137"/>
      <c r="K18" s="282"/>
      <c r="L18" s="1136">
        <v>2</v>
      </c>
      <c r="M18" s="1137"/>
      <c r="N18" s="1137"/>
      <c r="O18" s="1137"/>
      <c r="P18" s="282"/>
      <c r="Q18" s="614"/>
      <c r="R18" s="615"/>
      <c r="S18" s="195"/>
    </row>
    <row r="19" spans="1:19" s="49" customFormat="1" ht="23.25" customHeight="1">
      <c r="A19" s="1141">
        <v>3</v>
      </c>
      <c r="B19" s="1142"/>
      <c r="C19" s="1142"/>
      <c r="D19" s="1142"/>
      <c r="E19" s="1143"/>
      <c r="F19" s="282"/>
      <c r="G19" s="1136">
        <v>3</v>
      </c>
      <c r="H19" s="1137"/>
      <c r="I19" s="1137"/>
      <c r="J19" s="1137"/>
      <c r="K19" s="282"/>
      <c r="L19" s="1136">
        <v>3</v>
      </c>
      <c r="M19" s="1137"/>
      <c r="N19" s="1137"/>
      <c r="O19" s="1137"/>
      <c r="P19" s="282"/>
      <c r="Q19" s="614"/>
      <c r="R19" s="615"/>
      <c r="S19" s="195"/>
    </row>
    <row r="20" spans="1:19" s="49" customFormat="1" ht="23.25" customHeight="1">
      <c r="A20" s="1141">
        <v>4</v>
      </c>
      <c r="B20" s="1142"/>
      <c r="C20" s="1142"/>
      <c r="D20" s="1142"/>
      <c r="E20" s="1143"/>
      <c r="F20" s="282"/>
      <c r="G20" s="1136">
        <v>4</v>
      </c>
      <c r="H20" s="1137"/>
      <c r="I20" s="1137"/>
      <c r="J20" s="1137"/>
      <c r="K20" s="282"/>
      <c r="L20" s="1136">
        <v>4</v>
      </c>
      <c r="M20" s="1137"/>
      <c r="N20" s="1137"/>
      <c r="O20" s="1137"/>
      <c r="P20" s="282"/>
      <c r="Q20" s="614"/>
      <c r="R20" s="615"/>
      <c r="S20" s="195"/>
    </row>
    <row r="21" spans="1:19" s="49" customFormat="1" ht="23.25" customHeight="1">
      <c r="A21" s="1141">
        <v>5</v>
      </c>
      <c r="B21" s="1142"/>
      <c r="C21" s="1142"/>
      <c r="D21" s="1142"/>
      <c r="E21" s="1143"/>
      <c r="F21" s="282"/>
      <c r="G21" s="1136">
        <v>5</v>
      </c>
      <c r="H21" s="1137"/>
      <c r="I21" s="1137"/>
      <c r="J21" s="1137"/>
      <c r="K21" s="282"/>
      <c r="L21" s="1136">
        <v>5</v>
      </c>
      <c r="M21" s="1137"/>
      <c r="N21" s="1137"/>
      <c r="O21" s="1137"/>
      <c r="P21" s="282"/>
      <c r="R21" s="195"/>
      <c r="S21" s="195"/>
    </row>
    <row r="22" spans="1:19" s="49" customFormat="1" ht="23.25" customHeight="1">
      <c r="A22" s="1141">
        <v>6</v>
      </c>
      <c r="B22" s="1142"/>
      <c r="C22" s="1142"/>
      <c r="D22" s="1142"/>
      <c r="E22" s="1143"/>
      <c r="F22" s="282"/>
      <c r="G22" s="1136">
        <v>6</v>
      </c>
      <c r="H22" s="1137"/>
      <c r="I22" s="1137"/>
      <c r="J22" s="1137"/>
      <c r="K22" s="282"/>
      <c r="L22" s="1136">
        <v>6</v>
      </c>
      <c r="M22" s="1137"/>
      <c r="N22" s="1137"/>
      <c r="O22" s="1137"/>
      <c r="P22" s="282"/>
      <c r="R22" s="195"/>
      <c r="S22" s="195"/>
    </row>
    <row r="23" spans="1:19" s="49" customFormat="1" ht="23.25" customHeight="1">
      <c r="A23" s="1141">
        <v>7</v>
      </c>
      <c r="B23" s="1142"/>
      <c r="C23" s="1142"/>
      <c r="D23" s="1142"/>
      <c r="E23" s="1143"/>
      <c r="F23" s="282"/>
      <c r="G23" s="1136">
        <v>7</v>
      </c>
      <c r="H23" s="1137"/>
      <c r="I23" s="1137"/>
      <c r="J23" s="1137"/>
      <c r="K23" s="282"/>
      <c r="L23" s="1136">
        <v>7</v>
      </c>
      <c r="M23" s="1137"/>
      <c r="N23" s="1137"/>
      <c r="O23" s="1137"/>
      <c r="P23" s="282"/>
      <c r="R23" s="195"/>
      <c r="S23" s="195"/>
    </row>
    <row r="24" spans="1:19" s="49" customFormat="1" ht="23.25" customHeight="1">
      <c r="A24" s="1141">
        <v>8</v>
      </c>
      <c r="B24" s="1142"/>
      <c r="C24" s="1142"/>
      <c r="D24" s="1142"/>
      <c r="E24" s="1143"/>
      <c r="F24" s="282"/>
      <c r="G24" s="1136">
        <v>8</v>
      </c>
      <c r="H24" s="1137"/>
      <c r="I24" s="1137"/>
      <c r="J24" s="1137"/>
      <c r="K24" s="282"/>
      <c r="L24" s="1136">
        <v>8</v>
      </c>
      <c r="M24" s="1137"/>
      <c r="N24" s="1137"/>
      <c r="O24" s="1137"/>
      <c r="P24" s="282"/>
      <c r="R24" s="195"/>
      <c r="S24" s="195"/>
    </row>
    <row r="25" spans="1:19" s="49" customFormat="1" ht="23.25" customHeight="1">
      <c r="A25" s="1141">
        <v>9</v>
      </c>
      <c r="B25" s="1142"/>
      <c r="C25" s="1142"/>
      <c r="D25" s="1142"/>
      <c r="E25" s="1143"/>
      <c r="F25" s="282"/>
      <c r="G25" s="1136">
        <v>9</v>
      </c>
      <c r="H25" s="1137"/>
      <c r="I25" s="1137"/>
      <c r="J25" s="1137"/>
      <c r="K25" s="282"/>
      <c r="L25" s="1136">
        <v>9</v>
      </c>
      <c r="M25" s="1137"/>
      <c r="N25" s="1137"/>
      <c r="O25" s="1137"/>
      <c r="P25" s="282"/>
      <c r="R25" s="195"/>
      <c r="S25" s="195"/>
    </row>
    <row r="26" spans="1:19" s="49" customFormat="1" ht="23.25" customHeight="1">
      <c r="A26" s="1141">
        <v>10</v>
      </c>
      <c r="B26" s="1142"/>
      <c r="C26" s="1142"/>
      <c r="D26" s="1142"/>
      <c r="E26" s="1143"/>
      <c r="F26" s="282"/>
      <c r="G26" s="1136">
        <v>10</v>
      </c>
      <c r="H26" s="1137"/>
      <c r="I26" s="1137"/>
      <c r="J26" s="1137"/>
      <c r="K26" s="282"/>
      <c r="L26" s="1136">
        <v>10</v>
      </c>
      <c r="M26" s="1137"/>
      <c r="N26" s="1137"/>
      <c r="O26" s="1137"/>
      <c r="P26" s="282"/>
      <c r="R26" s="195"/>
      <c r="S26" s="195"/>
    </row>
    <row r="27" spans="1:19" s="49" customFormat="1" ht="23.25" customHeight="1">
      <c r="A27" s="1141">
        <v>11</v>
      </c>
      <c r="B27" s="1142"/>
      <c r="C27" s="1142"/>
      <c r="D27" s="1142"/>
      <c r="E27" s="1143"/>
      <c r="F27" s="282"/>
      <c r="G27" s="1136">
        <v>11</v>
      </c>
      <c r="H27" s="1137"/>
      <c r="I27" s="1137"/>
      <c r="J27" s="1137"/>
      <c r="K27" s="282"/>
      <c r="L27" s="1136">
        <v>11</v>
      </c>
      <c r="M27" s="1137"/>
      <c r="N27" s="1137"/>
      <c r="O27" s="1137"/>
      <c r="P27" s="282"/>
      <c r="R27" s="195"/>
      <c r="S27" s="195"/>
    </row>
    <row r="28" spans="1:19" s="49" customFormat="1" ht="23.25" customHeight="1">
      <c r="A28" s="1153">
        <v>12</v>
      </c>
      <c r="B28" s="1154"/>
      <c r="C28" s="1154"/>
      <c r="D28" s="1154"/>
      <c r="E28" s="1155"/>
      <c r="F28" s="283"/>
      <c r="G28" s="1151">
        <v>12</v>
      </c>
      <c r="H28" s="1152"/>
      <c r="I28" s="1152"/>
      <c r="J28" s="1152"/>
      <c r="K28" s="283"/>
      <c r="L28" s="1151">
        <v>12</v>
      </c>
      <c r="M28" s="1152"/>
      <c r="N28" s="1152"/>
      <c r="O28" s="1152"/>
      <c r="P28" s="283"/>
    </row>
    <row r="29" spans="1:19" s="50" customFormat="1" ht="4.9000000000000004" customHeight="1">
      <c r="D29" s="47"/>
      <c r="E29" s="44"/>
      <c r="F29" s="674"/>
      <c r="G29" s="674"/>
      <c r="H29" s="674"/>
      <c r="I29" s="674"/>
      <c r="J29" s="38"/>
      <c r="K29" s="38"/>
      <c r="L29" s="38"/>
      <c r="M29" s="71"/>
      <c r="N29" s="674"/>
      <c r="O29" s="817"/>
      <c r="P29" s="4"/>
    </row>
    <row r="30" spans="1:19" s="50" customFormat="1" ht="12.6" customHeight="1">
      <c r="A30" s="605" t="s">
        <v>2699</v>
      </c>
      <c r="B30" s="134" t="s">
        <v>1416</v>
      </c>
      <c r="E30" s="68"/>
      <c r="G30" s="105"/>
      <c r="H30" s="61"/>
      <c r="K30" s="132"/>
      <c r="L30" s="490" t="str">
        <f>IF($O30&gt;$M30,"* * Check Score! * *","")</f>
        <v/>
      </c>
      <c r="M30" s="674">
        <v>4</v>
      </c>
      <c r="N30" s="8"/>
      <c r="O30" s="186">
        <f>IF($L32 &gt;= $P32,$M32,IF($L31&gt;=$P31,$M31,0))</f>
        <v>3</v>
      </c>
      <c r="P30" s="186">
        <f>IF($L32 &gt;= $P32,$M32,IF($L31&gt;=$P31,$M31,0))</f>
        <v>3</v>
      </c>
      <c r="Q30" s="130" t="s">
        <v>566</v>
      </c>
      <c r="R30" s="490" t="str">
        <f>IF(OR($O30=$M30,$O30=0,$O30=""),"","* * Check Score! * *")</f>
        <v>* * Check Score! * *</v>
      </c>
    </row>
    <row r="31" spans="1:19" s="570" customFormat="1" ht="11.25" customHeight="1">
      <c r="A31" s="569" t="s">
        <v>2693</v>
      </c>
      <c r="B31" s="137" t="s">
        <v>3424</v>
      </c>
      <c r="E31" s="571"/>
      <c r="H31" s="549" t="s">
        <v>3540</v>
      </c>
      <c r="I31" s="1727">
        <v>8</v>
      </c>
      <c r="K31" s="549" t="s">
        <v>3542</v>
      </c>
      <c r="L31" s="573">
        <f>IF(OR('Part VI-Revenues &amp; Expenses'!$M$60="", 'Part VI-Revenues &amp; Expenses'!$M$60=0),0,I31/'Part VI-Revenues &amp; Expenses'!$M$60)</f>
        <v>0.16666666666666666</v>
      </c>
      <c r="M31" s="577">
        <v>3</v>
      </c>
      <c r="N31" s="572"/>
      <c r="O31" s="1138" t="s">
        <v>3575</v>
      </c>
      <c r="P31" s="613">
        <v>0.15</v>
      </c>
    </row>
    <row r="32" spans="1:19" s="570" customFormat="1" ht="11.25" customHeight="1">
      <c r="A32" s="569" t="s">
        <v>2696</v>
      </c>
      <c r="B32" s="137" t="s">
        <v>3425</v>
      </c>
      <c r="E32" s="571"/>
      <c r="H32" s="549" t="s">
        <v>3426</v>
      </c>
      <c r="I32" s="1727">
        <v>0</v>
      </c>
      <c r="K32" s="549" t="s">
        <v>3542</v>
      </c>
      <c r="L32" s="573">
        <f>IF(OR('Part VI-Revenues &amp; Expenses'!$M$60="", 'Part VI-Revenues &amp; Expenses'!$M$60=0),0,I32/'Part VI-Revenues &amp; Expenses'!$M$60)</f>
        <v>0</v>
      </c>
      <c r="M32" s="577">
        <v>4</v>
      </c>
      <c r="N32" s="572"/>
      <c r="O32" s="1139"/>
      <c r="P32" s="613">
        <v>0.3</v>
      </c>
    </row>
    <row r="33" spans="1:18" s="50" customFormat="1" ht="11.25" customHeight="1">
      <c r="A33" s="49"/>
      <c r="B33" s="56" t="s">
        <v>281</v>
      </c>
      <c r="C33" s="49"/>
      <c r="D33" s="55"/>
      <c r="E33" s="55"/>
      <c r="F33" s="55"/>
      <c r="G33" s="55"/>
      <c r="H33" s="44"/>
      <c r="I33" s="44"/>
      <c r="J33" s="44"/>
      <c r="K33" s="44"/>
      <c r="M33" s="53"/>
      <c r="N33" s="73"/>
      <c r="O33" s="4"/>
      <c r="P33" s="817"/>
    </row>
    <row r="34" spans="1:18" s="50" customFormat="1" ht="12.6" customHeight="1">
      <c r="A34" s="1629"/>
      <c r="B34" s="1630"/>
      <c r="C34" s="1630"/>
      <c r="D34" s="1630"/>
      <c r="E34" s="1630"/>
      <c r="F34" s="1630"/>
      <c r="G34" s="1630"/>
      <c r="H34" s="1630"/>
      <c r="I34" s="1630"/>
      <c r="J34" s="1630"/>
      <c r="K34" s="1630"/>
      <c r="L34" s="1630"/>
      <c r="M34" s="1630"/>
      <c r="N34" s="1630"/>
      <c r="O34" s="1630"/>
      <c r="P34" s="1631"/>
      <c r="Q34" s="614" t="s">
        <v>1676</v>
      </c>
    </row>
    <row r="35" spans="1:18" s="50" customFormat="1" ht="11.45" customHeight="1">
      <c r="A35" s="49"/>
      <c r="B35" s="118" t="s">
        <v>2570</v>
      </c>
      <c r="C35" s="49"/>
      <c r="D35" s="103"/>
      <c r="E35" s="818"/>
      <c r="F35" s="818"/>
      <c r="G35" s="818"/>
      <c r="H35" s="818"/>
      <c r="I35" s="818"/>
      <c r="J35" s="818"/>
      <c r="K35" s="818"/>
      <c r="L35" s="818"/>
      <c r="M35" s="818"/>
      <c r="N35" s="90"/>
      <c r="O35" s="85"/>
      <c r="P35" s="2"/>
      <c r="Q35" s="570"/>
    </row>
    <row r="36" spans="1:18" s="50" customFormat="1" ht="12.6" customHeight="1">
      <c r="A36" s="1057"/>
      <c r="B36" s="1058"/>
      <c r="C36" s="1058"/>
      <c r="D36" s="1058"/>
      <c r="E36" s="1058"/>
      <c r="F36" s="1058"/>
      <c r="G36" s="1058"/>
      <c r="H36" s="1058"/>
      <c r="I36" s="1058"/>
      <c r="J36" s="1058"/>
      <c r="K36" s="1058"/>
      <c r="L36" s="1058"/>
      <c r="M36" s="1058"/>
      <c r="N36" s="1058"/>
      <c r="O36" s="1058"/>
      <c r="P36" s="1059"/>
      <c r="Q36" s="614" t="s">
        <v>1676</v>
      </c>
    </row>
    <row r="37" spans="1:18" ht="3" customHeight="1"/>
    <row r="38" spans="1:18" s="50" customFormat="1" ht="12.6" customHeight="1">
      <c r="A38" s="189" t="s">
        <v>3322</v>
      </c>
      <c r="B38" s="126" t="s">
        <v>2578</v>
      </c>
      <c r="D38" s="48"/>
      <c r="H38" s="1156" t="s">
        <v>774</v>
      </c>
      <c r="I38" s="1156"/>
      <c r="J38" s="1156"/>
      <c r="K38" s="1156"/>
      <c r="M38" s="2">
        <v>12</v>
      </c>
      <c r="N38" s="654"/>
      <c r="O38" s="186">
        <f>IF(OR($M40-$O41&lt;0,$O40-$O41&lt;0),0,IF($O40&lt;=$M40,$O40-$O41,IF($O40&gt;$M40,$M40-$O41,0)))</f>
        <v>12</v>
      </c>
      <c r="P38" s="186">
        <f>IF(OR($M40-$P41&lt;0,$P40-$P41&lt;0),0,IF($P40&lt;=$M40,$P40-$P41,IF($P40&gt;$M40,$M40-$P41,0)))</f>
        <v>0</v>
      </c>
      <c r="Q38" s="130" t="s">
        <v>566</v>
      </c>
    </row>
    <row r="39" spans="1:18" s="50" customFormat="1" ht="3" customHeight="1">
      <c r="A39" s="49"/>
      <c r="D39" s="47"/>
      <c r="E39" s="44"/>
      <c r="F39" s="674"/>
      <c r="G39" s="674"/>
      <c r="H39" s="1156"/>
      <c r="I39" s="1156"/>
      <c r="J39" s="1156"/>
      <c r="K39" s="1156"/>
      <c r="L39" s="38"/>
      <c r="M39" s="71"/>
      <c r="N39" s="674"/>
      <c r="O39" s="817"/>
      <c r="P39" s="4"/>
    </row>
    <row r="40" spans="1:18" s="50" customFormat="1" ht="12" customHeight="1">
      <c r="A40" s="171" t="s">
        <v>2693</v>
      </c>
      <c r="B40" s="213" t="s">
        <v>2579</v>
      </c>
      <c r="C40" s="5"/>
      <c r="D40" s="5"/>
      <c r="E40" s="221" t="s">
        <v>3657</v>
      </c>
      <c r="F40" s="389"/>
      <c r="G40" s="389"/>
      <c r="H40" s="1156"/>
      <c r="I40" s="1156"/>
      <c r="J40" s="1156"/>
      <c r="K40" s="1156"/>
      <c r="M40" s="88">
        <v>12</v>
      </c>
      <c r="N40" s="225" t="s">
        <v>2693</v>
      </c>
      <c r="O40" s="1728">
        <v>12</v>
      </c>
      <c r="P40" s="84"/>
      <c r="Q40" s="507" t="s">
        <v>3629</v>
      </c>
      <c r="R40" s="490"/>
    </row>
    <row r="41" spans="1:18" s="50" customFormat="1" ht="12.6" customHeight="1">
      <c r="A41" s="171" t="s">
        <v>2696</v>
      </c>
      <c r="B41" s="213" t="s">
        <v>2580</v>
      </c>
      <c r="D41" s="48"/>
      <c r="E41" s="221" t="s">
        <v>546</v>
      </c>
      <c r="F41" s="512"/>
      <c r="G41" s="512"/>
      <c r="H41" s="512"/>
      <c r="M41" s="162" t="s">
        <v>1659</v>
      </c>
      <c r="N41" s="654" t="s">
        <v>2696</v>
      </c>
      <c r="O41" s="1726">
        <v>0</v>
      </c>
      <c r="P41" s="84"/>
      <c r="Q41" s="507" t="s">
        <v>3629</v>
      </c>
      <c r="R41" s="490"/>
    </row>
    <row r="42" spans="1:18" s="50" customFormat="1" ht="11.25" customHeight="1">
      <c r="A42" s="49"/>
      <c r="B42" s="56" t="s">
        <v>281</v>
      </c>
      <c r="C42" s="49"/>
      <c r="D42" s="55"/>
      <c r="E42" s="55"/>
      <c r="F42" s="55"/>
      <c r="G42" s="55"/>
      <c r="H42" s="44"/>
      <c r="I42" s="44"/>
      <c r="J42" s="44"/>
      <c r="K42" s="44"/>
      <c r="M42" s="53"/>
      <c r="N42" s="73"/>
      <c r="O42" s="4"/>
      <c r="P42" s="817"/>
    </row>
    <row r="43" spans="1:18" s="50" customFormat="1" ht="23.45" customHeight="1">
      <c r="A43" s="1629" t="s">
        <v>4195</v>
      </c>
      <c r="B43" s="1630"/>
      <c r="C43" s="1630"/>
      <c r="D43" s="1630"/>
      <c r="E43" s="1630"/>
      <c r="F43" s="1630"/>
      <c r="G43" s="1630"/>
      <c r="H43" s="1630"/>
      <c r="I43" s="1630"/>
      <c r="J43" s="1630"/>
      <c r="K43" s="1630"/>
      <c r="L43" s="1630"/>
      <c r="M43" s="1630"/>
      <c r="N43" s="1630"/>
      <c r="O43" s="1630"/>
      <c r="P43" s="1631"/>
      <c r="Q43" s="614" t="s">
        <v>1676</v>
      </c>
      <c r="R43" s="615"/>
    </row>
    <row r="44" spans="1:18" s="50" customFormat="1" ht="11.45" customHeight="1">
      <c r="A44" s="49"/>
      <c r="B44" s="79" t="s">
        <v>2570</v>
      </c>
      <c r="C44" s="49"/>
      <c r="D44" s="169"/>
      <c r="E44" s="818"/>
      <c r="F44" s="818"/>
      <c r="G44" s="818"/>
      <c r="H44" s="818"/>
      <c r="I44" s="818"/>
      <c r="J44" s="818"/>
      <c r="K44" s="818"/>
      <c r="L44" s="818"/>
      <c r="M44" s="818"/>
      <c r="N44" s="90"/>
      <c r="O44" s="85"/>
      <c r="P44" s="2"/>
      <c r="Q44" s="570"/>
      <c r="R44" s="570"/>
    </row>
    <row r="45" spans="1:18" s="50" customFormat="1" ht="23.45" customHeight="1">
      <c r="A45" s="1057"/>
      <c r="B45" s="1058"/>
      <c r="C45" s="1058"/>
      <c r="D45" s="1058"/>
      <c r="E45" s="1058"/>
      <c r="F45" s="1058"/>
      <c r="G45" s="1058"/>
      <c r="H45" s="1058"/>
      <c r="I45" s="1058"/>
      <c r="J45" s="1058"/>
      <c r="K45" s="1058"/>
      <c r="L45" s="1058"/>
      <c r="M45" s="1058"/>
      <c r="N45" s="1058"/>
      <c r="O45" s="1058"/>
      <c r="P45" s="1059"/>
      <c r="Q45" s="614" t="s">
        <v>1676</v>
      </c>
      <c r="R45" s="615"/>
    </row>
    <row r="46" spans="1:18" ht="3.6" customHeight="1">
      <c r="M46" s="40"/>
      <c r="N46" s="139"/>
      <c r="O46" s="187"/>
      <c r="P46" s="187"/>
    </row>
    <row r="47" spans="1:18" s="50" customFormat="1" ht="12.6" customHeight="1">
      <c r="A47" s="189" t="s">
        <v>1644</v>
      </c>
      <c r="B47" s="126" t="s">
        <v>3459</v>
      </c>
      <c r="D47" s="48"/>
      <c r="H47" s="52" t="s">
        <v>3543</v>
      </c>
      <c r="I47" s="56" t="s">
        <v>2586</v>
      </c>
      <c r="J47" s="55"/>
      <c r="K47" s="55"/>
      <c r="M47" s="2">
        <v>3</v>
      </c>
      <c r="N47" s="654"/>
      <c r="O47" s="186">
        <f>MIN($M47,(O48+O49+O50))</f>
        <v>0</v>
      </c>
      <c r="P47" s="186">
        <f>MIN($M47,(P48+P49+P50))</f>
        <v>0</v>
      </c>
      <c r="Q47" s="130" t="s">
        <v>566</v>
      </c>
    </row>
    <row r="48" spans="1:18" s="50" customFormat="1" ht="12" customHeight="1">
      <c r="A48" s="171" t="s">
        <v>2693</v>
      </c>
      <c r="B48" s="213" t="s">
        <v>3435</v>
      </c>
      <c r="C48" s="5"/>
      <c r="D48" s="5"/>
      <c r="E48" s="44"/>
      <c r="F48" s="5"/>
      <c r="G48" s="47"/>
      <c r="I48" s="47"/>
      <c r="K48" s="55"/>
      <c r="L48" s="490" t="str">
        <f>IF(OR($O48=$M48,$O48=0,$O48=""),"","* * Check Score! * *")</f>
        <v/>
      </c>
      <c r="M48" s="88">
        <v>3</v>
      </c>
      <c r="N48" s="225" t="s">
        <v>2693</v>
      </c>
      <c r="O48" s="1728">
        <v>0</v>
      </c>
      <c r="P48" s="84"/>
      <c r="R48" s="490"/>
    </row>
    <row r="49" spans="1:18" s="50" customFormat="1" ht="12.6" customHeight="1">
      <c r="A49" s="171" t="s">
        <v>2696</v>
      </c>
      <c r="B49" s="213" t="s">
        <v>3436</v>
      </c>
      <c r="E49" s="48"/>
      <c r="K49" s="55"/>
      <c r="L49" s="490" t="str">
        <f>IF(OR($O49=$M49,$O49=0,$O49=""),"","* * Check Score! * *")</f>
        <v/>
      </c>
      <c r="M49" s="88">
        <v>2</v>
      </c>
      <c r="N49" s="654" t="s">
        <v>2696</v>
      </c>
      <c r="O49" s="1728">
        <v>0</v>
      </c>
      <c r="P49" s="84"/>
      <c r="R49" s="490"/>
    </row>
    <row r="50" spans="1:18" s="50" customFormat="1" ht="12.6" customHeight="1">
      <c r="A50" s="171" t="s">
        <v>1053</v>
      </c>
      <c r="B50" s="213" t="s">
        <v>3461</v>
      </c>
      <c r="E50" s="48"/>
      <c r="K50" s="55"/>
      <c r="L50" s="490" t="str">
        <f>IF(OR($O50=$M50,$O50=0,$O50=""),"","* * Check Score! * *")</f>
        <v/>
      </c>
      <c r="M50" s="88">
        <v>1</v>
      </c>
      <c r="N50" s="225" t="s">
        <v>1053</v>
      </c>
      <c r="O50" s="1728">
        <v>0</v>
      </c>
      <c r="P50" s="84"/>
      <c r="R50" s="490"/>
    </row>
    <row r="51" spans="1:18" s="123" customFormat="1" ht="11.45" customHeight="1">
      <c r="A51" s="49"/>
      <c r="B51" s="56" t="s">
        <v>281</v>
      </c>
      <c r="C51" s="49"/>
      <c r="D51" s="55"/>
      <c r="E51" s="55"/>
      <c r="F51" s="55"/>
      <c r="G51" s="55"/>
      <c r="H51" s="44"/>
      <c r="I51" s="44"/>
      <c r="J51" s="44"/>
      <c r="K51" s="44"/>
      <c r="M51" s="53"/>
      <c r="N51" s="7"/>
      <c r="O51" s="4"/>
      <c r="P51" s="2"/>
    </row>
    <row r="52" spans="1:18" s="50" customFormat="1" ht="12.75" customHeight="1">
      <c r="A52" s="1629" t="s">
        <v>4158</v>
      </c>
      <c r="B52" s="1630"/>
      <c r="C52" s="1630"/>
      <c r="D52" s="1630"/>
      <c r="E52" s="1630"/>
      <c r="F52" s="1630"/>
      <c r="G52" s="1630"/>
      <c r="H52" s="1630"/>
      <c r="I52" s="1630"/>
      <c r="J52" s="1630"/>
      <c r="K52" s="1630"/>
      <c r="L52" s="1630"/>
      <c r="M52" s="1630"/>
      <c r="N52" s="1630"/>
      <c r="O52" s="1630"/>
      <c r="P52" s="1631"/>
      <c r="Q52" s="614" t="s">
        <v>1676</v>
      </c>
    </row>
    <row r="53" spans="1:18" s="123" customFormat="1" ht="11.45" customHeight="1">
      <c r="A53" s="49"/>
      <c r="B53" s="118" t="s">
        <v>2570</v>
      </c>
      <c r="C53" s="49"/>
      <c r="D53" s="118"/>
      <c r="E53" s="816"/>
      <c r="F53" s="816"/>
      <c r="G53" s="816"/>
      <c r="H53" s="816"/>
      <c r="I53" s="816"/>
      <c r="J53" s="816"/>
      <c r="K53" s="816"/>
      <c r="L53" s="816"/>
      <c r="M53" s="816"/>
      <c r="N53" s="113"/>
      <c r="O53" s="232"/>
      <c r="P53" s="2"/>
      <c r="Q53" s="570"/>
    </row>
    <row r="54" spans="1:18" s="50" customFormat="1" ht="12.75" customHeight="1">
      <c r="A54" s="1057"/>
      <c r="B54" s="1058"/>
      <c r="C54" s="1058"/>
      <c r="D54" s="1058"/>
      <c r="E54" s="1058"/>
      <c r="F54" s="1058"/>
      <c r="G54" s="1058"/>
      <c r="H54" s="1058"/>
      <c r="I54" s="1058"/>
      <c r="J54" s="1058"/>
      <c r="K54" s="1058"/>
      <c r="L54" s="1058"/>
      <c r="M54" s="1058"/>
      <c r="N54" s="1058"/>
      <c r="O54" s="1058"/>
      <c r="P54" s="1059"/>
      <c r="Q54" s="614" t="s">
        <v>1676</v>
      </c>
    </row>
    <row r="55" spans="1:18" s="50" customFormat="1" ht="3" customHeight="1">
      <c r="A55" s="226"/>
      <c r="B55" s="58"/>
      <c r="G55" s="48"/>
      <c r="J55" s="55"/>
      <c r="K55" s="55"/>
      <c r="M55" s="123"/>
      <c r="N55" s="58"/>
      <c r="O55" s="123"/>
      <c r="P55" s="123"/>
    </row>
    <row r="56" spans="1:18" s="50" customFormat="1" ht="12.6" customHeight="1">
      <c r="A56" s="189" t="s">
        <v>1645</v>
      </c>
      <c r="B56" s="126" t="s">
        <v>3460</v>
      </c>
      <c r="D56" s="48"/>
      <c r="E56" s="44" t="s">
        <v>1819</v>
      </c>
      <c r="I56" s="56" t="s">
        <v>2586</v>
      </c>
      <c r="M56" s="2">
        <v>2</v>
      </c>
      <c r="N56" s="517" t="str">
        <f>IF(OR($O56=$M56,$O56=0,$O56=""),"","***")</f>
        <v/>
      </c>
      <c r="O56" s="1728">
        <v>0</v>
      </c>
      <c r="P56" s="84"/>
      <c r="Q56" s="130" t="s">
        <v>566</v>
      </c>
    </row>
    <row r="57" spans="1:18" s="50" customFormat="1" ht="12.6" customHeight="1">
      <c r="A57" s="189"/>
      <c r="B57" s="513" t="s">
        <v>3427</v>
      </c>
      <c r="D57" s="48"/>
      <c r="E57" s="44"/>
      <c r="I57" s="1729"/>
      <c r="J57" s="1730"/>
      <c r="K57" s="1730"/>
      <c r="L57" s="1731"/>
      <c r="M57" s="2"/>
      <c r="N57" s="654"/>
      <c r="O57" s="654"/>
      <c r="P57" s="654"/>
      <c r="Q57" s="130"/>
    </row>
    <row r="58" spans="1:18" s="123" customFormat="1" ht="11.45" customHeight="1">
      <c r="A58" s="49"/>
      <c r="B58" s="56" t="s">
        <v>281</v>
      </c>
      <c r="C58" s="49"/>
      <c r="D58" s="55"/>
      <c r="E58" s="55"/>
      <c r="F58" s="55"/>
      <c r="G58" s="55"/>
      <c r="I58" s="44"/>
      <c r="J58" s="44"/>
      <c r="K58" s="44"/>
      <c r="M58" s="53"/>
      <c r="N58" s="7"/>
      <c r="O58" s="4"/>
      <c r="P58" s="2"/>
    </row>
    <row r="59" spans="1:18" s="50" customFormat="1" ht="12.75" customHeight="1">
      <c r="A59" s="1629" t="s">
        <v>4157</v>
      </c>
      <c r="B59" s="1630"/>
      <c r="C59" s="1630"/>
      <c r="D59" s="1630"/>
      <c r="E59" s="1630"/>
      <c r="F59" s="1630"/>
      <c r="G59" s="1630"/>
      <c r="H59" s="1630"/>
      <c r="I59" s="1630"/>
      <c r="J59" s="1630"/>
      <c r="K59" s="1630"/>
      <c r="L59" s="1630"/>
      <c r="M59" s="1630"/>
      <c r="N59" s="1630"/>
      <c r="O59" s="1630"/>
      <c r="P59" s="1631"/>
      <c r="Q59" s="614" t="s">
        <v>1676</v>
      </c>
    </row>
    <row r="60" spans="1:18" s="123" customFormat="1" ht="11.45" customHeight="1">
      <c r="A60" s="49"/>
      <c r="B60" s="118" t="s">
        <v>2570</v>
      </c>
      <c r="C60" s="49"/>
      <c r="D60" s="118"/>
      <c r="E60" s="816"/>
      <c r="F60" s="816"/>
      <c r="G60" s="816"/>
      <c r="H60" s="816"/>
      <c r="I60" s="816"/>
      <c r="J60" s="816"/>
      <c r="K60" s="816"/>
      <c r="L60" s="816"/>
      <c r="M60" s="816"/>
      <c r="N60" s="113"/>
      <c r="O60" s="232"/>
      <c r="P60" s="2"/>
      <c r="Q60" s="570"/>
    </row>
    <row r="61" spans="1:18" s="50" customFormat="1" ht="12.75" customHeight="1">
      <c r="A61" s="1057"/>
      <c r="B61" s="1058"/>
      <c r="C61" s="1058"/>
      <c r="D61" s="1058"/>
      <c r="E61" s="1058"/>
      <c r="F61" s="1058"/>
      <c r="G61" s="1058"/>
      <c r="H61" s="1058"/>
      <c r="I61" s="1058"/>
      <c r="J61" s="1058"/>
      <c r="K61" s="1058"/>
      <c r="L61" s="1058"/>
      <c r="M61" s="1058"/>
      <c r="N61" s="1058"/>
      <c r="O61" s="1058"/>
      <c r="P61" s="1059"/>
      <c r="Q61" s="614" t="s">
        <v>1676</v>
      </c>
    </row>
    <row r="62" spans="1:18" ht="3" customHeight="1">
      <c r="B62" s="142"/>
      <c r="C62" s="142"/>
      <c r="D62" s="142"/>
      <c r="E62" s="142"/>
      <c r="R62" s="50"/>
    </row>
    <row r="63" spans="1:18" s="50" customFormat="1" ht="12.6" customHeight="1">
      <c r="A63" s="189" t="s">
        <v>2588</v>
      </c>
      <c r="B63" s="127" t="s">
        <v>235</v>
      </c>
      <c r="D63" s="47"/>
      <c r="E63" s="44"/>
      <c r="I63" s="611" t="s">
        <v>3529</v>
      </c>
      <c r="J63" s="1310" t="s">
        <v>4112</v>
      </c>
      <c r="K63" s="1732"/>
      <c r="L63" s="1311"/>
      <c r="M63" s="2">
        <v>3</v>
      </c>
      <c r="N63" s="517"/>
      <c r="O63" s="92">
        <f>IF(OR(J63="Earth Craft Communities",J63="LEED-ND"),$M64,IF(OR(J63="Earth Craft House Multifamily",J63="Earth Craft House Single Family",J63="Earth Craft House Renovation",J63="LEED for Homes",J63="EF Green Communities"),$M76,0))</f>
        <v>2</v>
      </c>
      <c r="P63" s="84"/>
      <c r="Q63" s="130" t="s">
        <v>566</v>
      </c>
    </row>
    <row r="64" spans="1:18" ht="11.45" customHeight="1">
      <c r="A64" s="171" t="s">
        <v>2693</v>
      </c>
      <c r="B64" s="229" t="s">
        <v>3058</v>
      </c>
      <c r="D64" s="40"/>
      <c r="H64" s="72"/>
      <c r="I64" s="40"/>
      <c r="J64" s="40"/>
      <c r="M64" s="139">
        <v>3</v>
      </c>
      <c r="N64" s="31"/>
      <c r="O64" s="144" t="s">
        <v>3296</v>
      </c>
      <c r="P64" s="144" t="s">
        <v>3296</v>
      </c>
    </row>
    <row r="65" spans="1:17" s="50" customFormat="1" ht="12.6" customHeight="1">
      <c r="B65" s="575" t="s">
        <v>3584</v>
      </c>
      <c r="D65" s="48"/>
      <c r="M65" s="2"/>
      <c r="N65" s="225" t="s">
        <v>2693</v>
      </c>
      <c r="O65" s="1625" t="s">
        <v>4063</v>
      </c>
      <c r="P65" s="210"/>
      <c r="Q65" s="130"/>
    </row>
    <row r="66" spans="1:17" ht="11.45" customHeight="1">
      <c r="A66" s="482" t="str">
        <f>IF($I$86="Stable Communities &lt; 10%", "X","")</f>
        <v/>
      </c>
      <c r="B66" s="483" t="s">
        <v>2697</v>
      </c>
      <c r="C66" s="499" t="s">
        <v>3428</v>
      </c>
      <c r="E66" s="142"/>
      <c r="N66" s="31"/>
      <c r="O66" s="31"/>
      <c r="P66" s="31"/>
    </row>
    <row r="67" spans="1:17" ht="23.25" customHeight="1">
      <c r="B67" s="506" t="s">
        <v>3201</v>
      </c>
      <c r="C67" s="1140" t="s">
        <v>3430</v>
      </c>
      <c r="D67" s="1140"/>
      <c r="E67" s="1140"/>
      <c r="F67" s="1140"/>
      <c r="G67" s="1140"/>
      <c r="H67" s="1140"/>
      <c r="I67" s="1140"/>
      <c r="J67" s="1140"/>
      <c r="K67" s="1140"/>
      <c r="L67" s="1140"/>
      <c r="M67" s="503" t="str">
        <f>IF(AND($I$86="Stable Communities &lt; 10%",O67=""), "X","")</f>
        <v/>
      </c>
      <c r="N67" s="505" t="s">
        <v>3431</v>
      </c>
      <c r="O67" s="1682" t="s">
        <v>1959</v>
      </c>
      <c r="P67" s="324"/>
    </row>
    <row r="68" spans="1:17" ht="12" customHeight="1">
      <c r="B68" s="506" t="s">
        <v>3202</v>
      </c>
      <c r="C68" s="172" t="s">
        <v>3684</v>
      </c>
      <c r="D68" s="172"/>
      <c r="E68" s="172"/>
      <c r="F68" s="172"/>
      <c r="G68" s="172"/>
      <c r="I68" s="172"/>
      <c r="L68" s="172"/>
      <c r="M68" s="503" t="str">
        <f>IF(AND($I$86="Stable Communities &lt; 10%",O68=""), "X","")</f>
        <v/>
      </c>
      <c r="N68" s="505" t="s">
        <v>3432</v>
      </c>
      <c r="O68" s="1683" t="s">
        <v>1959</v>
      </c>
      <c r="P68" s="473"/>
    </row>
    <row r="69" spans="1:17" ht="12" customHeight="1">
      <c r="B69" s="680" t="s">
        <v>3203</v>
      </c>
      <c r="C69" s="172" t="s">
        <v>3612</v>
      </c>
      <c r="D69" s="172"/>
      <c r="E69" s="172"/>
      <c r="F69" s="172"/>
      <c r="G69" s="172"/>
      <c r="I69" s="172"/>
      <c r="L69" s="172"/>
      <c r="M69" s="503" t="str">
        <f>IF(AND($I$86="Stable Communities &lt; 10%",O69=""), "X","")</f>
        <v/>
      </c>
      <c r="N69" s="505" t="s">
        <v>3685</v>
      </c>
      <c r="O69" s="1684" t="s">
        <v>1959</v>
      </c>
      <c r="P69" s="325"/>
    </row>
    <row r="70" spans="1:17" ht="12" customHeight="1">
      <c r="B70" s="506"/>
      <c r="C70" s="1625" t="s">
        <v>1959</v>
      </c>
      <c r="D70" s="172" t="s">
        <v>3616</v>
      </c>
      <c r="E70" s="172"/>
      <c r="F70" s="172"/>
      <c r="G70" s="1625" t="s">
        <v>1959</v>
      </c>
      <c r="H70" s="172" t="s">
        <v>3613</v>
      </c>
      <c r="I70" s="172"/>
      <c r="J70" s="1625" t="s">
        <v>1959</v>
      </c>
      <c r="K70" s="172" t="s">
        <v>3614</v>
      </c>
      <c r="M70" s="503"/>
      <c r="N70" s="503"/>
      <c r="O70" s="503"/>
      <c r="P70" s="503"/>
    </row>
    <row r="71" spans="1:17" ht="11.45" customHeight="1">
      <c r="A71" s="482" t="str">
        <f>IF($I$86="Stable Communities &lt; 20%", "X","")</f>
        <v/>
      </c>
      <c r="B71" s="483" t="s">
        <v>2699</v>
      </c>
      <c r="C71" s="499" t="s">
        <v>3429</v>
      </c>
      <c r="E71" s="142"/>
      <c r="M71" s="504"/>
      <c r="N71" s="31"/>
      <c r="O71" s="144" t="s">
        <v>3296</v>
      </c>
      <c r="P71" s="144" t="s">
        <v>3296</v>
      </c>
    </row>
    <row r="72" spans="1:17" ht="23.25" customHeight="1">
      <c r="B72" s="506" t="s">
        <v>3201</v>
      </c>
      <c r="C72" s="1140" t="s">
        <v>3686</v>
      </c>
      <c r="D72" s="1140"/>
      <c r="E72" s="1140"/>
      <c r="F72" s="1140"/>
      <c r="G72" s="1140"/>
      <c r="H72" s="1140"/>
      <c r="I72" s="1140"/>
      <c r="J72" s="1140"/>
      <c r="K72" s="1140"/>
      <c r="L72" s="1140"/>
      <c r="M72" s="503" t="str">
        <f>IF(AND($I$86="Stable Communities &lt; 10%",O72=""), "X","")</f>
        <v/>
      </c>
      <c r="N72" s="680" t="s">
        <v>3433</v>
      </c>
      <c r="O72" s="1733" t="s">
        <v>1959</v>
      </c>
      <c r="P72" s="326"/>
    </row>
    <row r="73" spans="1:17" ht="12.75" customHeight="1">
      <c r="B73" s="506" t="s">
        <v>3202</v>
      </c>
      <c r="C73" s="172" t="s">
        <v>3612</v>
      </c>
      <c r="D73" s="172"/>
      <c r="E73" s="172"/>
      <c r="F73" s="172"/>
      <c r="G73" s="172"/>
      <c r="H73" s="1625" t="s">
        <v>1959</v>
      </c>
      <c r="I73" s="172" t="s">
        <v>3615</v>
      </c>
      <c r="J73" s="172"/>
      <c r="K73" s="172"/>
      <c r="L73" s="172"/>
      <c r="M73" s="503" t="str">
        <f>IF(AND($I$86="Stable Communities &lt; 10%",O73=""), "X","")</f>
        <v/>
      </c>
      <c r="N73" s="574" t="s">
        <v>3434</v>
      </c>
      <c r="O73" s="1684" t="s">
        <v>1959</v>
      </c>
      <c r="P73" s="325"/>
    </row>
    <row r="74" spans="1:17" ht="12" customHeight="1">
      <c r="B74" s="506"/>
      <c r="E74" s="172"/>
      <c r="F74" s="172"/>
      <c r="H74" s="1625" t="s">
        <v>1959</v>
      </c>
      <c r="I74" s="172" t="s">
        <v>3616</v>
      </c>
      <c r="J74" s="172"/>
      <c r="K74" s="172"/>
      <c r="M74" s="503"/>
      <c r="N74" s="503"/>
      <c r="O74" s="503"/>
      <c r="P74" s="503"/>
    </row>
    <row r="75" spans="1:17" ht="2.25" customHeight="1">
      <c r="N75" s="31"/>
      <c r="O75" s="31"/>
      <c r="P75" s="31"/>
    </row>
    <row r="76" spans="1:17" ht="11.45" customHeight="1">
      <c r="A76" s="171" t="s">
        <v>2696</v>
      </c>
      <c r="B76" s="229" t="s">
        <v>342</v>
      </c>
      <c r="D76" s="40"/>
      <c r="E76" s="40"/>
      <c r="F76" s="40"/>
      <c r="M76" s="66">
        <v>2</v>
      </c>
      <c r="N76" s="31"/>
      <c r="O76" s="144" t="s">
        <v>3296</v>
      </c>
      <c r="P76" s="144" t="s">
        <v>3296</v>
      </c>
    </row>
    <row r="77" spans="1:17" s="50" customFormat="1" ht="11.25" customHeight="1">
      <c r="A77" s="189"/>
      <c r="B77" s="681" t="s">
        <v>2697</v>
      </c>
      <c r="C77" s="676" t="s">
        <v>3690</v>
      </c>
      <c r="D77" s="48"/>
      <c r="M77" s="2"/>
      <c r="N77" s="681" t="s">
        <v>2697</v>
      </c>
      <c r="O77" s="1625" t="s">
        <v>4068</v>
      </c>
      <c r="P77" s="210"/>
      <c r="Q77" s="130"/>
    </row>
    <row r="78" spans="1:17" s="50" customFormat="1" ht="11.25" customHeight="1">
      <c r="A78" s="189"/>
      <c r="B78" s="681" t="s">
        <v>2699</v>
      </c>
      <c r="C78" s="676" t="s">
        <v>3687</v>
      </c>
      <c r="D78" s="48"/>
      <c r="M78" s="2"/>
      <c r="N78" s="681" t="s">
        <v>2699</v>
      </c>
      <c r="O78" s="1625" t="s">
        <v>4068</v>
      </c>
      <c r="P78" s="210"/>
      <c r="Q78" s="130"/>
    </row>
    <row r="79" spans="1:17" s="50" customFormat="1" ht="11.25" customHeight="1">
      <c r="A79" s="189"/>
      <c r="B79" s="681" t="s">
        <v>3322</v>
      </c>
      <c r="C79" s="676" t="s">
        <v>3688</v>
      </c>
      <c r="D79" s="48"/>
      <c r="M79" s="2"/>
      <c r="N79" s="681" t="s">
        <v>3322</v>
      </c>
      <c r="O79" s="1625" t="s">
        <v>4068</v>
      </c>
      <c r="P79" s="210"/>
      <c r="Q79" s="130"/>
    </row>
    <row r="80" spans="1:17" s="50" customFormat="1" ht="11.25" customHeight="1">
      <c r="A80" s="189"/>
      <c r="B80" s="681" t="s">
        <v>1644</v>
      </c>
      <c r="C80" s="676" t="s">
        <v>3689</v>
      </c>
      <c r="D80" s="48"/>
      <c r="M80" s="2"/>
      <c r="N80" s="681" t="s">
        <v>1644</v>
      </c>
      <c r="O80" s="1625" t="s">
        <v>4068</v>
      </c>
      <c r="P80" s="210"/>
      <c r="Q80" s="130"/>
    </row>
    <row r="81" spans="1:18" s="123" customFormat="1" ht="11.45" customHeight="1">
      <c r="A81" s="49"/>
      <c r="B81" s="56" t="s">
        <v>281</v>
      </c>
      <c r="C81" s="49"/>
      <c r="D81" s="55"/>
      <c r="E81" s="55"/>
      <c r="F81" s="55"/>
      <c r="G81" s="55"/>
      <c r="K81" s="44"/>
      <c r="M81" s="53"/>
      <c r="N81" s="7"/>
      <c r="O81" s="4"/>
      <c r="P81" s="2"/>
    </row>
    <row r="82" spans="1:18" s="50" customFormat="1" ht="12.75" customHeight="1">
      <c r="A82" s="1734" t="s">
        <v>4159</v>
      </c>
      <c r="B82" s="1735"/>
      <c r="C82" s="1735"/>
      <c r="D82" s="1735"/>
      <c r="E82" s="1735"/>
      <c r="F82" s="1735"/>
      <c r="G82" s="1735"/>
      <c r="H82" s="1735"/>
      <c r="I82" s="1735"/>
      <c r="J82" s="1735"/>
      <c r="K82" s="1735"/>
      <c r="L82" s="1735"/>
      <c r="M82" s="1735"/>
      <c r="N82" s="1735"/>
      <c r="O82" s="1735"/>
      <c r="P82" s="1736"/>
      <c r="Q82" s="614" t="s">
        <v>1676</v>
      </c>
    </row>
    <row r="83" spans="1:18" s="50" customFormat="1" ht="11.25" customHeight="1">
      <c r="B83" s="118" t="s">
        <v>2570</v>
      </c>
      <c r="C83" s="49"/>
      <c r="D83" s="103"/>
      <c r="E83" s="818"/>
      <c r="F83" s="818"/>
      <c r="G83" s="818"/>
      <c r="H83" s="818"/>
      <c r="I83" s="818"/>
      <c r="J83" s="818"/>
      <c r="K83" s="818"/>
      <c r="L83" s="818"/>
      <c r="M83" s="818"/>
      <c r="N83" s="90"/>
      <c r="O83" s="85"/>
      <c r="P83" s="2"/>
      <c r="Q83" s="570"/>
    </row>
    <row r="84" spans="1:18" s="50" customFormat="1" ht="12.75" customHeight="1">
      <c r="A84" s="1131"/>
      <c r="B84" s="1132"/>
      <c r="C84" s="1132"/>
      <c r="D84" s="1132"/>
      <c r="E84" s="1132"/>
      <c r="F84" s="1132"/>
      <c r="G84" s="1132"/>
      <c r="H84" s="1132"/>
      <c r="I84" s="1132"/>
      <c r="J84" s="1132"/>
      <c r="K84" s="1132"/>
      <c r="L84" s="1132"/>
      <c r="M84" s="1132"/>
      <c r="N84" s="1132"/>
      <c r="O84" s="1132"/>
      <c r="P84" s="1133"/>
      <c r="Q84" s="614" t="s">
        <v>1676</v>
      </c>
    </row>
    <row r="85" spans="1:18" s="50" customFormat="1" ht="3" customHeight="1">
      <c r="A85" s="49"/>
      <c r="D85" s="47"/>
      <c r="E85" s="44"/>
      <c r="F85" s="674"/>
      <c r="G85" s="674"/>
      <c r="H85" s="674"/>
      <c r="I85" s="674"/>
      <c r="J85" s="38"/>
      <c r="K85" s="38"/>
      <c r="L85" s="38"/>
      <c r="M85" s="71"/>
      <c r="N85" s="674"/>
      <c r="O85" s="817"/>
      <c r="P85" s="4"/>
    </row>
    <row r="86" spans="1:18" s="123" customFormat="1" ht="12.6" customHeight="1">
      <c r="A86" s="189" t="s">
        <v>637</v>
      </c>
      <c r="B86" s="127" t="s">
        <v>3165</v>
      </c>
      <c r="C86" s="112"/>
      <c r="D86" s="70"/>
      <c r="E86" s="70"/>
      <c r="I86" s="1305" t="s">
        <v>3723</v>
      </c>
      <c r="J86" s="1306"/>
      <c r="K86" s="1306"/>
      <c r="L86" s="1307"/>
      <c r="M86" s="2">
        <v>4</v>
      </c>
      <c r="N86" s="8"/>
      <c r="O86" s="92">
        <f>IF(I86="Stable Communities &lt; 5%",4,IF(I86="Stable Communities &lt; 10%",3,IF(I86="Stable Communities &lt; 15%",2,IF(I86="Stable Communities &lt; 20%",1,IF(I86="Statutory Redevelopment Plan",2,IF(I86="Redevelopment Zone",2,IF(I86="Local Redevelopment Plan",1,0)))))))</f>
        <v>2</v>
      </c>
      <c r="P86" s="84"/>
      <c r="Q86" s="130" t="s">
        <v>566</v>
      </c>
      <c r="R86" s="50"/>
    </row>
    <row r="87" spans="1:18" ht="12" customHeight="1">
      <c r="A87" s="1135" t="s">
        <v>3621</v>
      </c>
      <c r="B87" s="1135"/>
      <c r="C87" s="1135"/>
      <c r="D87" s="1135"/>
      <c r="E87" s="1135"/>
      <c r="F87" s="1135"/>
      <c r="G87" s="1135"/>
      <c r="H87" s="1135"/>
      <c r="I87" s="1135"/>
      <c r="J87" s="1135"/>
      <c r="K87" s="1135"/>
      <c r="L87" s="1135"/>
      <c r="M87" s="1135"/>
      <c r="N87" s="1135"/>
      <c r="O87" s="1135"/>
      <c r="P87" s="1135"/>
    </row>
    <row r="88" spans="1:18" ht="11.45" customHeight="1">
      <c r="A88" s="171" t="s">
        <v>2693</v>
      </c>
      <c r="B88" s="229" t="s">
        <v>3295</v>
      </c>
      <c r="D88" s="40"/>
      <c r="M88" s="139"/>
      <c r="N88" s="31"/>
      <c r="O88" s="144" t="s">
        <v>3296</v>
      </c>
      <c r="P88" s="144" t="s">
        <v>3296</v>
      </c>
    </row>
    <row r="89" spans="1:18" ht="11.45" customHeight="1">
      <c r="A89" s="482" t="str">
        <f>IF($I$86="Stable Communities &lt; 5%", "*","")</f>
        <v/>
      </c>
      <c r="B89" s="483" t="s">
        <v>2697</v>
      </c>
      <c r="C89" s="601" t="s">
        <v>3571</v>
      </c>
      <c r="E89" s="142"/>
      <c r="M89" s="97">
        <v>4</v>
      </c>
      <c r="N89" s="31"/>
      <c r="O89" s="1707" t="s">
        <v>1959</v>
      </c>
      <c r="P89" s="679"/>
    </row>
    <row r="90" spans="1:18" ht="11.45" customHeight="1">
      <c r="B90" s="483" t="s">
        <v>2699</v>
      </c>
      <c r="C90" s="601" t="s">
        <v>3752</v>
      </c>
      <c r="D90" s="1737" t="s">
        <v>3754</v>
      </c>
      <c r="E90" s="601" t="s">
        <v>3753</v>
      </c>
      <c r="H90" s="121" t="s">
        <v>3148</v>
      </c>
      <c r="K90" s="166" t="s">
        <v>3751</v>
      </c>
      <c r="L90" s="1738" t="s">
        <v>1368</v>
      </c>
      <c r="M90" s="576"/>
      <c r="N90" s="574"/>
    </row>
    <row r="91" spans="1:18" ht="11.45" customHeight="1">
      <c r="B91" s="483" t="s">
        <v>3322</v>
      </c>
      <c r="C91" s="551" t="s">
        <v>3149</v>
      </c>
      <c r="E91" s="142"/>
      <c r="H91" s="121" t="s">
        <v>3150</v>
      </c>
      <c r="K91" s="670" t="s">
        <v>3721</v>
      </c>
      <c r="L91" s="1739"/>
      <c r="M91" s="576"/>
    </row>
    <row r="92" spans="1:18" ht="3" customHeight="1">
      <c r="B92" s="142"/>
      <c r="C92" s="142"/>
      <c r="D92" s="142"/>
      <c r="E92" s="142"/>
      <c r="R92" s="50"/>
    </row>
    <row r="93" spans="1:18" ht="25.5" customHeight="1">
      <c r="A93" s="171" t="s">
        <v>2696</v>
      </c>
      <c r="B93" s="229" t="s">
        <v>290</v>
      </c>
      <c r="D93" s="40"/>
      <c r="E93" s="40"/>
      <c r="F93" s="40"/>
      <c r="H93" s="1159" t="s">
        <v>3767</v>
      </c>
      <c r="I93" s="1159"/>
      <c r="J93" s="1160"/>
      <c r="K93" s="1740" t="s">
        <v>4160</v>
      </c>
      <c r="L93" s="1741"/>
      <c r="M93" s="1741"/>
      <c r="N93" s="1741"/>
      <c r="O93" s="1741"/>
      <c r="P93" s="1742"/>
    </row>
    <row r="94" spans="1:18" ht="3" customHeight="1">
      <c r="B94" s="142"/>
      <c r="C94" s="142"/>
      <c r="D94" s="142"/>
      <c r="E94" s="142"/>
      <c r="R94" s="50"/>
    </row>
    <row r="95" spans="1:18" s="50" customFormat="1" ht="11.45" customHeight="1">
      <c r="A95" s="576" t="str">
        <f>IF($I$86="Statutory Redevelopment Plan", "*","")</f>
        <v>*</v>
      </c>
      <c r="B95" s="483" t="s">
        <v>2697</v>
      </c>
      <c r="C95" s="136" t="s">
        <v>461</v>
      </c>
      <c r="D95" s="123"/>
      <c r="E95" s="822"/>
      <c r="M95" s="577">
        <v>2</v>
      </c>
      <c r="O95" s="144" t="s">
        <v>3296</v>
      </c>
      <c r="P95" s="144" t="s">
        <v>3296</v>
      </c>
    </row>
    <row r="96" spans="1:18" s="50" customFormat="1" ht="11.45" customHeight="1">
      <c r="A96" s="482"/>
      <c r="B96" s="484" t="s">
        <v>3201</v>
      </c>
      <c r="C96" s="64" t="s">
        <v>3625</v>
      </c>
      <c r="D96" s="123"/>
      <c r="E96" s="822"/>
      <c r="G96" s="507"/>
      <c r="I96" s="1743" t="str">
        <f>'Part I-Project Information'!F34</f>
        <v>City of Monroe</v>
      </c>
      <c r="J96" s="1744"/>
      <c r="K96" s="1744"/>
      <c r="L96" s="1745"/>
      <c r="M96" s="482" t="str">
        <f>IF(AND($I$86="Statutory Redevelopment Plan",OR(O96="",I96=0)), "X","")</f>
        <v/>
      </c>
      <c r="N96" s="574" t="s">
        <v>3431</v>
      </c>
      <c r="O96" s="1682" t="s">
        <v>4068</v>
      </c>
      <c r="P96" s="324"/>
    </row>
    <row r="97" spans="1:18" s="50" customFormat="1" ht="11.45" customHeight="1">
      <c r="A97" s="482"/>
      <c r="B97" s="484" t="s">
        <v>3202</v>
      </c>
      <c r="C97" s="64" t="s">
        <v>3622</v>
      </c>
      <c r="D97" s="123"/>
      <c r="E97" s="822"/>
      <c r="G97" s="507"/>
      <c r="I97" s="1746" t="s">
        <v>4161</v>
      </c>
      <c r="J97" s="1747"/>
      <c r="M97" s="482" t="str">
        <f>IF(AND($I$86="Statutory Redevelopment Plan",OR(O97="",I97="&lt;&lt;Select statute&gt;&gt;")), "X","")</f>
        <v/>
      </c>
      <c r="N97" s="484" t="s">
        <v>3202</v>
      </c>
      <c r="O97" s="1683" t="s">
        <v>4068</v>
      </c>
      <c r="P97" s="473"/>
    </row>
    <row r="98" spans="1:18" s="50" customFormat="1" ht="11.45" customHeight="1">
      <c r="A98" s="482"/>
      <c r="B98" s="505" t="s">
        <v>3203</v>
      </c>
      <c r="C98" s="670" t="s">
        <v>3624</v>
      </c>
      <c r="D98" s="123"/>
      <c r="E98" s="822"/>
      <c r="G98" s="507"/>
      <c r="I98" s="1748">
        <v>39637</v>
      </c>
      <c r="J98" s="1749"/>
      <c r="M98" s="482" t="str">
        <f>IF(AND($I$86="Statutory Redevelopment Plan",OR(O98="",I98="")), "X","")</f>
        <v/>
      </c>
      <c r="N98" s="505" t="s">
        <v>3203</v>
      </c>
      <c r="O98" s="1684" t="s">
        <v>4068</v>
      </c>
      <c r="P98" s="325"/>
    </row>
    <row r="99" spans="1:18" s="50" customFormat="1" ht="11.45" customHeight="1">
      <c r="A99" s="482"/>
      <c r="B99" s="505" t="s">
        <v>3204</v>
      </c>
      <c r="C99" s="64" t="s">
        <v>3623</v>
      </c>
      <c r="E99" s="822"/>
      <c r="G99" s="507"/>
      <c r="J99" s="64" t="s">
        <v>3626</v>
      </c>
      <c r="K99" s="1750">
        <v>14</v>
      </c>
      <c r="L99" s="1751"/>
      <c r="M99" s="482" t="str">
        <f>IF(AND($I$86="Statutory Redevelopment Plan",OR(O99="",K99="")), "X","")</f>
        <v/>
      </c>
      <c r="N99" s="505" t="s">
        <v>3204</v>
      </c>
      <c r="O99" s="1682" t="s">
        <v>4068</v>
      </c>
      <c r="P99" s="324"/>
    </row>
    <row r="100" spans="1:18" s="50" customFormat="1" ht="11.45" customHeight="1">
      <c r="A100" s="482"/>
      <c r="B100" s="505" t="s">
        <v>3205</v>
      </c>
      <c r="C100" s="64" t="s">
        <v>3627</v>
      </c>
      <c r="D100" s="123"/>
      <c r="E100" s="822"/>
      <c r="G100" s="507"/>
      <c r="J100" s="64" t="s">
        <v>3626</v>
      </c>
      <c r="K100" s="1750">
        <v>14</v>
      </c>
      <c r="L100" s="1751"/>
      <c r="M100" s="482" t="str">
        <f>IF(AND($I$86="Statutory Redevelopment Plan",OR(O100="",K100="")), "X","")</f>
        <v/>
      </c>
      <c r="N100" s="505" t="s">
        <v>3205</v>
      </c>
      <c r="O100" s="1684" t="s">
        <v>4068</v>
      </c>
      <c r="P100" s="325"/>
    </row>
    <row r="101" spans="1:18" ht="3" customHeight="1">
      <c r="B101" s="142"/>
      <c r="C101" s="142"/>
      <c r="D101" s="142"/>
      <c r="E101" s="142"/>
      <c r="R101" s="50"/>
    </row>
    <row r="102" spans="1:18" s="50" customFormat="1" ht="11.45" customHeight="1">
      <c r="A102" s="482" t="str">
        <f>IF($I$86="Redevelopment Zone", "*","")</f>
        <v/>
      </c>
      <c r="B102" s="483" t="s">
        <v>2699</v>
      </c>
      <c r="C102" s="136" t="s">
        <v>462</v>
      </c>
      <c r="D102" s="123"/>
      <c r="E102" s="822" t="s">
        <v>1432</v>
      </c>
      <c r="H102" s="1752" t="s">
        <v>2465</v>
      </c>
      <c r="I102" s="1753"/>
      <c r="J102" s="585" t="s">
        <v>3691</v>
      </c>
      <c r="K102" s="1754" t="s">
        <v>1368</v>
      </c>
      <c r="L102" s="1747"/>
      <c r="M102" s="577">
        <v>2</v>
      </c>
      <c r="N102" s="682" t="s">
        <v>2699</v>
      </c>
      <c r="O102" s="1755">
        <v>0</v>
      </c>
      <c r="P102" s="671"/>
      <c r="Q102" s="507" t="s">
        <v>3629</v>
      </c>
    </row>
    <row r="103" spans="1:18" s="50" customFormat="1" ht="11.45" customHeight="1">
      <c r="A103" s="482" t="str">
        <f>IF($I$87="Redevelopment Zone", "*","")</f>
        <v/>
      </c>
      <c r="B103" s="483"/>
      <c r="C103" s="136"/>
      <c r="D103" s="123"/>
      <c r="E103" s="822" t="s">
        <v>3765</v>
      </c>
      <c r="I103" s="1740" t="s">
        <v>1368</v>
      </c>
      <c r="J103" s="1741"/>
      <c r="K103" s="1741"/>
      <c r="L103" s="1742"/>
      <c r="M103" s="76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3322</v>
      </c>
      <c r="C105" s="136" t="s">
        <v>769</v>
      </c>
      <c r="D105" s="123"/>
      <c r="E105" s="822"/>
      <c r="F105" s="502"/>
      <c r="H105" s="822" t="s">
        <v>552</v>
      </c>
      <c r="I105" s="1740" t="s">
        <v>1368</v>
      </c>
      <c r="J105" s="1741"/>
      <c r="K105" s="1741"/>
      <c r="L105" s="1742"/>
      <c r="M105" s="577">
        <v>1</v>
      </c>
      <c r="N105" s="577"/>
      <c r="O105" s="1756">
        <v>0</v>
      </c>
      <c r="P105" s="547"/>
      <c r="Q105" s="507" t="s">
        <v>3629</v>
      </c>
    </row>
    <row r="106" spans="1:18" ht="11.45" customHeight="1">
      <c r="B106" s="484" t="s">
        <v>3201</v>
      </c>
      <c r="C106" s="822" t="s">
        <v>3634</v>
      </c>
      <c r="D106" s="121"/>
      <c r="J106" s="144" t="s">
        <v>771</v>
      </c>
      <c r="K106" s="1748" t="s">
        <v>1368</v>
      </c>
      <c r="L106" s="1749"/>
      <c r="M106" s="482" t="str">
        <f>IF(AND($I$86="Local Redevelopment Plan",OR(O106="",K106="")), "X","")</f>
        <v/>
      </c>
      <c r="N106" s="505" t="s">
        <v>3125</v>
      </c>
      <c r="O106" s="1682" t="s">
        <v>1959</v>
      </c>
      <c r="P106" s="324"/>
    </row>
    <row r="107" spans="1:18" ht="10.9" customHeight="1">
      <c r="B107" s="484" t="s">
        <v>3202</v>
      </c>
      <c r="C107" s="485" t="s">
        <v>3223</v>
      </c>
      <c r="D107" s="121"/>
      <c r="K107" s="162" t="s">
        <v>3626</v>
      </c>
      <c r="L107" s="1757" t="s">
        <v>1368</v>
      </c>
      <c r="M107" s="482" t="str">
        <f t="shared" ref="M107:M112" si="0">IF(AND($I$86="Local Redevelopment Plan",OR(O107="",L107="")), "X","")</f>
        <v/>
      </c>
      <c r="N107" s="484" t="s">
        <v>3202</v>
      </c>
      <c r="O107" s="1758" t="s">
        <v>1959</v>
      </c>
      <c r="P107" s="518"/>
    </row>
    <row r="108" spans="1:18" ht="10.9" customHeight="1">
      <c r="B108" s="484" t="s">
        <v>3203</v>
      </c>
      <c r="C108" s="485" t="s">
        <v>3224</v>
      </c>
      <c r="K108" s="162" t="s">
        <v>3626</v>
      </c>
      <c r="L108" s="1757" t="s">
        <v>1368</v>
      </c>
      <c r="M108" s="482" t="str">
        <f t="shared" si="0"/>
        <v/>
      </c>
      <c r="N108" s="484" t="s">
        <v>3203</v>
      </c>
      <c r="O108" s="1683" t="s">
        <v>1959</v>
      </c>
      <c r="P108" s="473"/>
    </row>
    <row r="109" spans="1:18" ht="10.9" customHeight="1">
      <c r="B109" s="484" t="s">
        <v>3204</v>
      </c>
      <c r="C109" s="485" t="s">
        <v>3225</v>
      </c>
      <c r="K109" s="162" t="s">
        <v>3626</v>
      </c>
      <c r="L109" s="1757" t="s">
        <v>1368</v>
      </c>
      <c r="M109" s="482" t="str">
        <f t="shared" si="0"/>
        <v/>
      </c>
      <c r="N109" s="484" t="s">
        <v>3204</v>
      </c>
      <c r="O109" s="1683" t="s">
        <v>1959</v>
      </c>
      <c r="P109" s="473"/>
    </row>
    <row r="110" spans="1:18" ht="10.9" customHeight="1">
      <c r="B110" s="484" t="s">
        <v>3205</v>
      </c>
      <c r="C110" s="68" t="s">
        <v>3226</v>
      </c>
      <c r="K110" s="162" t="s">
        <v>3626</v>
      </c>
      <c r="L110" s="1757" t="s">
        <v>1368</v>
      </c>
      <c r="M110" s="482" t="str">
        <f t="shared" si="0"/>
        <v/>
      </c>
      <c r="N110" s="484" t="s">
        <v>3205</v>
      </c>
      <c r="O110" s="1683" t="s">
        <v>1959</v>
      </c>
      <c r="P110" s="473"/>
    </row>
    <row r="111" spans="1:18" ht="10.9" customHeight="1">
      <c r="B111" s="484" t="s">
        <v>3221</v>
      </c>
      <c r="C111" s="485" t="s">
        <v>3227</v>
      </c>
      <c r="D111" s="121"/>
      <c r="K111" s="162" t="s">
        <v>3626</v>
      </c>
      <c r="L111" s="1757" t="s">
        <v>1368</v>
      </c>
      <c r="M111" s="482" t="str">
        <f t="shared" si="0"/>
        <v/>
      </c>
      <c r="N111" s="484" t="s">
        <v>3221</v>
      </c>
      <c r="O111" s="1683" t="s">
        <v>1959</v>
      </c>
      <c r="P111" s="473"/>
    </row>
    <row r="112" spans="1:18" ht="10.9" customHeight="1">
      <c r="B112" s="484" t="s">
        <v>3222</v>
      </c>
      <c r="C112" s="485" t="s">
        <v>3228</v>
      </c>
      <c r="K112" s="162" t="s">
        <v>3626</v>
      </c>
      <c r="L112" s="1757" t="s">
        <v>1368</v>
      </c>
      <c r="M112" s="482" t="str">
        <f t="shared" si="0"/>
        <v/>
      </c>
      <c r="N112" s="484" t="s">
        <v>3222</v>
      </c>
      <c r="O112" s="1684" t="s">
        <v>1959</v>
      </c>
      <c r="P112" s="325"/>
    </row>
    <row r="113" spans="1:17" ht="11.45" customHeight="1">
      <c r="A113" s="482" t="str">
        <f>IF($I$86="Stable Communities &lt; 20%", "*","")</f>
        <v/>
      </c>
      <c r="C113" s="499" t="s">
        <v>3232</v>
      </c>
      <c r="E113" s="142"/>
      <c r="M113" s="504"/>
      <c r="N113" s="31"/>
      <c r="O113" s="144"/>
      <c r="P113" s="144"/>
    </row>
    <row r="114" spans="1:17" ht="10.9" customHeight="1">
      <c r="B114" s="484" t="s">
        <v>3229</v>
      </c>
      <c r="C114" s="766" t="s">
        <v>3940</v>
      </c>
      <c r="I114" s="484" t="s">
        <v>3229</v>
      </c>
      <c r="J114" s="324"/>
      <c r="K114" s="484" t="s">
        <v>3230</v>
      </c>
      <c r="L114" s="68" t="s">
        <v>3233</v>
      </c>
      <c r="O114" s="484" t="s">
        <v>3230</v>
      </c>
      <c r="P114" s="324"/>
    </row>
    <row r="115" spans="1:17" ht="10.9" customHeight="1">
      <c r="B115" s="484" t="s">
        <v>3231</v>
      </c>
      <c r="C115" s="485" t="s">
        <v>3234</v>
      </c>
      <c r="I115" s="484" t="s">
        <v>3231</v>
      </c>
      <c r="J115" s="325"/>
      <c r="K115" s="484" t="s">
        <v>770</v>
      </c>
      <c r="L115" s="68" t="s">
        <v>3235</v>
      </c>
      <c r="M115" s="502"/>
      <c r="O115" s="484" t="s">
        <v>770</v>
      </c>
      <c r="P115" s="325"/>
    </row>
    <row r="116" spans="1:17" s="50" customFormat="1" ht="13.9" customHeight="1">
      <c r="A116" s="49"/>
      <c r="B116" s="56" t="s">
        <v>281</v>
      </c>
      <c r="C116" s="49"/>
      <c r="D116" s="55"/>
      <c r="E116" s="55"/>
      <c r="F116" s="55"/>
      <c r="G116" s="55"/>
      <c r="H116" s="44"/>
      <c r="I116" s="44"/>
      <c r="J116" s="44"/>
      <c r="K116" s="44"/>
      <c r="M116" s="53"/>
      <c r="N116" s="73"/>
      <c r="O116" s="4"/>
      <c r="P116" s="817"/>
    </row>
    <row r="117" spans="1:17" s="50" customFormat="1" ht="12.75" customHeight="1">
      <c r="A117" s="1734" t="s">
        <v>4196</v>
      </c>
      <c r="B117" s="1735"/>
      <c r="C117" s="1735"/>
      <c r="D117" s="1735"/>
      <c r="E117" s="1735"/>
      <c r="F117" s="1735"/>
      <c r="G117" s="1735"/>
      <c r="H117" s="1735"/>
      <c r="I117" s="1735"/>
      <c r="J117" s="1735"/>
      <c r="K117" s="1735"/>
      <c r="L117" s="1735"/>
      <c r="M117" s="1735"/>
      <c r="N117" s="1735"/>
      <c r="O117" s="1735"/>
      <c r="P117" s="1736"/>
      <c r="Q117" s="614" t="s">
        <v>1676</v>
      </c>
    </row>
    <row r="118" spans="1:17" s="50" customFormat="1" ht="11.25" customHeight="1">
      <c r="A118" s="49"/>
      <c r="B118" s="103" t="s">
        <v>2570</v>
      </c>
      <c r="C118" s="49"/>
      <c r="D118" s="103"/>
      <c r="E118" s="818"/>
      <c r="F118" s="818"/>
      <c r="G118" s="818"/>
      <c r="H118" s="818"/>
      <c r="I118" s="818"/>
      <c r="J118" s="818"/>
      <c r="K118" s="818"/>
      <c r="L118" s="818"/>
      <c r="M118" s="818"/>
      <c r="N118" s="90"/>
      <c r="O118" s="85"/>
      <c r="P118" s="2"/>
      <c r="Q118" s="570"/>
    </row>
    <row r="119" spans="1:17" s="50" customFormat="1" ht="12.75" customHeight="1">
      <c r="A119" s="1131"/>
      <c r="B119" s="1132"/>
      <c r="C119" s="1132"/>
      <c r="D119" s="1132"/>
      <c r="E119" s="1132"/>
      <c r="F119" s="1132"/>
      <c r="G119" s="1132"/>
      <c r="H119" s="1132"/>
      <c r="I119" s="1132"/>
      <c r="J119" s="1132"/>
      <c r="K119" s="1132"/>
      <c r="L119" s="1132"/>
      <c r="M119" s="1132"/>
      <c r="N119" s="1132"/>
      <c r="O119" s="1132"/>
      <c r="P119" s="1133"/>
      <c r="Q119" s="614" t="s">
        <v>1676</v>
      </c>
    </row>
    <row r="120" spans="1:17" ht="3.6" customHeight="1">
      <c r="B120" s="142"/>
      <c r="C120" s="142"/>
      <c r="D120" s="142"/>
      <c r="E120" s="142"/>
    </row>
    <row r="121" spans="1:17" s="50" customFormat="1" ht="12" customHeight="1">
      <c r="A121" s="189" t="s">
        <v>638</v>
      </c>
      <c r="B121" s="126" t="s">
        <v>3236</v>
      </c>
      <c r="D121" s="48"/>
      <c r="E121" s="48"/>
      <c r="F121" s="48"/>
      <c r="H121" s="72"/>
      <c r="J121" s="72" t="s">
        <v>434</v>
      </c>
      <c r="K121" s="55"/>
      <c r="M121" s="2">
        <v>3</v>
      </c>
      <c r="N121" s="7"/>
      <c r="O121" s="92">
        <f>MIN($M121,(O122+O128))</f>
        <v>2</v>
      </c>
      <c r="P121" s="92">
        <f>MIN($M121,(P122+P128))</f>
        <v>0</v>
      </c>
      <c r="Q121" s="130" t="s">
        <v>566</v>
      </c>
    </row>
    <row r="122" spans="1:17" ht="12" customHeight="1">
      <c r="B122" s="811" t="s">
        <v>2693</v>
      </c>
      <c r="C122" s="229" t="s">
        <v>2957</v>
      </c>
      <c r="D122" s="40"/>
      <c r="E122" s="40"/>
      <c r="F122" s="40"/>
      <c r="G122" s="31" t="str">
        <f>IF(AND(O122&lt;0,M129&lt;0),"Select either A or B but not both!&gt;","")</f>
        <v/>
      </c>
      <c r="H122" s="40"/>
      <c r="I122" s="40"/>
      <c r="J122" s="40"/>
      <c r="K122" s="40"/>
      <c r="L122" s="490" t="str">
        <f>IF(OR($O122=$M122,$O122=0,$O122=""),"","* * Check Score! * *")</f>
        <v/>
      </c>
      <c r="M122" s="88">
        <v>3</v>
      </c>
      <c r="N122" s="654" t="s">
        <v>2693</v>
      </c>
      <c r="O122" s="1756">
        <v>0</v>
      </c>
      <c r="P122" s="547"/>
      <c r="Q122" s="507" t="s">
        <v>3629</v>
      </c>
    </row>
    <row r="123" spans="1:17" s="121" customFormat="1" ht="22.9" customHeight="1">
      <c r="B123" s="509" t="s">
        <v>2697</v>
      </c>
      <c r="C123" s="1134" t="s">
        <v>3756</v>
      </c>
      <c r="D123" s="1070"/>
      <c r="E123" s="1070"/>
      <c r="F123" s="1070"/>
      <c r="G123" s="1070"/>
      <c r="H123" s="1070"/>
      <c r="I123" s="1070"/>
      <c r="J123" s="1070"/>
      <c r="K123" s="1070"/>
      <c r="L123" s="1070"/>
      <c r="M123" s="546"/>
      <c r="N123" s="509" t="s">
        <v>2697</v>
      </c>
      <c r="O123" s="1625" t="s">
        <v>4063</v>
      </c>
      <c r="P123" s="210"/>
    </row>
    <row r="124" spans="1:17" s="121" customFormat="1" ht="11.45" customHeight="1">
      <c r="B124" s="225"/>
      <c r="C124" s="143" t="s">
        <v>1359</v>
      </c>
      <c r="H124" s="585" t="s">
        <v>3380</v>
      </c>
      <c r="I124" s="1759" t="s">
        <v>1368</v>
      </c>
      <c r="J124" s="585" t="s">
        <v>3029</v>
      </c>
      <c r="K124" s="1760" t="s">
        <v>1368</v>
      </c>
      <c r="L124" s="1761"/>
      <c r="M124" s="1762"/>
    </row>
    <row r="125" spans="1:17" s="121" customFormat="1" ht="11.45" customHeight="1">
      <c r="B125" s="225" t="s">
        <v>2699</v>
      </c>
      <c r="C125" s="143" t="s">
        <v>1360</v>
      </c>
      <c r="M125" s="8"/>
      <c r="N125" s="225" t="s">
        <v>2699</v>
      </c>
      <c r="O125" s="1682" t="s">
        <v>1959</v>
      </c>
      <c r="P125" s="324"/>
    </row>
    <row r="126" spans="1:17" s="121" customFormat="1" ht="11.45" customHeight="1">
      <c r="B126" s="225" t="s">
        <v>3322</v>
      </c>
      <c r="C126" s="143" t="s">
        <v>1361</v>
      </c>
      <c r="M126" s="8"/>
      <c r="N126" s="225" t="s">
        <v>3322</v>
      </c>
      <c r="O126" s="1683" t="s">
        <v>1959</v>
      </c>
      <c r="P126" s="473"/>
    </row>
    <row r="127" spans="1:17" s="121" customFormat="1" ht="11.45" customHeight="1">
      <c r="B127" s="225" t="s">
        <v>1644</v>
      </c>
      <c r="C127" s="143" t="s">
        <v>1362</v>
      </c>
      <c r="M127" s="8"/>
      <c r="N127" s="225" t="s">
        <v>1644</v>
      </c>
      <c r="O127" s="1684" t="s">
        <v>1959</v>
      </c>
      <c r="P127" s="325"/>
    </row>
    <row r="128" spans="1:17" ht="12" customHeight="1">
      <c r="A128" s="229" t="s">
        <v>1787</v>
      </c>
      <c r="B128" s="811" t="s">
        <v>2696</v>
      </c>
      <c r="C128" s="229" t="s">
        <v>2958</v>
      </c>
      <c r="D128" s="142"/>
      <c r="E128" s="552" t="s">
        <v>3961</v>
      </c>
      <c r="M128" s="88">
        <v>3</v>
      </c>
      <c r="N128" s="654" t="s">
        <v>2696</v>
      </c>
      <c r="O128" s="548">
        <f>IF($M129=5,3,IF($M129=4,2,0))</f>
        <v>2</v>
      </c>
      <c r="P128" s="84"/>
    </row>
    <row r="129" spans="1:17" ht="12" customHeight="1">
      <c r="B129" s="580" t="s">
        <v>3694</v>
      </c>
      <c r="D129" s="40"/>
      <c r="E129" s="40"/>
      <c r="F129" s="40"/>
      <c r="G129" s="822"/>
      <c r="H129" s="822"/>
      <c r="I129" s="822"/>
      <c r="J129" s="822"/>
      <c r="M129" s="1763">
        <v>4</v>
      </c>
      <c r="N129" s="166" t="s">
        <v>3692</v>
      </c>
      <c r="O129" s="123"/>
      <c r="P129" s="123"/>
    </row>
    <row r="130" spans="1:17" ht="12" customHeight="1">
      <c r="B130" s="580" t="s">
        <v>3693</v>
      </c>
      <c r="D130" s="40"/>
      <c r="E130" s="40"/>
      <c r="F130" s="40"/>
      <c r="G130" s="822"/>
      <c r="H130" s="822"/>
      <c r="I130" s="822"/>
      <c r="J130" s="822"/>
      <c r="N130" s="166"/>
      <c r="O130" s="123"/>
      <c r="P130" s="123"/>
    </row>
    <row r="131" spans="1:17" s="50" customFormat="1" ht="11.45" customHeight="1">
      <c r="A131" s="49"/>
      <c r="B131" s="56" t="s">
        <v>281</v>
      </c>
      <c r="C131" s="49"/>
      <c r="D131" s="55"/>
      <c r="E131" s="55"/>
      <c r="F131" s="55"/>
      <c r="G131" s="55"/>
      <c r="H131" s="44"/>
      <c r="I131" s="44"/>
      <c r="J131" s="44"/>
      <c r="K131" s="44"/>
      <c r="M131" s="53"/>
      <c r="N131" s="73"/>
      <c r="O131" s="4"/>
      <c r="P131" s="817"/>
    </row>
    <row r="132" spans="1:17" s="50" customFormat="1" ht="11.45" customHeight="1">
      <c r="A132" s="1629" t="s">
        <v>4198</v>
      </c>
      <c r="B132" s="1630"/>
      <c r="C132" s="1630"/>
      <c r="D132" s="1630"/>
      <c r="E132" s="1630"/>
      <c r="F132" s="1630"/>
      <c r="G132" s="1630"/>
      <c r="H132" s="1630"/>
      <c r="I132" s="1630"/>
      <c r="J132" s="1630"/>
      <c r="K132" s="1630"/>
      <c r="L132" s="1630"/>
      <c r="M132" s="1630"/>
      <c r="N132" s="1630"/>
      <c r="O132" s="1630"/>
      <c r="P132" s="1631"/>
      <c r="Q132" s="614" t="s">
        <v>1676</v>
      </c>
    </row>
    <row r="133" spans="1:17" s="50" customFormat="1" ht="11.45" customHeight="1">
      <c r="B133" s="103" t="s">
        <v>2570</v>
      </c>
      <c r="C133" s="119"/>
      <c r="D133" s="103"/>
      <c r="E133" s="120"/>
      <c r="F133" s="818"/>
      <c r="G133" s="818"/>
      <c r="H133" s="818"/>
      <c r="I133" s="818"/>
      <c r="J133" s="818"/>
      <c r="K133" s="818"/>
      <c r="L133" s="818"/>
      <c r="M133" s="818"/>
      <c r="N133" s="90"/>
      <c r="O133" s="85"/>
      <c r="P133" s="2"/>
      <c r="Q133" s="570"/>
    </row>
    <row r="134" spans="1:17" s="50" customFormat="1" ht="11.45" customHeight="1">
      <c r="A134" s="1057"/>
      <c r="B134" s="1058"/>
      <c r="C134" s="1058"/>
      <c r="D134" s="1058"/>
      <c r="E134" s="1058"/>
      <c r="F134" s="1058"/>
      <c r="G134" s="1058"/>
      <c r="H134" s="1058"/>
      <c r="I134" s="1058"/>
      <c r="J134" s="1058"/>
      <c r="K134" s="1058"/>
      <c r="L134" s="1058"/>
      <c r="M134" s="1058"/>
      <c r="N134" s="1058"/>
      <c r="O134" s="1058"/>
      <c r="P134" s="1059"/>
      <c r="Q134" s="614" t="s">
        <v>1676</v>
      </c>
    </row>
    <row r="135" spans="1:17" ht="3" customHeight="1">
      <c r="B135" s="142"/>
      <c r="C135" s="142"/>
      <c r="D135" s="142"/>
      <c r="E135" s="142"/>
    </row>
    <row r="136" spans="1:17" s="50" customFormat="1" ht="12" customHeight="1">
      <c r="A136" s="189" t="s">
        <v>237</v>
      </c>
      <c r="B136" s="126" t="s">
        <v>3237</v>
      </c>
      <c r="E136" s="48"/>
      <c r="F136" s="48"/>
      <c r="H136" s="72"/>
      <c r="K136" s="55"/>
      <c r="L136" s="490" t="str">
        <f>IF(OR($O136=$M136,$O136=0,$O136=""),"","* * Check Score! * *")</f>
        <v/>
      </c>
      <c r="M136" s="2">
        <v>2</v>
      </c>
      <c r="N136" s="517" t="str">
        <f>IF(OR($O136=$M136,$O136=0,$O136=""),"","***")</f>
        <v/>
      </c>
      <c r="O136" s="1728">
        <v>2</v>
      </c>
      <c r="P136" s="84"/>
      <c r="Q136" s="130" t="s">
        <v>566</v>
      </c>
    </row>
    <row r="137" spans="1:17" ht="11.45" customHeight="1">
      <c r="B137" s="211" t="s">
        <v>2350</v>
      </c>
      <c r="E137" s="142"/>
      <c r="M137" s="504"/>
      <c r="N137" s="31"/>
      <c r="O137" s="31"/>
      <c r="P137" s="144" t="s">
        <v>3296</v>
      </c>
    </row>
    <row r="138" spans="1:17" s="511" customFormat="1" ht="11.45" customHeight="1">
      <c r="A138" s="506" t="s">
        <v>3201</v>
      </c>
      <c r="B138" s="683" t="s">
        <v>3695</v>
      </c>
      <c r="D138" s="597"/>
      <c r="M138" s="598"/>
      <c r="N138" s="506"/>
      <c r="O138" s="506" t="s">
        <v>3201</v>
      </c>
      <c r="P138" s="326"/>
    </row>
    <row r="139" spans="1:17" s="511" customFormat="1">
      <c r="A139" s="506" t="s">
        <v>3202</v>
      </c>
      <c r="B139" s="1126" t="s">
        <v>3458</v>
      </c>
      <c r="C139" s="941"/>
      <c r="D139" s="941"/>
      <c r="E139" s="941"/>
      <c r="F139" s="941"/>
      <c r="G139" s="941"/>
      <c r="H139" s="941"/>
      <c r="I139" s="941"/>
      <c r="J139" s="941"/>
      <c r="K139" s="941"/>
      <c r="L139" s="941"/>
      <c r="M139" s="941"/>
      <c r="N139" s="941"/>
      <c r="O139" s="506" t="s">
        <v>3202</v>
      </c>
      <c r="P139" s="599"/>
    </row>
    <row r="140" spans="1:17" s="511" customFormat="1" ht="24" customHeight="1">
      <c r="A140" s="506" t="s">
        <v>3203</v>
      </c>
      <c r="B140" s="1126" t="s">
        <v>3696</v>
      </c>
      <c r="C140" s="941"/>
      <c r="D140" s="941"/>
      <c r="E140" s="941"/>
      <c r="F140" s="941"/>
      <c r="G140" s="941"/>
      <c r="H140" s="941"/>
      <c r="I140" s="941"/>
      <c r="J140" s="941"/>
      <c r="K140" s="941"/>
      <c r="L140" s="941"/>
      <c r="M140" s="941"/>
      <c r="N140" s="941"/>
      <c r="O140" s="506" t="s">
        <v>3203</v>
      </c>
      <c r="P140" s="599"/>
    </row>
    <row r="141" spans="1:17" s="511" customFormat="1" ht="12.75" customHeight="1">
      <c r="A141" s="506" t="s">
        <v>3204</v>
      </c>
      <c r="B141" s="683" t="s">
        <v>3697</v>
      </c>
      <c r="M141" s="598"/>
      <c r="N141" s="506"/>
      <c r="O141" s="506" t="s">
        <v>3204</v>
      </c>
      <c r="P141" s="599"/>
    </row>
    <row r="142" spans="1:17" s="511" customFormat="1" ht="12.75" customHeight="1">
      <c r="A142" s="506" t="s">
        <v>3205</v>
      </c>
      <c r="B142" s="270" t="s">
        <v>2351</v>
      </c>
      <c r="M142" s="598"/>
      <c r="N142" s="506"/>
      <c r="O142" s="506" t="s">
        <v>3205</v>
      </c>
      <c r="P142" s="327"/>
    </row>
    <row r="143" spans="1:17" s="50" customFormat="1" ht="12.75" customHeight="1">
      <c r="A143" s="49"/>
      <c r="B143" s="56" t="s">
        <v>281</v>
      </c>
      <c r="C143" s="49"/>
      <c r="D143" s="55"/>
      <c r="E143" s="55"/>
      <c r="F143" s="55"/>
      <c r="G143" s="55"/>
      <c r="H143" s="44"/>
      <c r="I143" s="44"/>
      <c r="J143" s="44"/>
      <c r="K143" s="44"/>
      <c r="M143" s="53"/>
      <c r="N143" s="73"/>
      <c r="O143" s="4"/>
      <c r="P143" s="817"/>
    </row>
    <row r="144" spans="1:17" s="50" customFormat="1" ht="24.6" customHeight="1">
      <c r="A144" s="1629" t="s">
        <v>4197</v>
      </c>
      <c r="B144" s="1630"/>
      <c r="C144" s="1630"/>
      <c r="D144" s="1630"/>
      <c r="E144" s="1630"/>
      <c r="F144" s="1630"/>
      <c r="G144" s="1630"/>
      <c r="H144" s="1630"/>
      <c r="I144" s="1630"/>
      <c r="J144" s="1630"/>
      <c r="K144" s="1630"/>
      <c r="L144" s="1630"/>
      <c r="M144" s="1630"/>
      <c r="N144" s="1630"/>
      <c r="O144" s="1630"/>
      <c r="P144" s="1631"/>
      <c r="Q144" s="614" t="s">
        <v>1676</v>
      </c>
    </row>
    <row r="145" spans="1:18" s="50" customFormat="1" ht="11.25" customHeight="1">
      <c r="A145" s="49"/>
      <c r="B145" s="103" t="s">
        <v>2570</v>
      </c>
      <c r="C145" s="49"/>
      <c r="D145" s="103"/>
      <c r="E145" s="818"/>
      <c r="F145" s="818"/>
      <c r="G145" s="818"/>
      <c r="H145" s="818"/>
      <c r="I145" s="818"/>
      <c r="J145" s="818"/>
      <c r="K145" s="818"/>
      <c r="L145" s="818"/>
      <c r="M145" s="818"/>
      <c r="N145" s="90"/>
      <c r="O145" s="85"/>
      <c r="P145" s="2"/>
      <c r="Q145" s="570"/>
    </row>
    <row r="146" spans="1:18" s="50" customFormat="1" ht="40.5" customHeight="1">
      <c r="A146" s="1057"/>
      <c r="B146" s="1058"/>
      <c r="C146" s="1058"/>
      <c r="D146" s="1058"/>
      <c r="E146" s="1058"/>
      <c r="F146" s="1058"/>
      <c r="G146" s="1058"/>
      <c r="H146" s="1058"/>
      <c r="I146" s="1058"/>
      <c r="J146" s="1058"/>
      <c r="K146" s="1058"/>
      <c r="L146" s="1058"/>
      <c r="M146" s="1058"/>
      <c r="N146" s="1058"/>
      <c r="O146" s="1058"/>
      <c r="P146" s="1059"/>
      <c r="Q146" s="614" t="s">
        <v>1676</v>
      </c>
    </row>
    <row r="147" spans="1:18" ht="3" customHeight="1">
      <c r="B147" s="142"/>
      <c r="C147" s="142"/>
      <c r="D147" s="142"/>
      <c r="E147" s="142"/>
    </row>
    <row r="148" spans="1:18" s="50" customFormat="1" ht="12" customHeight="1">
      <c r="A148" s="189" t="s">
        <v>238</v>
      </c>
      <c r="B148" s="127" t="s">
        <v>2959</v>
      </c>
      <c r="C148" s="63"/>
      <c r="D148" s="141"/>
      <c r="E148" s="141"/>
      <c r="F148" s="48"/>
      <c r="H148" s="47"/>
      <c r="J148" s="72" t="s">
        <v>434</v>
      </c>
      <c r="K148" s="55"/>
      <c r="M148" s="2">
        <v>1</v>
      </c>
      <c r="N148" s="7"/>
      <c r="O148" s="92">
        <f>MIN($M148,SUM(O149:O150))</f>
        <v>1</v>
      </c>
      <c r="P148" s="92">
        <f>MIN($M148,SUM(P149:P150))</f>
        <v>0</v>
      </c>
      <c r="Q148" s="130" t="s">
        <v>566</v>
      </c>
    </row>
    <row r="149" spans="1:18" s="123" customFormat="1" ht="12" customHeight="1">
      <c r="A149" s="171" t="s">
        <v>2693</v>
      </c>
      <c r="B149" s="213" t="s">
        <v>2960</v>
      </c>
      <c r="D149" s="72"/>
      <c r="E149" s="72"/>
      <c r="F149" s="51"/>
      <c r="G149" s="31"/>
      <c r="K149" s="654" t="s">
        <v>3592</v>
      </c>
      <c r="L149" s="1625" t="s">
        <v>4068</v>
      </c>
      <c r="M149" s="8">
        <v>1</v>
      </c>
      <c r="N149" s="654" t="s">
        <v>2693</v>
      </c>
      <c r="O149" s="1728">
        <v>1</v>
      </c>
      <c r="P149" s="84"/>
      <c r="Q149" s="507"/>
      <c r="R149" s="490" t="str">
        <f>IF(OR($O149=$M149,$O149=0,$O149=""),"","* * Check Score! * *")</f>
        <v/>
      </c>
    </row>
    <row r="150" spans="1:18" s="50" customFormat="1" ht="12" customHeight="1">
      <c r="A150" s="171" t="s">
        <v>2696</v>
      </c>
      <c r="B150" s="213" t="s">
        <v>2961</v>
      </c>
      <c r="D150" s="68"/>
      <c r="H150" s="669" t="s">
        <v>3572</v>
      </c>
      <c r="K150" s="61"/>
      <c r="L150" s="1625" t="s">
        <v>4063</v>
      </c>
      <c r="M150" s="8">
        <v>1</v>
      </c>
      <c r="N150" s="654" t="s">
        <v>2696</v>
      </c>
      <c r="O150" s="1728">
        <v>0</v>
      </c>
      <c r="P150" s="84"/>
      <c r="Q150" s="507"/>
      <c r="R150" s="490" t="str">
        <f>IF(OR($O150=$M150,$O150=0,$O150=""),"","* * Check Score! * *")</f>
        <v/>
      </c>
    </row>
    <row r="151" spans="1:18" s="50" customFormat="1" ht="11.25" customHeight="1">
      <c r="A151" s="49"/>
      <c r="B151" s="56" t="s">
        <v>281</v>
      </c>
      <c r="C151" s="49"/>
      <c r="D151" s="55"/>
      <c r="E151" s="55"/>
      <c r="F151" s="55"/>
      <c r="G151" s="55"/>
      <c r="H151" s="44"/>
      <c r="I151" s="44"/>
      <c r="J151" s="44"/>
      <c r="K151" s="44"/>
      <c r="M151" s="53"/>
      <c r="N151" s="73"/>
      <c r="O151" s="4"/>
      <c r="P151" s="817"/>
    </row>
    <row r="152" spans="1:18" s="50" customFormat="1" ht="12.6" customHeight="1">
      <c r="A152" s="1629"/>
      <c r="B152" s="1630"/>
      <c r="C152" s="1630"/>
      <c r="D152" s="1630"/>
      <c r="E152" s="1630"/>
      <c r="F152" s="1630"/>
      <c r="G152" s="1630"/>
      <c r="H152" s="1630"/>
      <c r="I152" s="1630"/>
      <c r="J152" s="1630"/>
      <c r="K152" s="1630"/>
      <c r="L152" s="1630"/>
      <c r="M152" s="1630"/>
      <c r="N152" s="1630"/>
      <c r="O152" s="1630"/>
      <c r="P152" s="1631"/>
      <c r="Q152" s="614" t="s">
        <v>1676</v>
      </c>
    </row>
    <row r="153" spans="1:18" s="50" customFormat="1" ht="11.25" customHeight="1">
      <c r="A153" s="49"/>
      <c r="B153" s="103" t="s">
        <v>2570</v>
      </c>
      <c r="C153" s="119"/>
      <c r="D153" s="103"/>
      <c r="E153" s="120"/>
      <c r="F153" s="818"/>
      <c r="G153" s="818"/>
      <c r="H153" s="818"/>
      <c r="I153" s="818"/>
      <c r="J153" s="818"/>
      <c r="K153" s="818"/>
      <c r="L153" s="818"/>
      <c r="M153" s="818"/>
      <c r="N153" s="90"/>
      <c r="O153" s="85"/>
      <c r="P153" s="2"/>
      <c r="Q153" s="570"/>
    </row>
    <row r="154" spans="1:18" s="50" customFormat="1" ht="12.6" customHeight="1">
      <c r="A154" s="1057"/>
      <c r="B154" s="1058"/>
      <c r="C154" s="1058"/>
      <c r="D154" s="1058"/>
      <c r="E154" s="1058"/>
      <c r="F154" s="1058"/>
      <c r="G154" s="1058"/>
      <c r="H154" s="1058"/>
      <c r="I154" s="1058"/>
      <c r="J154" s="1058"/>
      <c r="K154" s="1058"/>
      <c r="L154" s="1058"/>
      <c r="M154" s="1058"/>
      <c r="N154" s="1058"/>
      <c r="O154" s="1058"/>
      <c r="P154" s="1059"/>
      <c r="Q154" s="614" t="s">
        <v>1676</v>
      </c>
    </row>
    <row r="155" spans="1:18" s="50" customFormat="1" ht="3" customHeight="1">
      <c r="A155" s="49"/>
      <c r="B155" s="49"/>
      <c r="C155" s="818"/>
      <c r="D155" s="818"/>
      <c r="E155" s="818"/>
      <c r="F155" s="818"/>
      <c r="G155" s="818"/>
      <c r="H155" s="818"/>
      <c r="I155" s="818"/>
      <c r="J155" s="818"/>
      <c r="K155" s="818"/>
      <c r="L155" s="818"/>
      <c r="M155" s="818"/>
      <c r="N155" s="90"/>
      <c r="O155" s="85"/>
      <c r="P155" s="674"/>
    </row>
    <row r="156" spans="1:18" s="50" customFormat="1" ht="15">
      <c r="A156" s="190" t="s">
        <v>239</v>
      </c>
      <c r="B156" s="134" t="s">
        <v>3557</v>
      </c>
      <c r="C156" s="105"/>
      <c r="D156" s="69"/>
      <c r="E156" s="61"/>
      <c r="J156" s="72"/>
      <c r="K156" s="611" t="s">
        <v>3577</v>
      </c>
      <c r="L156" s="652" t="str">
        <f>'Part I-Project Information'!$H$81</f>
        <v>No</v>
      </c>
      <c r="M156" s="2">
        <v>3</v>
      </c>
      <c r="N156" s="7"/>
      <c r="O156" s="7"/>
      <c r="P156" s="84"/>
      <c r="Q156" s="130" t="s">
        <v>566</v>
      </c>
    </row>
    <row r="157" spans="1:18" s="50" customFormat="1" ht="12" customHeight="1">
      <c r="A157" s="171"/>
      <c r="B157" s="64" t="s">
        <v>3085</v>
      </c>
      <c r="D157" s="40"/>
      <c r="N157" s="654"/>
      <c r="O157" s="1625" t="s">
        <v>4063</v>
      </c>
      <c r="P157" s="210"/>
      <c r="R157" s="490"/>
    </row>
    <row r="158" spans="1:18" s="50" customFormat="1" ht="12" customHeight="1">
      <c r="A158" s="171"/>
      <c r="B158" s="64" t="s">
        <v>3585</v>
      </c>
      <c r="D158" s="40"/>
      <c r="N158" s="654"/>
      <c r="O158" s="1625" t="s">
        <v>1959</v>
      </c>
      <c r="P158" s="210"/>
      <c r="R158" s="490"/>
    </row>
    <row r="159" spans="1:18" s="50" customFormat="1" ht="12" customHeight="1">
      <c r="A159" s="49"/>
      <c r="B159" s="56" t="s">
        <v>281</v>
      </c>
      <c r="C159" s="49"/>
      <c r="D159" s="55"/>
      <c r="E159" s="55"/>
      <c r="F159" s="55"/>
      <c r="G159" s="55"/>
      <c r="H159" s="44"/>
      <c r="I159" s="44"/>
      <c r="J159" s="44"/>
      <c r="K159" s="44"/>
      <c r="M159" s="53"/>
      <c r="N159" s="73"/>
      <c r="O159" s="4"/>
      <c r="P159" s="817"/>
    </row>
    <row r="160" spans="1:18" s="50" customFormat="1" ht="12.75" customHeight="1">
      <c r="A160" s="1629"/>
      <c r="B160" s="1630"/>
      <c r="C160" s="1630"/>
      <c r="D160" s="1630"/>
      <c r="E160" s="1630"/>
      <c r="F160" s="1630"/>
      <c r="G160" s="1630"/>
      <c r="H160" s="1630"/>
      <c r="I160" s="1630"/>
      <c r="J160" s="1630"/>
      <c r="K160" s="1630"/>
      <c r="L160" s="1630"/>
      <c r="M160" s="1630"/>
      <c r="N160" s="1630"/>
      <c r="O160" s="1630"/>
      <c r="P160" s="1631"/>
      <c r="Q160" s="614" t="s">
        <v>1676</v>
      </c>
    </row>
    <row r="161" spans="1:18" s="50" customFormat="1" ht="12" customHeight="1">
      <c r="B161" s="103" t="s">
        <v>2570</v>
      </c>
      <c r="C161" s="119"/>
      <c r="D161" s="103"/>
      <c r="E161" s="120"/>
      <c r="F161" s="818"/>
      <c r="G161" s="818"/>
      <c r="H161" s="818"/>
      <c r="I161" s="818"/>
      <c r="J161" s="818"/>
      <c r="K161" s="818"/>
      <c r="L161" s="818"/>
      <c r="M161" s="818"/>
      <c r="N161" s="90"/>
      <c r="O161" s="85"/>
      <c r="P161" s="2"/>
      <c r="Q161" s="570"/>
    </row>
    <row r="162" spans="1:18" s="50" customFormat="1" ht="12.75" customHeight="1">
      <c r="A162" s="1057"/>
      <c r="B162" s="1058"/>
      <c r="C162" s="1058"/>
      <c r="D162" s="1058"/>
      <c r="E162" s="1058"/>
      <c r="F162" s="1058"/>
      <c r="G162" s="1058"/>
      <c r="H162" s="1058"/>
      <c r="I162" s="1058"/>
      <c r="J162" s="1058"/>
      <c r="K162" s="1058"/>
      <c r="L162" s="1058"/>
      <c r="M162" s="1058"/>
      <c r="N162" s="1058"/>
      <c r="O162" s="1058"/>
      <c r="P162" s="1059"/>
      <c r="Q162" s="614" t="s">
        <v>1676</v>
      </c>
    </row>
    <row r="163" spans="1:18" ht="12" customHeight="1"/>
    <row r="164" spans="1:18" s="74" customFormat="1" ht="12.6" customHeight="1">
      <c r="A164" s="190" t="s">
        <v>257</v>
      </c>
      <c r="B164" s="126" t="s">
        <v>871</v>
      </c>
      <c r="D164" s="234" t="s">
        <v>3586</v>
      </c>
      <c r="G164" s="141"/>
      <c r="H164" s="551"/>
      <c r="I164" s="653">
        <f>'Part VI-Revenues &amp; Expenses'!$M$62</f>
        <v>49</v>
      </c>
      <c r="J164" s="782" t="s">
        <v>2488</v>
      </c>
      <c r="K164" s="785">
        <f>'Part VI-Revenues &amp; Expenses'!$M$74/'Part VI-Revenues &amp; Expenses'!$M$62</f>
        <v>2.0408163265306121E-2</v>
      </c>
      <c r="L164" s="782" t="s">
        <v>4060</v>
      </c>
      <c r="M164" s="2">
        <v>3</v>
      </c>
      <c r="N164" s="517" t="str">
        <f>IF(OR($O164=$M164,$O164=0,$O164=""),"","***")</f>
        <v/>
      </c>
      <c r="O164" s="1728">
        <v>0</v>
      </c>
      <c r="P164" s="84"/>
      <c r="Q164" s="130" t="s">
        <v>566</v>
      </c>
      <c r="R164" s="31"/>
    </row>
    <row r="165" spans="1:18" s="74" customFormat="1" ht="25.15" customHeight="1">
      <c r="A165" s="189"/>
      <c r="B165" s="1036" t="s">
        <v>3658</v>
      </c>
      <c r="C165" s="1130"/>
      <c r="D165" s="1130"/>
      <c r="E165" s="1130"/>
      <c r="F165" s="1130"/>
      <c r="G165" s="1130"/>
      <c r="H165" s="1130"/>
      <c r="I165" s="1130"/>
      <c r="J165" s="1130"/>
      <c r="K165" s="1130"/>
      <c r="L165" s="1130"/>
      <c r="M165" s="1130"/>
      <c r="N165" s="2"/>
      <c r="O165" s="2"/>
      <c r="P165" s="2"/>
      <c r="Q165" s="130"/>
      <c r="R165" s="490"/>
    </row>
    <row r="166" spans="1:18" s="50" customFormat="1" ht="13.9" customHeight="1">
      <c r="A166" s="49"/>
      <c r="B166" s="56" t="s">
        <v>281</v>
      </c>
      <c r="C166" s="49"/>
      <c r="D166" s="55"/>
      <c r="E166" s="55"/>
      <c r="F166" s="55"/>
      <c r="G166" s="55"/>
      <c r="H166" s="44"/>
      <c r="I166" s="44"/>
      <c r="J166" s="103" t="s">
        <v>2570</v>
      </c>
      <c r="M166" s="53"/>
      <c r="N166" s="73"/>
      <c r="O166" s="4"/>
      <c r="P166" s="817"/>
    </row>
    <row r="167" spans="1:18" s="50" customFormat="1" ht="12" customHeight="1">
      <c r="A167" s="1629"/>
      <c r="B167" s="1630"/>
      <c r="C167" s="1630"/>
      <c r="D167" s="1630"/>
      <c r="E167" s="1630"/>
      <c r="F167" s="1630"/>
      <c r="G167" s="1630"/>
      <c r="H167" s="1630"/>
      <c r="I167" s="1631"/>
      <c r="J167" s="1057"/>
      <c r="K167" s="1058"/>
      <c r="L167" s="1058"/>
      <c r="M167" s="1058"/>
      <c r="N167" s="1058"/>
      <c r="O167" s="1058"/>
      <c r="P167" s="1059"/>
      <c r="Q167" s="614" t="s">
        <v>1676</v>
      </c>
    </row>
    <row r="168" spans="1:18" s="50" customFormat="1" ht="12" customHeight="1">
      <c r="A168" s="49"/>
      <c r="C168" s="818"/>
      <c r="D168" s="818"/>
      <c r="E168" s="818"/>
      <c r="F168" s="818"/>
      <c r="G168" s="818"/>
      <c r="H168" s="818"/>
      <c r="I168" s="818"/>
      <c r="J168" s="818"/>
      <c r="K168" s="818"/>
      <c r="L168" s="818"/>
      <c r="M168" s="818"/>
      <c r="N168" s="90"/>
      <c r="O168" s="85"/>
      <c r="P168" s="674"/>
    </row>
    <row r="169" spans="1:18" s="50" customFormat="1" ht="13.5" customHeight="1">
      <c r="A169" s="189" t="s">
        <v>258</v>
      </c>
      <c r="B169" s="135" t="s">
        <v>2355</v>
      </c>
      <c r="D169" s="106"/>
      <c r="E169" s="106"/>
      <c r="F169" s="61"/>
      <c r="G169" s="61"/>
      <c r="H169" s="61"/>
      <c r="I169" s="61"/>
      <c r="J169" s="63"/>
      <c r="K169" s="71"/>
      <c r="L169" s="490" t="str">
        <f>IF(OR($O169=$M169,$O169=0,$O169=""),"","* * Check Score! * *")</f>
        <v/>
      </c>
      <c r="M169" s="674">
        <v>1</v>
      </c>
      <c r="N169" s="517" t="str">
        <f>IF(OR($O169=$M169,$O169=0,$O169=""),"","***")</f>
        <v/>
      </c>
      <c r="O169" s="1728">
        <v>0</v>
      </c>
      <c r="P169" s="84"/>
      <c r="Q169" s="130" t="s">
        <v>566</v>
      </c>
    </row>
    <row r="170" spans="1:18" s="50" customFormat="1" ht="12.6" customHeight="1">
      <c r="B170" s="136" t="s">
        <v>2545</v>
      </c>
      <c r="D170" s="123"/>
      <c r="E170" s="1764" t="s">
        <v>2478</v>
      </c>
      <c r="F170" s="1765"/>
      <c r="G170" s="1766"/>
      <c r="H170" s="1767"/>
      <c r="I170" s="60" t="s">
        <v>2544</v>
      </c>
      <c r="O170" s="144" t="s">
        <v>3296</v>
      </c>
      <c r="P170" s="144" t="s">
        <v>3296</v>
      </c>
    </row>
    <row r="171" spans="1:18" s="121" customFormat="1" ht="11.45" customHeight="1">
      <c r="A171" s="171" t="s">
        <v>2693</v>
      </c>
      <c r="B171" s="143" t="s">
        <v>2357</v>
      </c>
      <c r="D171" s="143"/>
      <c r="E171" s="143"/>
      <c r="F171" s="143"/>
      <c r="G171" s="1768" t="s">
        <v>3308</v>
      </c>
      <c r="H171" s="1769"/>
      <c r="I171" s="1770"/>
      <c r="J171" s="1768" t="s">
        <v>1606</v>
      </c>
      <c r="K171" s="1769"/>
      <c r="L171" s="1770"/>
      <c r="N171" s="654" t="s">
        <v>2693</v>
      </c>
      <c r="O171" s="1625" t="s">
        <v>1959</v>
      </c>
      <c r="P171" s="210"/>
    </row>
    <row r="172" spans="1:18" s="121" customFormat="1" ht="11.45" customHeight="1">
      <c r="A172" s="171" t="s">
        <v>2696</v>
      </c>
      <c r="B172" s="143" t="s">
        <v>435</v>
      </c>
      <c r="D172" s="143"/>
      <c r="E172" s="143"/>
      <c r="F172" s="143"/>
      <c r="G172" s="143"/>
      <c r="L172" s="143"/>
      <c r="M172" s="143"/>
      <c r="N172" s="654" t="s">
        <v>2696</v>
      </c>
      <c r="O172" s="1625" t="s">
        <v>1959</v>
      </c>
      <c r="P172" s="210"/>
    </row>
    <row r="173" spans="1:18" s="121" customFormat="1" ht="11.45" customHeight="1">
      <c r="A173" s="171" t="s">
        <v>1053</v>
      </c>
      <c r="B173" s="143" t="s">
        <v>2317</v>
      </c>
      <c r="D173" s="143"/>
      <c r="E173" s="143"/>
      <c r="F173" s="143"/>
      <c r="G173" s="143"/>
      <c r="H173" s="143"/>
      <c r="L173" s="143"/>
      <c r="M173" s="143"/>
      <c r="N173" s="654" t="s">
        <v>1053</v>
      </c>
      <c r="O173" s="1625" t="s">
        <v>1959</v>
      </c>
      <c r="P173" s="210"/>
    </row>
    <row r="174" spans="1:18" s="121" customFormat="1" ht="11.45" customHeight="1">
      <c r="A174" s="171" t="s">
        <v>2829</v>
      </c>
      <c r="B174" s="166" t="s">
        <v>3530</v>
      </c>
      <c r="D174" s="143"/>
      <c r="E174" s="143"/>
      <c r="F174" s="143"/>
      <c r="G174" s="143"/>
      <c r="H174" s="143"/>
      <c r="I174" s="143"/>
      <c r="J174" s="143"/>
      <c r="K174" s="143"/>
      <c r="L174" s="143"/>
      <c r="M174" s="143"/>
      <c r="N174" s="654" t="s">
        <v>2829</v>
      </c>
      <c r="O174" s="1625" t="s">
        <v>1959</v>
      </c>
      <c r="P174" s="210"/>
    </row>
    <row r="175" spans="1:18" s="50" customFormat="1" ht="11.25" customHeight="1">
      <c r="A175" s="49"/>
      <c r="B175" s="56" t="s">
        <v>281</v>
      </c>
      <c r="C175" s="49"/>
      <c r="D175" s="55"/>
      <c r="E175" s="55"/>
      <c r="F175" s="55"/>
      <c r="G175" s="55"/>
      <c r="H175" s="44"/>
      <c r="I175" s="44"/>
      <c r="J175" s="44"/>
      <c r="K175" s="44"/>
      <c r="M175" s="53"/>
      <c r="N175" s="73"/>
      <c r="O175" s="4"/>
      <c r="P175" s="817"/>
    </row>
    <row r="176" spans="1:18" s="50" customFormat="1" ht="12.75" customHeight="1">
      <c r="A176" s="1629"/>
      <c r="B176" s="1630"/>
      <c r="C176" s="1630"/>
      <c r="D176" s="1630"/>
      <c r="E176" s="1630"/>
      <c r="F176" s="1630"/>
      <c r="G176" s="1630"/>
      <c r="H176" s="1630"/>
      <c r="I176" s="1630"/>
      <c r="J176" s="1630"/>
      <c r="K176" s="1630"/>
      <c r="L176" s="1630"/>
      <c r="M176" s="1630"/>
      <c r="N176" s="1630"/>
      <c r="O176" s="1630"/>
      <c r="P176" s="1631"/>
      <c r="Q176" s="614" t="s">
        <v>1676</v>
      </c>
    </row>
    <row r="177" spans="1:18" s="50" customFormat="1" ht="11.25" customHeight="1">
      <c r="A177" s="49"/>
      <c r="B177" s="103" t="s">
        <v>2570</v>
      </c>
      <c r="C177" s="119"/>
      <c r="D177" s="103"/>
      <c r="E177" s="120"/>
      <c r="F177" s="818"/>
      <c r="G177" s="818"/>
      <c r="H177" s="818"/>
      <c r="I177" s="818"/>
      <c r="J177" s="818"/>
      <c r="K177" s="818"/>
      <c r="L177" s="818"/>
      <c r="M177" s="818"/>
      <c r="N177" s="90"/>
      <c r="O177" s="85"/>
      <c r="P177" s="2"/>
      <c r="Q177" s="570"/>
    </row>
    <row r="178" spans="1:18" s="50" customFormat="1" ht="12.75" customHeight="1">
      <c r="A178" s="1057"/>
      <c r="B178" s="1058"/>
      <c r="C178" s="1058"/>
      <c r="D178" s="1058"/>
      <c r="E178" s="1058"/>
      <c r="F178" s="1058"/>
      <c r="G178" s="1058"/>
      <c r="H178" s="1058"/>
      <c r="I178" s="1058"/>
      <c r="J178" s="1058"/>
      <c r="K178" s="1058"/>
      <c r="L178" s="1058"/>
      <c r="M178" s="1058"/>
      <c r="N178" s="1058"/>
      <c r="O178" s="1058"/>
      <c r="P178" s="1059"/>
      <c r="Q178" s="614" t="s">
        <v>1676</v>
      </c>
    </row>
    <row r="179" spans="1:18" ht="12" customHeight="1"/>
    <row r="180" spans="1:18" s="50" customFormat="1" ht="15">
      <c r="A180" s="189" t="s">
        <v>1841</v>
      </c>
      <c r="B180" s="135" t="s">
        <v>2546</v>
      </c>
      <c r="D180" s="106"/>
      <c r="E180" s="106"/>
      <c r="F180" s="61"/>
      <c r="G180" s="61"/>
      <c r="H180" s="61"/>
      <c r="I180" s="61"/>
      <c r="J180" s="63"/>
      <c r="K180" s="71"/>
      <c r="L180" s="67" t="str">
        <f>IF(M180&gt;14,"Over limit!","")</f>
        <v/>
      </c>
      <c r="M180" s="4">
        <v>7</v>
      </c>
      <c r="N180" s="7"/>
      <c r="O180" s="76">
        <f>O188+O208+O211</f>
        <v>0</v>
      </c>
      <c r="P180" s="76">
        <f>P188+P208+P211</f>
        <v>0</v>
      </c>
      <c r="Q180" s="130" t="s">
        <v>566</v>
      </c>
    </row>
    <row r="181" spans="1:18" s="50" customFormat="1" ht="12.75" customHeight="1">
      <c r="A181" s="49"/>
      <c r="B181" s="136" t="s">
        <v>3545</v>
      </c>
      <c r="E181" s="106"/>
      <c r="F181" s="61"/>
      <c r="G181" s="61"/>
      <c r="H181" s="61"/>
      <c r="I181" s="61"/>
      <c r="J181" s="63"/>
      <c r="K181" s="71"/>
      <c r="L181" s="67"/>
      <c r="O181" s="144" t="s">
        <v>3296</v>
      </c>
      <c r="P181" s="144" t="s">
        <v>3296</v>
      </c>
    </row>
    <row r="182" spans="1:18" s="121" customFormat="1" ht="11.25" customHeight="1">
      <c r="B182" s="596" t="s">
        <v>2697</v>
      </c>
      <c r="C182" s="121" t="s">
        <v>736</v>
      </c>
      <c r="E182" s="106"/>
      <c r="F182" s="61"/>
      <c r="G182" s="61"/>
      <c r="H182" s="61"/>
      <c r="I182" s="61"/>
      <c r="J182" s="63"/>
      <c r="K182" s="71"/>
      <c r="L182" s="67" t="str">
        <f>IF(M182&gt;14,"Over limit!","")</f>
        <v/>
      </c>
      <c r="N182" s="225" t="s">
        <v>2697</v>
      </c>
      <c r="O182" s="1682" t="s">
        <v>1959</v>
      </c>
      <c r="P182" s="324"/>
    </row>
    <row r="183" spans="1:18" s="121" customFormat="1" ht="11.25" customHeight="1">
      <c r="B183" s="596" t="s">
        <v>2699</v>
      </c>
      <c r="C183" s="121" t="s">
        <v>737</v>
      </c>
      <c r="N183" s="225" t="s">
        <v>2699</v>
      </c>
      <c r="O183" s="1683" t="s">
        <v>1959</v>
      </c>
      <c r="P183" s="473"/>
    </row>
    <row r="184" spans="1:18" s="121" customFormat="1" ht="11.25" customHeight="1">
      <c r="B184" s="596" t="s">
        <v>3322</v>
      </c>
      <c r="C184" s="121" t="s">
        <v>738</v>
      </c>
      <c r="N184" s="225" t="s">
        <v>3322</v>
      </c>
      <c r="O184" s="1683" t="s">
        <v>1959</v>
      </c>
      <c r="P184" s="473"/>
    </row>
    <row r="185" spans="1:18" s="121" customFormat="1" ht="11.25" customHeight="1">
      <c r="B185" s="596" t="s">
        <v>1644</v>
      </c>
      <c r="C185" s="121" t="s">
        <v>739</v>
      </c>
      <c r="N185" s="225" t="s">
        <v>1644</v>
      </c>
      <c r="O185" s="1683" t="s">
        <v>1959</v>
      </c>
      <c r="P185" s="473"/>
    </row>
    <row r="186" spans="1:18" s="121" customFormat="1" ht="11.25" customHeight="1">
      <c r="B186" s="596" t="s">
        <v>1645</v>
      </c>
      <c r="C186" s="121" t="s">
        <v>747</v>
      </c>
      <c r="N186" s="225" t="s">
        <v>1645</v>
      </c>
      <c r="O186" s="1684" t="s">
        <v>1959</v>
      </c>
      <c r="P186" s="325"/>
    </row>
    <row r="187" spans="1:18" s="121" customFormat="1" ht="6" customHeight="1">
      <c r="B187" s="596"/>
    </row>
    <row r="188" spans="1:18" s="50" customFormat="1" ht="11.25" customHeight="1">
      <c r="A188" s="171" t="s">
        <v>2693</v>
      </c>
      <c r="B188" s="231" t="s">
        <v>2547</v>
      </c>
      <c r="D188" s="822"/>
      <c r="E188" s="822"/>
      <c r="F188" s="40"/>
      <c r="G188" s="123"/>
      <c r="H188" s="123"/>
      <c r="I188" s="123"/>
      <c r="J188" s="822"/>
      <c r="K188" s="123"/>
      <c r="L188" s="40"/>
      <c r="M188" s="577">
        <v>4</v>
      </c>
      <c r="N188" s="654" t="s">
        <v>2693</v>
      </c>
      <c r="O188" s="186">
        <f>IF($I207&gt;=0.15, 4,IF($I207&gt;=0.1, 3,IF($I207&gt;=0.05, 2,IF($I207&gt;=0.02, 1,0))))</f>
        <v>0</v>
      </c>
      <c r="P188" s="186">
        <f>IF($L207&gt;=0.15, 4,IF($L207&gt;=0.1, 3,IF($L207&gt;=0.05, 2,IF($L207&gt;=0.02, 1,0))))</f>
        <v>0</v>
      </c>
    </row>
    <row r="189" spans="1:18" ht="12" customHeight="1">
      <c r="B189" s="483" t="s">
        <v>2697</v>
      </c>
      <c r="C189" s="602" t="s">
        <v>3440</v>
      </c>
      <c r="I189" s="1169" t="s">
        <v>2701</v>
      </c>
      <c r="J189" s="1169"/>
      <c r="L189" s="824" t="s">
        <v>2701</v>
      </c>
      <c r="M189" s="196"/>
      <c r="N189" s="225" t="s">
        <v>2697</v>
      </c>
    </row>
    <row r="190" spans="1:18" s="50" customFormat="1" ht="11.25" customHeight="1">
      <c r="A190" s="226"/>
      <c r="B190" s="132"/>
      <c r="C190" s="484" t="s">
        <v>3201</v>
      </c>
      <c r="D190" s="44" t="s">
        <v>1929</v>
      </c>
      <c r="H190" s="64"/>
      <c r="I190" s="1771">
        <v>0</v>
      </c>
      <c r="J190" s="1772"/>
      <c r="K190" s="228"/>
      <c r="L190" s="586"/>
      <c r="M190" s="88"/>
      <c r="N190" s="484" t="s">
        <v>3201</v>
      </c>
      <c r="O190" s="1682" t="s">
        <v>1959</v>
      </c>
      <c r="P190" s="324"/>
      <c r="R190" s="490"/>
    </row>
    <row r="191" spans="1:18" ht="11.25" customHeight="1">
      <c r="A191" s="227"/>
      <c r="B191" s="97"/>
      <c r="C191" s="506" t="s">
        <v>3202</v>
      </c>
      <c r="D191" s="44" t="s">
        <v>1930</v>
      </c>
      <c r="H191" s="64"/>
      <c r="I191" s="1771">
        <v>0</v>
      </c>
      <c r="J191" s="1772"/>
      <c r="L191" s="586"/>
      <c r="M191" s="88"/>
      <c r="N191" s="506" t="s">
        <v>3202</v>
      </c>
      <c r="O191" s="1682" t="s">
        <v>1959</v>
      </c>
      <c r="P191" s="473"/>
      <c r="R191" s="490"/>
    </row>
    <row r="192" spans="1:18" ht="11.25" customHeight="1">
      <c r="B192" s="596"/>
      <c r="C192" s="484" t="s">
        <v>3203</v>
      </c>
      <c r="D192" s="44" t="s">
        <v>3437</v>
      </c>
      <c r="H192" s="64"/>
      <c r="I192" s="1771">
        <v>0</v>
      </c>
      <c r="J192" s="1772"/>
      <c r="L192" s="586"/>
      <c r="M192" s="88"/>
      <c r="N192" s="484" t="s">
        <v>3203</v>
      </c>
      <c r="O192" s="1682" t="s">
        <v>1959</v>
      </c>
      <c r="P192" s="473"/>
      <c r="R192" s="490"/>
    </row>
    <row r="193" spans="1:18" ht="11.25" customHeight="1">
      <c r="A193" s="227"/>
      <c r="B193" s="596"/>
      <c r="C193" s="484" t="s">
        <v>3204</v>
      </c>
      <c r="D193" s="44" t="s">
        <v>3438</v>
      </c>
      <c r="I193" s="1771">
        <v>0</v>
      </c>
      <c r="J193" s="1772"/>
      <c r="L193" s="586"/>
      <c r="M193" s="88"/>
      <c r="N193" s="484" t="s">
        <v>3204</v>
      </c>
      <c r="O193" s="1682" t="s">
        <v>1959</v>
      </c>
      <c r="P193" s="473"/>
      <c r="R193" s="490"/>
    </row>
    <row r="194" spans="1:18" s="50" customFormat="1" ht="11.25" customHeight="1">
      <c r="A194" s="226"/>
      <c r="B194" s="596"/>
      <c r="C194" s="506" t="s">
        <v>3205</v>
      </c>
      <c r="D194" s="44" t="s">
        <v>1931</v>
      </c>
      <c r="H194" s="64"/>
      <c r="I194" s="1771">
        <v>0</v>
      </c>
      <c r="J194" s="1772"/>
      <c r="K194" s="228"/>
      <c r="L194" s="586"/>
      <c r="M194" s="88"/>
      <c r="N194" s="506" t="s">
        <v>3205</v>
      </c>
      <c r="O194" s="1682" t="s">
        <v>1959</v>
      </c>
      <c r="P194" s="473"/>
      <c r="R194" s="490"/>
    </row>
    <row r="195" spans="1:18" ht="11.25" customHeight="1">
      <c r="B195" s="596"/>
      <c r="C195" s="484" t="s">
        <v>3221</v>
      </c>
      <c r="D195" s="44" t="s">
        <v>1932</v>
      </c>
      <c r="H195" s="64"/>
      <c r="I195" s="1771">
        <v>0</v>
      </c>
      <c r="J195" s="1772"/>
      <c r="L195" s="586"/>
      <c r="M195" s="88"/>
      <c r="N195" s="484" t="s">
        <v>3221</v>
      </c>
      <c r="O195" s="1682" t="s">
        <v>1959</v>
      </c>
      <c r="P195" s="473"/>
      <c r="R195" s="490"/>
    </row>
    <row r="196" spans="1:18" ht="11.25" customHeight="1">
      <c r="A196" s="227"/>
      <c r="B196" s="596"/>
      <c r="C196" s="484" t="s">
        <v>3222</v>
      </c>
      <c r="D196" s="44" t="s">
        <v>1933</v>
      </c>
      <c r="H196" s="64"/>
      <c r="I196" s="1771">
        <v>0</v>
      </c>
      <c r="J196" s="1772"/>
      <c r="L196" s="586"/>
      <c r="M196" s="88"/>
      <c r="N196" s="484" t="s">
        <v>3222</v>
      </c>
      <c r="O196" s="1682" t="s">
        <v>1959</v>
      </c>
      <c r="P196" s="473"/>
      <c r="R196" s="490"/>
    </row>
    <row r="197" spans="1:18" ht="11.25" customHeight="1">
      <c r="B197" s="596"/>
      <c r="C197" s="505" t="s">
        <v>3229</v>
      </c>
      <c r="D197" s="44" t="s">
        <v>3698</v>
      </c>
      <c r="H197" s="64"/>
      <c r="I197" s="1771">
        <v>0</v>
      </c>
      <c r="J197" s="1772"/>
      <c r="L197" s="586"/>
      <c r="M197" s="88"/>
      <c r="N197" s="505" t="s">
        <v>3229</v>
      </c>
      <c r="O197" s="1682" t="s">
        <v>1959</v>
      </c>
      <c r="P197" s="473"/>
      <c r="R197" s="490"/>
    </row>
    <row r="198" spans="1:18" ht="11.25" customHeight="1">
      <c r="A198" s="227"/>
      <c r="B198" s="596"/>
      <c r="C198" s="505" t="s">
        <v>3230</v>
      </c>
      <c r="D198" s="44" t="s">
        <v>3699</v>
      </c>
      <c r="H198" s="64"/>
      <c r="I198" s="1771">
        <v>0</v>
      </c>
      <c r="J198" s="1772"/>
      <c r="L198" s="586"/>
      <c r="M198" s="88"/>
      <c r="N198" s="505" t="s">
        <v>3230</v>
      </c>
      <c r="O198" s="1682" t="s">
        <v>1959</v>
      </c>
      <c r="P198" s="473"/>
      <c r="R198" s="490"/>
    </row>
    <row r="199" spans="1:18" ht="11.25" customHeight="1">
      <c r="A199" s="227"/>
      <c r="B199" s="596"/>
      <c r="C199" s="505" t="s">
        <v>3231</v>
      </c>
      <c r="D199" s="44" t="s">
        <v>3700</v>
      </c>
      <c r="H199" s="64"/>
      <c r="I199" s="1771">
        <v>0</v>
      </c>
      <c r="J199" s="1772"/>
      <c r="L199" s="586"/>
      <c r="M199" s="88"/>
      <c r="N199" s="505" t="s">
        <v>3231</v>
      </c>
      <c r="O199" s="1682" t="s">
        <v>1959</v>
      </c>
      <c r="P199" s="473"/>
      <c r="R199" s="490"/>
    </row>
    <row r="200" spans="1:18" ht="11.25" customHeight="1">
      <c r="A200" s="227"/>
      <c r="B200" s="596"/>
      <c r="C200" s="505" t="s">
        <v>770</v>
      </c>
      <c r="D200" s="44" t="s">
        <v>3701</v>
      </c>
      <c r="H200" s="64"/>
      <c r="I200" s="1771">
        <v>0</v>
      </c>
      <c r="J200" s="1772"/>
      <c r="L200" s="586"/>
      <c r="M200" s="88"/>
      <c r="N200" s="505" t="s">
        <v>770</v>
      </c>
      <c r="O200" s="1682" t="s">
        <v>1959</v>
      </c>
      <c r="P200" s="473"/>
      <c r="R200" s="490"/>
    </row>
    <row r="201" spans="1:18" ht="11.25" customHeight="1">
      <c r="A201" s="227"/>
      <c r="B201" s="596"/>
      <c r="C201" s="505" t="s">
        <v>3704</v>
      </c>
      <c r="D201" s="44" t="s">
        <v>3702</v>
      </c>
      <c r="H201" s="64"/>
      <c r="I201" s="1771">
        <v>0</v>
      </c>
      <c r="J201" s="1772"/>
      <c r="L201" s="586"/>
      <c r="M201" s="88"/>
      <c r="N201" s="505" t="s">
        <v>3704</v>
      </c>
      <c r="O201" s="1682" t="s">
        <v>1959</v>
      </c>
      <c r="P201" s="473"/>
      <c r="R201" s="490"/>
    </row>
    <row r="202" spans="1:18" ht="11.25" customHeight="1">
      <c r="A202" s="227"/>
      <c r="B202" s="596"/>
      <c r="C202" s="505" t="s">
        <v>3705</v>
      </c>
      <c r="D202" s="44" t="s">
        <v>3703</v>
      </c>
      <c r="H202" s="64"/>
      <c r="I202" s="1771">
        <v>0</v>
      </c>
      <c r="J202" s="1772"/>
      <c r="L202" s="586"/>
      <c r="M202" s="88"/>
      <c r="N202" s="505" t="s">
        <v>3705</v>
      </c>
      <c r="O202" s="1682" t="s">
        <v>1959</v>
      </c>
      <c r="P202" s="473"/>
      <c r="R202" s="490"/>
    </row>
    <row r="203" spans="1:18" ht="11.25" customHeight="1" thickBot="1">
      <c r="A203" s="227"/>
      <c r="B203" s="596"/>
      <c r="C203" s="505" t="s">
        <v>3706</v>
      </c>
      <c r="D203" s="582" t="s">
        <v>3439</v>
      </c>
      <c r="E203" s="583"/>
      <c r="F203" s="583"/>
      <c r="G203" s="583"/>
      <c r="H203" s="584"/>
      <c r="I203" s="1773">
        <v>0</v>
      </c>
      <c r="J203" s="1774"/>
      <c r="L203" s="590"/>
      <c r="M203" s="88"/>
      <c r="N203" s="505" t="s">
        <v>3706</v>
      </c>
      <c r="O203" s="1682" t="s">
        <v>1959</v>
      </c>
      <c r="P203" s="325"/>
      <c r="R203" s="490"/>
    </row>
    <row r="204" spans="1:18" ht="12" customHeight="1" thickBot="1">
      <c r="A204" s="227"/>
      <c r="B204" s="596"/>
      <c r="D204" s="580" t="s">
        <v>3442</v>
      </c>
      <c r="H204" s="64"/>
      <c r="I204" s="1775">
        <f>SUM(I190:J203)</f>
        <v>0</v>
      </c>
      <c r="J204" s="1776"/>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17"/>
      <c r="P205" s="4"/>
    </row>
    <row r="206" spans="1:18" ht="12" customHeight="1">
      <c r="B206" s="483" t="s">
        <v>2699</v>
      </c>
      <c r="C206" s="602" t="s">
        <v>3441</v>
      </c>
      <c r="D206" s="580" t="s">
        <v>3443</v>
      </c>
      <c r="I206" s="1157">
        <f>'Part IV-Uses of Funds'!$G$129</f>
        <v>7082916.1300000008</v>
      </c>
      <c r="J206" s="1158"/>
      <c r="M206" s="196"/>
      <c r="N206" s="31"/>
      <c r="O206" s="31"/>
      <c r="P206" s="31"/>
    </row>
    <row r="207" spans="1:18" ht="12" customHeight="1">
      <c r="B207" s="225"/>
      <c r="C207" s="579"/>
      <c r="D207" s="600" t="s">
        <v>3444</v>
      </c>
      <c r="G207" s="589"/>
      <c r="H207" s="589"/>
      <c r="I207" s="1162">
        <f>IF($I206=0,0,$I204/$I206)</f>
        <v>0</v>
      </c>
      <c r="J207" s="1163"/>
      <c r="L207" s="581">
        <f>IF($I206=0,0,$L204/$I206)</f>
        <v>0</v>
      </c>
      <c r="M207" s="196"/>
      <c r="N207" s="31"/>
      <c r="O207" s="31"/>
      <c r="P207" s="31"/>
    </row>
    <row r="208" spans="1:18" s="50" customFormat="1" ht="12.75" customHeight="1">
      <c r="A208" s="171" t="s">
        <v>2696</v>
      </c>
      <c r="B208" s="231" t="s">
        <v>3573</v>
      </c>
      <c r="D208" s="47"/>
      <c r="E208" s="44"/>
      <c r="F208" s="674"/>
      <c r="H208" s="44"/>
      <c r="I208" s="674"/>
      <c r="J208" s="38"/>
      <c r="K208" s="38"/>
      <c r="L208" s="38"/>
      <c r="M208" s="88">
        <v>1</v>
      </c>
      <c r="N208" s="654" t="s">
        <v>2696</v>
      </c>
      <c r="O208" s="1625">
        <v>0</v>
      </c>
      <c r="P208" s="84"/>
      <c r="Q208" s="507" t="s">
        <v>3629</v>
      </c>
    </row>
    <row r="209" spans="1:18" s="50" customFormat="1" ht="11.25" customHeight="1">
      <c r="A209" s="171"/>
      <c r="B209" s="1036" t="s">
        <v>3707</v>
      </c>
      <c r="C209" s="1036"/>
      <c r="D209" s="1036"/>
      <c r="E209" s="1036"/>
      <c r="F209" s="1036"/>
      <c r="G209" s="1036"/>
      <c r="H209" s="1036"/>
      <c r="I209" s="1036"/>
      <c r="J209" s="1036"/>
      <c r="K209" s="1036"/>
      <c r="L209" s="1036"/>
    </row>
    <row r="210" spans="1:18" s="50" customFormat="1" ht="11.25" customHeight="1">
      <c r="A210" s="171"/>
      <c r="B210" s="1036"/>
      <c r="C210" s="1036"/>
      <c r="D210" s="1036"/>
      <c r="E210" s="1036"/>
      <c r="F210" s="1036"/>
      <c r="G210" s="1036"/>
      <c r="H210" s="1036"/>
      <c r="I210" s="1036"/>
      <c r="J210" s="1036"/>
      <c r="K210" s="1036"/>
      <c r="L210" s="1036"/>
      <c r="M210" s="38"/>
      <c r="N210" s="38"/>
      <c r="O210" s="38"/>
      <c r="P210" s="38"/>
    </row>
    <row r="211" spans="1:18" s="50" customFormat="1" ht="12.75" customHeight="1">
      <c r="A211" s="171" t="s">
        <v>1053</v>
      </c>
      <c r="B211" s="231" t="s">
        <v>824</v>
      </c>
      <c r="D211" s="47"/>
      <c r="E211" s="44"/>
      <c r="F211" s="674"/>
      <c r="G211" s="674"/>
      <c r="H211" s="674"/>
      <c r="I211" s="674"/>
      <c r="J211" s="38"/>
      <c r="K211" s="38"/>
      <c r="L211" s="38"/>
      <c r="M211" s="577">
        <v>2</v>
      </c>
      <c r="N211" s="654" t="s">
        <v>1053</v>
      </c>
      <c r="O211" s="186">
        <f>IF($K214&gt;=0.1, 2,IF($K214&gt;=0.05, 1,0))</f>
        <v>0</v>
      </c>
      <c r="P211" s="186">
        <f>IF($M214&gt;=0.1, 2,IF($M214&gt;=0.05, 1,0))</f>
        <v>0</v>
      </c>
      <c r="R211" s="490" t="str">
        <f>IF(OR($O211=$M211,$O211=0,$O211=""),"","* * Check Score! * *")</f>
        <v/>
      </c>
    </row>
    <row r="212" spans="1:18" s="50" customFormat="1" ht="12.6" customHeight="1">
      <c r="A212" s="226"/>
      <c r="B212" s="44" t="s">
        <v>825</v>
      </c>
      <c r="E212" s="1777" t="s">
        <v>1368</v>
      </c>
      <c r="F212" s="1778"/>
      <c r="G212" s="1778"/>
      <c r="H212" s="1779"/>
      <c r="K212" s="228"/>
      <c r="M212" s="7"/>
      <c r="N212" s="7"/>
      <c r="O212" s="7"/>
      <c r="P212" s="7"/>
    </row>
    <row r="213" spans="1:18" ht="12" customHeight="1">
      <c r="A213" s="227"/>
      <c r="B213" s="510" t="s">
        <v>3109</v>
      </c>
      <c r="D213" s="511"/>
      <c r="E213" s="1780" t="s">
        <v>1368</v>
      </c>
      <c r="F213" s="1781"/>
      <c r="G213" s="1781"/>
      <c r="H213" s="1781"/>
      <c r="I213" s="1781"/>
      <c r="J213" s="1781"/>
      <c r="K213" s="1781"/>
      <c r="L213" s="1781"/>
      <c r="M213" s="1781"/>
      <c r="N213" s="1781"/>
      <c r="O213" s="1781"/>
      <c r="P213" s="1337"/>
    </row>
    <row r="214" spans="1:18" ht="12.6" customHeight="1">
      <c r="B214" s="44" t="s">
        <v>3546</v>
      </c>
      <c r="E214" s="585"/>
      <c r="I214" s="1782">
        <v>0</v>
      </c>
      <c r="J214" s="1783"/>
      <c r="K214" s="581">
        <f>IF($I214=0,0,$I214/$I206)</f>
        <v>0</v>
      </c>
      <c r="L214" s="586"/>
      <c r="M214" s="1167">
        <f>IF($L214=0,0,$L214/$I206)</f>
        <v>0</v>
      </c>
      <c r="N214" s="1168"/>
      <c r="O214" s="111"/>
      <c r="P214" s="111"/>
    </row>
    <row r="215" spans="1:18" s="50" customFormat="1" ht="11.25" customHeight="1">
      <c r="A215" s="49"/>
      <c r="B215" s="56" t="s">
        <v>281</v>
      </c>
      <c r="C215" s="49"/>
      <c r="D215" s="55"/>
      <c r="E215" s="55"/>
      <c r="F215" s="55"/>
      <c r="G215" s="55"/>
      <c r="H215" s="44"/>
      <c r="I215" s="44"/>
      <c r="J215" s="44"/>
      <c r="K215" s="44"/>
      <c r="M215" s="53"/>
      <c r="N215" s="73"/>
      <c r="O215" s="4"/>
      <c r="P215" s="817"/>
    </row>
    <row r="216" spans="1:18" s="50" customFormat="1" ht="12" customHeight="1">
      <c r="A216" s="1629"/>
      <c r="B216" s="1630"/>
      <c r="C216" s="1630"/>
      <c r="D216" s="1630"/>
      <c r="E216" s="1630"/>
      <c r="F216" s="1630"/>
      <c r="G216" s="1630"/>
      <c r="H216" s="1630"/>
      <c r="I216" s="1630"/>
      <c r="J216" s="1630"/>
      <c r="K216" s="1630"/>
      <c r="L216" s="1630"/>
      <c r="M216" s="1630"/>
      <c r="N216" s="1630"/>
      <c r="O216" s="1630"/>
      <c r="P216" s="1631"/>
      <c r="Q216" s="614" t="s">
        <v>1676</v>
      </c>
    </row>
    <row r="217" spans="1:18" s="123" customFormat="1" ht="10.9" customHeight="1">
      <c r="A217" s="49"/>
      <c r="B217" s="118" t="s">
        <v>2570</v>
      </c>
      <c r="C217" s="119"/>
      <c r="D217" s="118"/>
      <c r="E217" s="233"/>
      <c r="F217" s="816"/>
      <c r="G217" s="816"/>
      <c r="H217" s="816"/>
      <c r="I217" s="816"/>
      <c r="J217" s="816"/>
      <c r="K217" s="816"/>
      <c r="L217" s="816"/>
      <c r="M217" s="816"/>
      <c r="N217" s="113"/>
      <c r="O217" s="232"/>
      <c r="P217" s="2"/>
      <c r="Q217" s="570"/>
    </row>
    <row r="218" spans="1:18" s="50" customFormat="1" ht="12" customHeight="1">
      <c r="A218" s="1057"/>
      <c r="B218" s="1058"/>
      <c r="C218" s="1058"/>
      <c r="D218" s="1058"/>
      <c r="E218" s="1058"/>
      <c r="F218" s="1058"/>
      <c r="G218" s="1058"/>
      <c r="H218" s="1058"/>
      <c r="I218" s="1058"/>
      <c r="J218" s="1058"/>
      <c r="K218" s="1058"/>
      <c r="L218" s="1058"/>
      <c r="M218" s="1058"/>
      <c r="N218" s="1058"/>
      <c r="O218" s="1058"/>
      <c r="P218" s="1059"/>
      <c r="Q218" s="614" t="s">
        <v>1676</v>
      </c>
    </row>
    <row r="219" spans="1:18" ht="3" customHeight="1"/>
    <row r="220" spans="1:18" s="50" customFormat="1" ht="15">
      <c r="A220" s="189" t="s">
        <v>2354</v>
      </c>
      <c r="B220" s="126" t="s">
        <v>2360</v>
      </c>
      <c r="C220" s="78"/>
      <c r="E220" s="48"/>
      <c r="G220" s="44"/>
      <c r="H220" s="44"/>
      <c r="I220" s="47"/>
      <c r="J220" s="55"/>
      <c r="K220" s="55"/>
      <c r="L220" s="490" t="str">
        <f>IF(OR($O220=$M220,$O220=0,$O220=""),"","* * Check Score! * *")</f>
        <v/>
      </c>
      <c r="M220" s="2">
        <v>6</v>
      </c>
      <c r="N220" s="123"/>
      <c r="O220" s="53"/>
      <c r="P220" s="84"/>
      <c r="Q220" s="130" t="s">
        <v>566</v>
      </c>
      <c r="R220" s="490"/>
    </row>
    <row r="221" spans="1:18" s="50" customFormat="1" ht="12" customHeight="1">
      <c r="A221" s="171" t="s">
        <v>2693</v>
      </c>
      <c r="B221" s="213" t="s">
        <v>3709</v>
      </c>
      <c r="D221" s="40"/>
      <c r="H221" s="64" t="s">
        <v>3085</v>
      </c>
      <c r="M221" s="88">
        <v>6</v>
      </c>
      <c r="N221" s="654" t="s">
        <v>2693</v>
      </c>
      <c r="O221" s="1682" t="s">
        <v>4063</v>
      </c>
      <c r="P221" s="324"/>
      <c r="R221" s="490"/>
    </row>
    <row r="222" spans="1:18" s="50" customFormat="1" ht="23.25" customHeight="1">
      <c r="A222" s="49"/>
      <c r="B222" s="1164" t="s">
        <v>3747</v>
      </c>
      <c r="C222" s="1165"/>
      <c r="D222" s="1165"/>
      <c r="E222" s="1165"/>
      <c r="F222" s="1165"/>
      <c r="G222" s="1165"/>
      <c r="H222" s="1165"/>
      <c r="I222" s="1165"/>
      <c r="J222" s="1165"/>
      <c r="K222" s="1165"/>
      <c r="L222" s="1165"/>
      <c r="M222" s="53"/>
      <c r="N222" s="73"/>
      <c r="O222" s="1684" t="s">
        <v>1959</v>
      </c>
      <c r="P222" s="325"/>
    </row>
    <row r="223" spans="1:18" s="50" customFormat="1" ht="12" customHeight="1">
      <c r="A223" s="171" t="s">
        <v>2696</v>
      </c>
      <c r="B223" s="213" t="s">
        <v>3708</v>
      </c>
      <c r="D223" s="40"/>
      <c r="E223" s="40"/>
      <c r="F223" s="40"/>
      <c r="R223" s="490"/>
    </row>
    <row r="224" spans="1:18" s="50" customFormat="1" ht="12" customHeight="1">
      <c r="A224" s="171"/>
      <c r="B224" s="64" t="s">
        <v>3085</v>
      </c>
      <c r="D224" s="40"/>
      <c r="M224" s="132">
        <v>3</v>
      </c>
      <c r="N224" s="654" t="s">
        <v>2696</v>
      </c>
      <c r="O224" s="1682" t="s">
        <v>4063</v>
      </c>
      <c r="P224" s="324"/>
      <c r="R224" s="490"/>
    </row>
    <row r="225" spans="1:18" s="50" customFormat="1" ht="12" customHeight="1">
      <c r="A225" s="171"/>
      <c r="B225" s="64" t="s">
        <v>3766</v>
      </c>
      <c r="D225" s="40"/>
      <c r="N225" s="654"/>
      <c r="O225" s="1684" t="s">
        <v>1959</v>
      </c>
      <c r="P225" s="325"/>
      <c r="R225" s="490"/>
    </row>
    <row r="226" spans="1:18" s="50" customFormat="1" ht="10.5" customHeight="1">
      <c r="A226" s="49"/>
      <c r="B226" s="56" t="s">
        <v>281</v>
      </c>
      <c r="C226" s="49"/>
      <c r="D226" s="55"/>
      <c r="E226" s="55"/>
      <c r="F226" s="55"/>
      <c r="G226" s="55"/>
      <c r="H226" s="44"/>
      <c r="I226" s="44"/>
      <c r="J226" s="44"/>
      <c r="K226" s="44"/>
      <c r="M226" s="53"/>
      <c r="N226" s="73"/>
      <c r="O226" s="4"/>
      <c r="P226" s="817"/>
    </row>
    <row r="227" spans="1:18" s="50" customFormat="1" ht="12.75" customHeight="1">
      <c r="A227" s="1629"/>
      <c r="B227" s="1630"/>
      <c r="C227" s="1630"/>
      <c r="D227" s="1630"/>
      <c r="E227" s="1630"/>
      <c r="F227" s="1630"/>
      <c r="G227" s="1630"/>
      <c r="H227" s="1630"/>
      <c r="I227" s="1630"/>
      <c r="J227" s="1630"/>
      <c r="K227" s="1630"/>
      <c r="L227" s="1630"/>
      <c r="M227" s="1630"/>
      <c r="N227" s="1630"/>
      <c r="O227" s="1630"/>
      <c r="P227" s="1631"/>
      <c r="Q227" s="614" t="s">
        <v>1676</v>
      </c>
    </row>
    <row r="228" spans="1:18" s="123" customFormat="1" ht="10.5" customHeight="1">
      <c r="A228" s="49"/>
      <c r="B228" s="118" t="s">
        <v>2570</v>
      </c>
      <c r="C228" s="119"/>
      <c r="D228" s="118"/>
      <c r="E228" s="233"/>
      <c r="F228" s="816"/>
      <c r="G228" s="816"/>
      <c r="H228" s="816"/>
      <c r="I228" s="816"/>
      <c r="J228" s="816"/>
      <c r="K228" s="816"/>
      <c r="L228" s="816"/>
      <c r="M228" s="816"/>
      <c r="N228" s="113"/>
      <c r="O228" s="232"/>
      <c r="P228" s="2"/>
      <c r="Q228" s="570"/>
    </row>
    <row r="229" spans="1:18" s="50" customFormat="1" ht="12" customHeight="1">
      <c r="A229" s="1057"/>
      <c r="B229" s="1058"/>
      <c r="C229" s="1058"/>
      <c r="D229" s="1058"/>
      <c r="E229" s="1058"/>
      <c r="F229" s="1058"/>
      <c r="G229" s="1058"/>
      <c r="H229" s="1058"/>
      <c r="I229" s="1058"/>
      <c r="J229" s="1058"/>
      <c r="K229" s="1058"/>
      <c r="L229" s="1058"/>
      <c r="M229" s="1058"/>
      <c r="N229" s="1058"/>
      <c r="O229" s="1058"/>
      <c r="P229" s="1059"/>
      <c r="Q229" s="614" t="s">
        <v>1676</v>
      </c>
    </row>
    <row r="230" spans="1:18" s="50" customFormat="1" ht="2.25" customHeight="1">
      <c r="A230" s="49"/>
      <c r="B230" s="49"/>
      <c r="C230" s="818"/>
      <c r="D230" s="818"/>
      <c r="E230" s="818"/>
      <c r="F230" s="818"/>
      <c r="G230" s="818"/>
      <c r="H230" s="818"/>
      <c r="I230" s="818"/>
      <c r="J230" s="818"/>
      <c r="K230" s="818"/>
      <c r="L230" s="818"/>
      <c r="M230" s="818"/>
      <c r="N230" s="90"/>
      <c r="O230" s="85"/>
      <c r="P230" s="674"/>
    </row>
    <row r="231" spans="1:18" s="50" customFormat="1" ht="15">
      <c r="A231" s="189" t="s">
        <v>2356</v>
      </c>
      <c r="B231" s="134" t="s">
        <v>3659</v>
      </c>
      <c r="C231" s="105"/>
      <c r="D231" s="69"/>
      <c r="E231" s="61"/>
      <c r="J231" s="72"/>
      <c r="M231" s="2">
        <v>6</v>
      </c>
      <c r="N231" s="7"/>
      <c r="O231" s="92">
        <f>MIN($M231,O232+O234)</f>
        <v>3</v>
      </c>
      <c r="P231" s="92">
        <f>MIN($M231,P232+P234)</f>
        <v>0</v>
      </c>
      <c r="Q231" s="130" t="s">
        <v>566</v>
      </c>
    </row>
    <row r="232" spans="1:18" s="50" customFormat="1" ht="12" customHeight="1">
      <c r="A232" s="171" t="s">
        <v>2693</v>
      </c>
      <c r="B232" s="213" t="s">
        <v>3660</v>
      </c>
      <c r="D232" s="40"/>
      <c r="E232" s="40"/>
      <c r="F232" s="40"/>
      <c r="L232" s="685" t="str">
        <f>IF(OR($O232=$M232,$O232=0,$O232=""),"","* * Check Score! * *")</f>
        <v/>
      </c>
      <c r="M232" s="7">
        <v>3</v>
      </c>
      <c r="N232" s="654" t="s">
        <v>2693</v>
      </c>
      <c r="O232" s="1784">
        <v>3</v>
      </c>
      <c r="P232" s="621"/>
      <c r="Q232" s="507" t="s">
        <v>3629</v>
      </c>
      <c r="R232" s="130"/>
    </row>
    <row r="233" spans="1:18" s="50" customFormat="1" ht="33" customHeight="1">
      <c r="A233" s="171"/>
      <c r="B233" s="1129" t="s">
        <v>3710</v>
      </c>
      <c r="C233" s="1129"/>
      <c r="D233" s="1129"/>
      <c r="E233" s="1129"/>
      <c r="F233" s="1129"/>
      <c r="G233" s="1129"/>
      <c r="H233" s="1129"/>
      <c r="I233" s="1129"/>
      <c r="J233" s="1129"/>
      <c r="K233" s="1129"/>
      <c r="L233" s="1129"/>
      <c r="M233" s="490"/>
      <c r="N233" s="490"/>
      <c r="O233" s="1785" t="s">
        <v>4109</v>
      </c>
      <c r="P233" s="622"/>
      <c r="Q233" s="130"/>
      <c r="R233" s="490"/>
    </row>
    <row r="234" spans="1:18" s="50" customFormat="1" ht="12" customHeight="1">
      <c r="A234" s="171" t="s">
        <v>2696</v>
      </c>
      <c r="B234" s="213" t="s">
        <v>3661</v>
      </c>
      <c r="D234" s="822"/>
      <c r="F234" s="38"/>
      <c r="G234" s="123"/>
      <c r="H234" s="72"/>
      <c r="K234" s="123"/>
      <c r="L234" s="685" t="str">
        <f>IF(OR($O234=$M234,$O234=0,$O234=""),"","* * Check Score! * *")</f>
        <v/>
      </c>
      <c r="M234" s="7">
        <v>3</v>
      </c>
      <c r="N234" s="654" t="s">
        <v>2696</v>
      </c>
      <c r="O234" s="1755">
        <v>0</v>
      </c>
      <c r="P234" s="671"/>
      <c r="Q234" s="507" t="s">
        <v>3629</v>
      </c>
      <c r="R234" s="490"/>
    </row>
    <row r="235" spans="1:18" s="50" customFormat="1" ht="12" customHeight="1">
      <c r="A235" s="49"/>
      <c r="B235" s="56" t="s">
        <v>281</v>
      </c>
      <c r="C235" s="49"/>
      <c r="D235" s="55"/>
      <c r="E235" s="55"/>
      <c r="F235" s="55"/>
      <c r="G235" s="55"/>
      <c r="H235" s="44"/>
      <c r="I235" s="44"/>
      <c r="J235" s="44"/>
      <c r="K235" s="44"/>
      <c r="M235" s="53"/>
      <c r="N235" s="73"/>
      <c r="O235" s="4"/>
      <c r="P235" s="817"/>
    </row>
    <row r="236" spans="1:18" s="50" customFormat="1" ht="12" customHeight="1">
      <c r="A236" s="1629"/>
      <c r="B236" s="1630"/>
      <c r="C236" s="1630"/>
      <c r="D236" s="1630"/>
      <c r="E236" s="1630"/>
      <c r="F236" s="1630"/>
      <c r="G236" s="1630"/>
      <c r="H236" s="1630"/>
      <c r="I236" s="1630"/>
      <c r="J236" s="1630"/>
      <c r="K236" s="1630"/>
      <c r="L236" s="1630"/>
      <c r="M236" s="1630"/>
      <c r="N236" s="1630"/>
      <c r="O236" s="1630"/>
      <c r="P236" s="1631"/>
      <c r="Q236" s="614" t="s">
        <v>1676</v>
      </c>
    </row>
    <row r="237" spans="1:18" s="50" customFormat="1" ht="12" customHeight="1">
      <c r="B237" s="103" t="s">
        <v>2570</v>
      </c>
      <c r="C237" s="119"/>
      <c r="D237" s="103"/>
      <c r="E237" s="120"/>
      <c r="F237" s="818"/>
      <c r="G237" s="818"/>
      <c r="H237" s="818"/>
      <c r="I237" s="818"/>
      <c r="J237" s="818"/>
      <c r="K237" s="818"/>
      <c r="L237" s="818"/>
      <c r="M237" s="818"/>
      <c r="N237" s="90"/>
      <c r="O237" s="85"/>
      <c r="P237" s="2"/>
      <c r="Q237" s="570"/>
    </row>
    <row r="238" spans="1:18" s="50" customFormat="1" ht="12" customHeight="1">
      <c r="A238" s="1057"/>
      <c r="B238" s="1058"/>
      <c r="C238" s="1058"/>
      <c r="D238" s="1058"/>
      <c r="E238" s="1058"/>
      <c r="F238" s="1058"/>
      <c r="G238" s="1058"/>
      <c r="H238" s="1058"/>
      <c r="I238" s="1058"/>
      <c r="J238" s="1058"/>
      <c r="K238" s="1058"/>
      <c r="L238" s="1058"/>
      <c r="M238" s="1058"/>
      <c r="N238" s="1058"/>
      <c r="O238" s="1058"/>
      <c r="P238" s="1059"/>
      <c r="Q238" s="614" t="s">
        <v>1676</v>
      </c>
    </row>
    <row r="239" spans="1:18" s="50" customFormat="1" ht="3" customHeight="1">
      <c r="A239" s="49"/>
      <c r="B239" s="49"/>
      <c r="C239" s="818"/>
      <c r="D239" s="818"/>
      <c r="E239" s="818"/>
      <c r="F239" s="818"/>
      <c r="G239" s="818"/>
      <c r="H239" s="818"/>
      <c r="I239" s="818"/>
      <c r="J239" s="818"/>
      <c r="K239" s="818"/>
      <c r="L239" s="818"/>
      <c r="M239" s="818"/>
      <c r="N239" s="90"/>
      <c r="O239" s="85"/>
      <c r="P239" s="674"/>
    </row>
    <row r="240" spans="1:18" s="50" customFormat="1" ht="12" customHeight="1">
      <c r="A240" s="190" t="s">
        <v>2358</v>
      </c>
      <c r="B240" s="126" t="s">
        <v>3662</v>
      </c>
      <c r="D240" s="822"/>
      <c r="F240" s="38"/>
      <c r="G240" s="123"/>
      <c r="H240" s="72" t="s">
        <v>434</v>
      </c>
      <c r="K240" s="123"/>
      <c r="L240" s="44"/>
      <c r="M240" s="2">
        <v>3</v>
      </c>
      <c r="N240" s="654"/>
      <c r="O240" s="591">
        <f>MIN($M240,O241+O242)</f>
        <v>0</v>
      </c>
      <c r="P240" s="591">
        <f>MIN($M240,P241+P242)</f>
        <v>0</v>
      </c>
      <c r="Q240" s="130" t="s">
        <v>566</v>
      </c>
      <c r="R240" s="490" t="str">
        <f>IF(OR($O241=$M240,$O241=0,$O241=""),"","* * Check Score! * *")</f>
        <v/>
      </c>
    </row>
    <row r="241" spans="1:17" s="544" customFormat="1" ht="33" customHeight="1">
      <c r="A241" s="543"/>
      <c r="B241" s="603" t="s">
        <v>2693</v>
      </c>
      <c r="C241" s="1051" t="s">
        <v>3711</v>
      </c>
      <c r="D241" s="1051"/>
      <c r="E241" s="1051"/>
      <c r="F241" s="1051"/>
      <c r="G241" s="1051"/>
      <c r="H241" s="1051"/>
      <c r="I241" s="1051"/>
      <c r="J241" s="1051"/>
      <c r="K241" s="1051"/>
      <c r="L241" s="1051"/>
      <c r="M241" s="545">
        <v>3</v>
      </c>
      <c r="N241" s="199" t="s">
        <v>2693</v>
      </c>
      <c r="O241" s="1784">
        <v>0</v>
      </c>
      <c r="P241" s="621"/>
      <c r="Q241" s="221" t="s">
        <v>3629</v>
      </c>
    </row>
    <row r="242" spans="1:17" s="544" customFormat="1" ht="22.5" customHeight="1">
      <c r="A242" s="592" t="s">
        <v>1787</v>
      </c>
      <c r="B242" s="603" t="s">
        <v>2696</v>
      </c>
      <c r="C242" s="1051" t="s">
        <v>3758</v>
      </c>
      <c r="D242" s="1051"/>
      <c r="E242" s="1051"/>
      <c r="F242" s="1051"/>
      <c r="G242" s="1051"/>
      <c r="H242" s="1051"/>
      <c r="I242" s="1051"/>
      <c r="J242" s="1051"/>
      <c r="K242" s="1051"/>
      <c r="L242" s="1051"/>
      <c r="M242" s="545">
        <v>1</v>
      </c>
      <c r="N242" s="199" t="s">
        <v>2696</v>
      </c>
      <c r="O242" s="1785">
        <v>0</v>
      </c>
      <c r="P242" s="622"/>
      <c r="Q242" s="221" t="s">
        <v>3629</v>
      </c>
    </row>
    <row r="243" spans="1:17" s="50" customFormat="1" ht="12" customHeight="1">
      <c r="A243" s="49"/>
      <c r="B243" s="56" t="s">
        <v>281</v>
      </c>
      <c r="C243" s="49"/>
      <c r="D243" s="55"/>
      <c r="E243" s="55"/>
      <c r="F243" s="55"/>
      <c r="G243" s="55"/>
      <c r="H243" s="44"/>
      <c r="I243" s="44"/>
      <c r="J243" s="44"/>
      <c r="K243" s="44"/>
      <c r="M243" s="53"/>
      <c r="N243" s="73"/>
      <c r="O243" s="4"/>
      <c r="P243" s="817"/>
    </row>
    <row r="244" spans="1:17" s="50" customFormat="1" ht="12" customHeight="1">
      <c r="A244" s="1629"/>
      <c r="B244" s="1630"/>
      <c r="C244" s="1630"/>
      <c r="D244" s="1630"/>
      <c r="E244" s="1630"/>
      <c r="F244" s="1630"/>
      <c r="G244" s="1630"/>
      <c r="H244" s="1630"/>
      <c r="I244" s="1630"/>
      <c r="J244" s="1630"/>
      <c r="K244" s="1630"/>
      <c r="L244" s="1630"/>
      <c r="M244" s="1630"/>
      <c r="N244" s="1630"/>
      <c r="O244" s="1630"/>
      <c r="P244" s="1631"/>
      <c r="Q244" s="614" t="s">
        <v>1676</v>
      </c>
    </row>
    <row r="245" spans="1:17" s="50" customFormat="1" ht="12" customHeight="1">
      <c r="B245" s="103" t="s">
        <v>2570</v>
      </c>
      <c r="C245" s="119"/>
      <c r="D245" s="103"/>
      <c r="E245" s="120"/>
      <c r="F245" s="818"/>
      <c r="G245" s="818"/>
      <c r="H245" s="818"/>
      <c r="I245" s="818"/>
      <c r="J245" s="818"/>
      <c r="K245" s="818"/>
      <c r="L245" s="818"/>
      <c r="M245" s="818"/>
      <c r="N245" s="90"/>
      <c r="O245" s="85"/>
      <c r="P245" s="2"/>
      <c r="Q245" s="570"/>
    </row>
    <row r="246" spans="1:17" s="50" customFormat="1" ht="12" customHeight="1">
      <c r="A246" s="1057"/>
      <c r="B246" s="1058"/>
      <c r="C246" s="1058"/>
      <c r="D246" s="1058"/>
      <c r="E246" s="1058"/>
      <c r="F246" s="1058"/>
      <c r="G246" s="1058"/>
      <c r="H246" s="1058"/>
      <c r="I246" s="1058"/>
      <c r="J246" s="1058"/>
      <c r="K246" s="1058"/>
      <c r="L246" s="1058"/>
      <c r="M246" s="1058"/>
      <c r="N246" s="1058"/>
      <c r="O246" s="1058"/>
      <c r="P246" s="1059"/>
      <c r="Q246" s="614" t="s">
        <v>1676</v>
      </c>
    </row>
    <row r="247" spans="1:17" s="50" customFormat="1" ht="3" customHeight="1">
      <c r="A247" s="49"/>
      <c r="B247" s="49"/>
      <c r="C247" s="818"/>
      <c r="D247" s="818"/>
      <c r="E247" s="818"/>
      <c r="F247" s="818"/>
      <c r="G247" s="818"/>
      <c r="H247" s="818"/>
      <c r="I247" s="818"/>
      <c r="J247" s="818"/>
      <c r="K247" s="818"/>
      <c r="L247" s="818"/>
      <c r="M247" s="818"/>
      <c r="N247" s="90"/>
      <c r="O247" s="85"/>
      <c r="P247" s="674"/>
    </row>
    <row r="248" spans="1:17" s="50" customFormat="1" ht="12" customHeight="1">
      <c r="A248" s="189" t="s">
        <v>2359</v>
      </c>
      <c r="B248" s="127" t="s">
        <v>3445</v>
      </c>
      <c r="C248" s="63"/>
      <c r="D248" s="141"/>
      <c r="E248" s="141"/>
      <c r="F248" s="48"/>
      <c r="H248" s="47"/>
      <c r="K248" s="55"/>
      <c r="M248" s="2">
        <v>20</v>
      </c>
      <c r="N248" s="7"/>
      <c r="O248" s="92">
        <f>MIN($M248,(O249+O259))</f>
        <v>12</v>
      </c>
      <c r="P248" s="92">
        <f>MIN($M248,(P249+P259))</f>
        <v>0</v>
      </c>
      <c r="Q248" s="130" t="s">
        <v>566</v>
      </c>
    </row>
    <row r="249" spans="1:17" s="50" customFormat="1" ht="13.5" customHeight="1">
      <c r="A249" s="171" t="s">
        <v>2693</v>
      </c>
      <c r="B249" s="213" t="s">
        <v>3446</v>
      </c>
      <c r="D249" s="1166" t="s">
        <v>3738</v>
      </c>
      <c r="E249" s="1166"/>
      <c r="F249" s="1166"/>
      <c r="G249" s="1166"/>
      <c r="H249" s="1166"/>
      <c r="I249" s="1166"/>
      <c r="J249" s="1166"/>
      <c r="K249" s="1166"/>
      <c r="L249" s="1166"/>
      <c r="M249" s="88">
        <v>6</v>
      </c>
      <c r="N249" s="78" t="s">
        <v>2693</v>
      </c>
      <c r="O249" s="114">
        <f>IF(O250=$M250,$M250, IF(O252=$M252,$M252, IF(O254=$M254,$M254,0)))</f>
        <v>4</v>
      </c>
      <c r="P249" s="114">
        <f>IF(P250=$M250,$M250, IF(P252=$M252,$M252, IF(P254=$M254,$M254,0)))</f>
        <v>0</v>
      </c>
      <c r="Q249" s="130"/>
    </row>
    <row r="250" spans="1:17" s="544" customFormat="1" ht="12" customHeight="1">
      <c r="A250" s="543" t="str">
        <f>IF($I$86="HOPE VI Initiative", "X","")</f>
        <v/>
      </c>
      <c r="B250" s="603" t="s">
        <v>2697</v>
      </c>
      <c r="C250" s="161" t="s">
        <v>3447</v>
      </c>
      <c r="D250" s="510"/>
      <c r="E250" s="510"/>
      <c r="M250" s="595">
        <v>6</v>
      </c>
      <c r="N250" s="225" t="s">
        <v>2697</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3587</v>
      </c>
      <c r="D251" s="510"/>
      <c r="E251" s="510"/>
      <c r="F251" s="510"/>
      <c r="G251" s="510"/>
      <c r="H251" s="510"/>
      <c r="I251" s="510"/>
      <c r="J251" s="819"/>
      <c r="K251" s="819"/>
      <c r="L251" s="819"/>
      <c r="M251" s="595"/>
      <c r="O251" s="1728" t="s">
        <v>4063</v>
      </c>
      <c r="P251" s="84"/>
    </row>
    <row r="252" spans="1:17" s="544" customFormat="1" ht="12" customHeight="1">
      <c r="A252" s="594" t="s">
        <v>1787</v>
      </c>
      <c r="B252" s="603" t="s">
        <v>2699</v>
      </c>
      <c r="C252" s="161" t="s">
        <v>2353</v>
      </c>
      <c r="D252" s="510"/>
      <c r="E252" s="510"/>
      <c r="M252" s="595">
        <v>4</v>
      </c>
      <c r="N252" s="225" t="s">
        <v>2699</v>
      </c>
      <c r="O252" s="114">
        <f>IF(AND('Part I-Project Information'!$M81="Yes",'Part I-Project Information'!$H119="Yes",'Part VIII-Threshold Criteria'!S337="Yes",O253="Yes"),$M252,0)</f>
        <v>4</v>
      </c>
      <c r="P252" s="114">
        <f>IF(AND('Part I-Project Information'!$M81="Yes",'Part I-Project Information'!$H119="Yes",'Part VIII-Threshold Criteria'!S337="Yes",P253="Yes"),$M252,0)</f>
        <v>0</v>
      </c>
    </row>
    <row r="253" spans="1:17" s="544" customFormat="1" ht="33" customHeight="1">
      <c r="A253" s="594"/>
      <c r="B253" s="603"/>
      <c r="C253" s="1051" t="s">
        <v>3712</v>
      </c>
      <c r="D253" s="1051"/>
      <c r="E253" s="1051"/>
      <c r="F253" s="1051"/>
      <c r="G253" s="1051"/>
      <c r="H253" s="1051"/>
      <c r="I253" s="1051"/>
      <c r="J253" s="1051"/>
      <c r="K253" s="1051"/>
      <c r="L253" s="1051"/>
      <c r="M253" s="595"/>
      <c r="N253" s="545"/>
      <c r="O253" s="1786" t="s">
        <v>4068</v>
      </c>
      <c r="P253" s="593"/>
    </row>
    <row r="254" spans="1:17" s="544" customFormat="1" ht="12" customHeight="1">
      <c r="A254" s="594" t="s">
        <v>1787</v>
      </c>
      <c r="B254" s="603" t="s">
        <v>3322</v>
      </c>
      <c r="C254" s="161" t="s">
        <v>2352</v>
      </c>
      <c r="D254" s="510"/>
      <c r="E254" s="510"/>
      <c r="F254" s="686"/>
      <c r="G254" s="686"/>
      <c r="H254" s="686"/>
      <c r="I254" s="686"/>
      <c r="J254" s="686"/>
      <c r="K254" s="686"/>
      <c r="L254" s="686"/>
      <c r="M254" s="595">
        <v>3</v>
      </c>
      <c r="N254" s="225" t="s">
        <v>3322</v>
      </c>
      <c r="O254" s="114">
        <f>IF(AND('Part I-Project Information'!$M81="Yes",'Part I-Project Information'!$H119="Yes",'Part VIII-Threshold Criteria'!S337="Yes",OR(O255="Yes",O256="Yes",O257="Yes",O258="Yes")),$M254,0)</f>
        <v>0</v>
      </c>
      <c r="P254" s="114">
        <f>IF(AND('Part I-Project Information'!$M81="Yes",'Part I-Project Information'!$H119="Yes",'Part VIII-Threshold Criteria'!S337="Yes",OR(P255="Yes",P256="Yes",P257="Yes",P258="Yes")),$M254,0)</f>
        <v>0</v>
      </c>
    </row>
    <row r="255" spans="1:17" s="544" customFormat="1" ht="21.75" customHeight="1">
      <c r="A255" s="543"/>
      <c r="B255" s="506" t="s">
        <v>3201</v>
      </c>
      <c r="C255" s="1065" t="s">
        <v>3588</v>
      </c>
      <c r="D255" s="1065"/>
      <c r="E255" s="1065"/>
      <c r="F255" s="1065"/>
      <c r="G255" s="1065"/>
      <c r="H255" s="1065"/>
      <c r="I255" s="1065"/>
      <c r="J255" s="1065"/>
      <c r="K255" s="1065"/>
      <c r="L255" s="1065"/>
      <c r="M255" s="545"/>
      <c r="N255" s="506" t="s">
        <v>3201</v>
      </c>
      <c r="O255" s="1787" t="s">
        <v>4063</v>
      </c>
      <c r="P255" s="618"/>
    </row>
    <row r="256" spans="1:17" s="544" customFormat="1" ht="21.75" customHeight="1">
      <c r="A256" s="543"/>
      <c r="B256" s="506" t="s">
        <v>3202</v>
      </c>
      <c r="C256" s="1051" t="s">
        <v>3713</v>
      </c>
      <c r="D256" s="1051"/>
      <c r="E256" s="1051"/>
      <c r="F256" s="1051"/>
      <c r="G256" s="1051"/>
      <c r="H256" s="1051"/>
      <c r="I256" s="1051"/>
      <c r="J256" s="1051"/>
      <c r="K256" s="1051"/>
      <c r="L256" s="1051"/>
      <c r="M256" s="545"/>
      <c r="N256" s="506" t="s">
        <v>3202</v>
      </c>
      <c r="O256" s="1788" t="s">
        <v>4063</v>
      </c>
      <c r="P256" s="619"/>
    </row>
    <row r="257" spans="1:18" s="544" customFormat="1" ht="21.75" customHeight="1">
      <c r="A257" s="543"/>
      <c r="B257" s="506" t="s">
        <v>3203</v>
      </c>
      <c r="C257" s="1051" t="s">
        <v>3462</v>
      </c>
      <c r="D257" s="1051"/>
      <c r="E257" s="1051"/>
      <c r="F257" s="1051"/>
      <c r="G257" s="1051"/>
      <c r="H257" s="1051"/>
      <c r="I257" s="1051"/>
      <c r="J257" s="1051"/>
      <c r="K257" s="1051"/>
      <c r="L257" s="1051"/>
      <c r="M257" s="545"/>
      <c r="N257" s="506" t="s">
        <v>3203</v>
      </c>
      <c r="O257" s="1788" t="s">
        <v>4063</v>
      </c>
      <c r="P257" s="619"/>
    </row>
    <row r="258" spans="1:18" s="544" customFormat="1" ht="21.75" customHeight="1">
      <c r="A258" s="543"/>
      <c r="B258" s="680" t="s">
        <v>3204</v>
      </c>
      <c r="C258" s="1051" t="s">
        <v>3448</v>
      </c>
      <c r="D258" s="1051"/>
      <c r="E258" s="1051"/>
      <c r="F258" s="1051"/>
      <c r="G258" s="1051"/>
      <c r="H258" s="1051"/>
      <c r="I258" s="1051"/>
      <c r="J258" s="1051"/>
      <c r="K258" s="1051"/>
      <c r="L258" s="1051"/>
      <c r="M258" s="545"/>
      <c r="N258" s="680" t="s">
        <v>3204</v>
      </c>
      <c r="O258" s="1789" t="s">
        <v>4063</v>
      </c>
      <c r="P258" s="620"/>
    </row>
    <row r="259" spans="1:18" ht="13.5" customHeight="1">
      <c r="A259" s="171" t="s">
        <v>2696</v>
      </c>
      <c r="B259" s="213" t="s">
        <v>3449</v>
      </c>
      <c r="D259" s="692"/>
      <c r="E259" s="50"/>
      <c r="F259" s="40"/>
      <c r="G259" s="140"/>
      <c r="H259" s="40"/>
      <c r="I259" s="40"/>
      <c r="J259" s="40"/>
      <c r="K259" s="40"/>
      <c r="L259" s="40"/>
      <c r="M259" s="674">
        <v>14</v>
      </c>
      <c r="N259" s="654" t="s">
        <v>2696</v>
      </c>
      <c r="O259" s="114">
        <f>MIN($M259,O260+O263+O264+O267+O270+O271)</f>
        <v>8</v>
      </c>
      <c r="P259" s="114">
        <f>MIN($M259,P260+P263+P264+P267+P270+P271)</f>
        <v>0</v>
      </c>
      <c r="R259" s="544"/>
    </row>
    <row r="260" spans="1:18" s="121" customFormat="1" ht="12.75" customHeight="1">
      <c r="B260" s="483" t="s">
        <v>2697</v>
      </c>
      <c r="C260" s="604" t="s">
        <v>3714</v>
      </c>
      <c r="L260" s="490"/>
      <c r="M260" s="8">
        <v>4</v>
      </c>
      <c r="N260" s="225" t="s">
        <v>2697</v>
      </c>
      <c r="O260" s="114">
        <f>IF(AND('Part I-Project Information'!$M81="Yes",'Part I-Project Information'!$H119="Yes",'Part VIII-Threshold Criteria'!S337="Yes"),MIN(O261+O262,$M260),0)</f>
        <v>0</v>
      </c>
      <c r="P260" s="114">
        <f>IF(AND('Part I-Project Information'!$M81="Yes",'Part I-Project Information'!$H119="Yes",'Part VIII-Threshold Criteria'!S337="Yes"),MIN(P261+P262,$M260),0)</f>
        <v>0</v>
      </c>
    </row>
    <row r="261" spans="1:18" s="544" customFormat="1" ht="34.5" customHeight="1">
      <c r="A261" s="543"/>
      <c r="B261" s="506" t="s">
        <v>3201</v>
      </c>
      <c r="C261" s="1051" t="s">
        <v>3451</v>
      </c>
      <c r="D261" s="1051"/>
      <c r="E261" s="1051"/>
      <c r="F261" s="1051"/>
      <c r="G261" s="1051"/>
      <c r="H261" s="1051"/>
      <c r="I261" s="1051"/>
      <c r="J261" s="1051"/>
      <c r="K261" s="1051"/>
      <c r="L261" s="1051"/>
      <c r="M261" s="545">
        <v>4</v>
      </c>
      <c r="N261" s="506" t="s">
        <v>3201</v>
      </c>
      <c r="O261" s="1787">
        <v>0</v>
      </c>
      <c r="P261" s="618"/>
      <c r="Q261" s="221" t="s">
        <v>3629</v>
      </c>
    </row>
    <row r="262" spans="1:18" s="544" customFormat="1" ht="34.5" customHeight="1">
      <c r="A262" s="199" t="s">
        <v>3463</v>
      </c>
      <c r="B262" s="506" t="s">
        <v>3202</v>
      </c>
      <c r="C262" s="1051" t="s">
        <v>3715</v>
      </c>
      <c r="D262" s="1051"/>
      <c r="E262" s="1051"/>
      <c r="F262" s="1051"/>
      <c r="G262" s="1051"/>
      <c r="H262" s="1051"/>
      <c r="I262" s="1051"/>
      <c r="J262" s="1051"/>
      <c r="K262" s="1051"/>
      <c r="L262" s="1051"/>
      <c r="M262" s="545">
        <v>2</v>
      </c>
      <c r="N262" s="506" t="s">
        <v>3202</v>
      </c>
      <c r="O262" s="1789">
        <v>0</v>
      </c>
      <c r="P262" s="620"/>
      <c r="Q262" s="221" t="s">
        <v>3629</v>
      </c>
    </row>
    <row r="263" spans="1:18" s="121" customFormat="1" ht="12" customHeight="1">
      <c r="B263" s="483" t="s">
        <v>2699</v>
      </c>
      <c r="C263" s="604" t="s">
        <v>3450</v>
      </c>
      <c r="L263" s="490" t="str">
        <f>IF(OR($O263=$M263,$O263=0,$O263=""),"","* * Check Score! * *")</f>
        <v/>
      </c>
      <c r="M263" s="8">
        <v>1</v>
      </c>
      <c r="N263" s="225" t="s">
        <v>2699</v>
      </c>
      <c r="O263" s="1755">
        <v>1</v>
      </c>
      <c r="P263" s="671"/>
      <c r="Q263" s="221" t="s">
        <v>3629</v>
      </c>
    </row>
    <row r="264" spans="1:18" s="121" customFormat="1" ht="12" customHeight="1">
      <c r="B264" s="483" t="s">
        <v>3322</v>
      </c>
      <c r="C264" s="604" t="s">
        <v>3452</v>
      </c>
      <c r="L264" s="490" t="str">
        <f>IF(OR($O264&lt;=$M264,$O264=0,$O264=""),"","* * Check Score! * *")</f>
        <v/>
      </c>
      <c r="M264" s="8">
        <v>2</v>
      </c>
      <c r="N264" s="225" t="s">
        <v>3322</v>
      </c>
      <c r="O264" s="114">
        <f>IF(AND('Part I-Project Information'!$M81="Yes",'Part I-Project Information'!$H119="Yes",'Part VIII-Threshold Criteria'!S337="Yes"),MIN(O265+O266,$M264),0)</f>
        <v>2</v>
      </c>
      <c r="P264" s="114">
        <f>IF(AND('Part I-Project Information'!$M81="Yes",'Part I-Project Information'!$H119="Yes",'Part VIII-Threshold Criteria'!S337="Yes"),MIN(P265+P266,$M264),0)</f>
        <v>0</v>
      </c>
    </row>
    <row r="265" spans="1:18" s="544" customFormat="1" ht="12" customHeight="1">
      <c r="A265" s="543"/>
      <c r="B265" s="506" t="s">
        <v>3201</v>
      </c>
      <c r="C265" s="1051" t="s">
        <v>3454</v>
      </c>
      <c r="D265" s="1051"/>
      <c r="E265" s="1051"/>
      <c r="F265" s="1051"/>
      <c r="G265" s="1051"/>
      <c r="H265" s="1051"/>
      <c r="I265" s="1051"/>
      <c r="J265" s="1051"/>
      <c r="K265" s="1051"/>
      <c r="L265" s="1051"/>
      <c r="M265" s="545">
        <v>2</v>
      </c>
      <c r="N265" s="506" t="s">
        <v>3201</v>
      </c>
      <c r="O265" s="1784">
        <v>2</v>
      </c>
      <c r="P265" s="621"/>
      <c r="Q265" s="221" t="s">
        <v>3629</v>
      </c>
    </row>
    <row r="266" spans="1:18" s="544" customFormat="1" ht="12" customHeight="1">
      <c r="A266" s="199" t="s">
        <v>3463</v>
      </c>
      <c r="B266" s="506" t="s">
        <v>3202</v>
      </c>
      <c r="C266" s="1051" t="s">
        <v>3453</v>
      </c>
      <c r="D266" s="1051"/>
      <c r="E266" s="1051"/>
      <c r="F266" s="1051"/>
      <c r="G266" s="1051"/>
      <c r="H266" s="1051"/>
      <c r="I266" s="1051"/>
      <c r="J266" s="1051"/>
      <c r="K266" s="1051"/>
      <c r="L266" s="1051"/>
      <c r="M266" s="545">
        <v>1</v>
      </c>
      <c r="N266" s="506" t="s">
        <v>3202</v>
      </c>
      <c r="O266" s="1785">
        <v>1</v>
      </c>
      <c r="P266" s="622"/>
      <c r="Q266" s="221" t="s">
        <v>3629</v>
      </c>
    </row>
    <row r="267" spans="1:18" s="121" customFormat="1" ht="12" customHeight="1">
      <c r="B267" s="483" t="s">
        <v>1644</v>
      </c>
      <c r="C267" s="604" t="s">
        <v>3455</v>
      </c>
      <c r="F267" s="578"/>
      <c r="L267" s="490"/>
      <c r="M267" s="8">
        <v>3</v>
      </c>
      <c r="N267" s="225" t="s">
        <v>1644</v>
      </c>
      <c r="O267" s="114">
        <f>IF(AND('Part I-Project Information'!$M81="Yes",'Part I-Project Information'!$H119="Yes",'Part VIII-Threshold Criteria'!S337="Yes"),MIN(O268+O269,$M267),0)</f>
        <v>3</v>
      </c>
      <c r="P267" s="114">
        <f>IF(AND('Part I-Project Information'!$M81="Yes",'Part I-Project Information'!$H119="Yes",'Part VIII-Threshold Criteria'!S337="Yes"),MIN(P268+P269,$M267),0)</f>
        <v>0</v>
      </c>
    </row>
    <row r="268" spans="1:18" s="544" customFormat="1" ht="12" customHeight="1">
      <c r="A268" s="543"/>
      <c r="B268" s="506" t="s">
        <v>3201</v>
      </c>
      <c r="C268" s="1051" t="s">
        <v>3716</v>
      </c>
      <c r="D268" s="1051"/>
      <c r="E268" s="1051"/>
      <c r="F268" s="1051"/>
      <c r="G268" s="1051"/>
      <c r="H268" s="1051"/>
      <c r="I268" s="1051"/>
      <c r="J268" s="1051"/>
      <c r="K268" s="1051"/>
      <c r="L268" s="1051"/>
      <c r="M268" s="545">
        <v>3</v>
      </c>
      <c r="N268" s="506" t="s">
        <v>3201</v>
      </c>
      <c r="O268" s="1784">
        <v>3</v>
      </c>
      <c r="P268" s="621"/>
      <c r="Q268" s="221" t="s">
        <v>3629</v>
      </c>
    </row>
    <row r="269" spans="1:18" s="544" customFormat="1" ht="12" customHeight="1">
      <c r="A269" s="199" t="s">
        <v>3463</v>
      </c>
      <c r="B269" s="506" t="s">
        <v>3202</v>
      </c>
      <c r="C269" s="1051" t="s">
        <v>3717</v>
      </c>
      <c r="D269" s="1051"/>
      <c r="E269" s="1051"/>
      <c r="F269" s="1051"/>
      <c r="G269" s="1051"/>
      <c r="H269" s="1051"/>
      <c r="I269" s="1051"/>
      <c r="J269" s="1051"/>
      <c r="K269" s="1051"/>
      <c r="L269" s="1051"/>
      <c r="M269" s="545">
        <v>2</v>
      </c>
      <c r="N269" s="506" t="s">
        <v>3202</v>
      </c>
      <c r="O269" s="1785">
        <v>2</v>
      </c>
      <c r="P269" s="622"/>
      <c r="Q269" s="221" t="s">
        <v>3629</v>
      </c>
    </row>
    <row r="270" spans="1:18" s="121" customFormat="1" ht="12" customHeight="1">
      <c r="B270" s="483" t="s">
        <v>1645</v>
      </c>
      <c r="C270" s="604" t="s">
        <v>3456</v>
      </c>
      <c r="F270" s="578" t="s">
        <v>3457</v>
      </c>
      <c r="J270" s="1127">
        <f>'Part IV-Uses of Funds'!$B$43/'Part IV-Uses of Funds'!$G$129</f>
        <v>0.46804450866764669</v>
      </c>
      <c r="K270" s="1128"/>
      <c r="L270" s="490"/>
      <c r="M270" s="8">
        <v>2</v>
      </c>
      <c r="N270" s="225" t="s">
        <v>1645</v>
      </c>
      <c r="O270" s="1728">
        <v>2</v>
      </c>
      <c r="P270" s="84"/>
      <c r="Q270" s="221" t="s">
        <v>3629</v>
      </c>
    </row>
    <row r="271" spans="1:18" s="121" customFormat="1" ht="12" customHeight="1">
      <c r="B271" s="483" t="s">
        <v>2588</v>
      </c>
      <c r="C271" s="604" t="s">
        <v>3718</v>
      </c>
      <c r="F271" s="578"/>
      <c r="L271" s="490"/>
      <c r="M271" s="8">
        <v>3</v>
      </c>
      <c r="N271" s="225" t="s">
        <v>2588</v>
      </c>
      <c r="O271" s="1728">
        <v>0</v>
      </c>
      <c r="P271" s="84"/>
      <c r="Q271" s="221" t="s">
        <v>3629</v>
      </c>
    </row>
    <row r="272" spans="1:18" s="50" customFormat="1" ht="12" customHeight="1">
      <c r="A272" s="171"/>
      <c r="B272" s="506"/>
      <c r="C272" s="1161" t="s">
        <v>3719</v>
      </c>
      <c r="D272" s="1161"/>
      <c r="E272" s="1161"/>
      <c r="F272" s="1161"/>
      <c r="G272" s="1161"/>
      <c r="H272" s="1161"/>
      <c r="I272" s="1161"/>
      <c r="J272" s="1161"/>
      <c r="K272" s="1161"/>
      <c r="L272" s="1161"/>
      <c r="R272" s="490"/>
    </row>
    <row r="273" spans="1:18" s="50" customFormat="1" ht="12" customHeight="1">
      <c r="A273" s="171"/>
      <c r="B273" s="506"/>
      <c r="C273" s="1161"/>
      <c r="D273" s="1161"/>
      <c r="E273" s="1161"/>
      <c r="F273" s="1161"/>
      <c r="G273" s="1161"/>
      <c r="H273" s="1161"/>
      <c r="I273" s="1161"/>
      <c r="J273" s="1161"/>
      <c r="K273" s="1161"/>
      <c r="L273" s="1161"/>
      <c r="R273" s="490"/>
    </row>
    <row r="274" spans="1:18" s="50" customFormat="1" ht="12" customHeight="1">
      <c r="A274" s="49"/>
      <c r="B274" s="56" t="s">
        <v>281</v>
      </c>
      <c r="C274" s="49"/>
      <c r="D274" s="55"/>
      <c r="E274" s="55"/>
      <c r="F274" s="55"/>
      <c r="G274" s="55"/>
      <c r="H274" s="44"/>
      <c r="I274" s="44"/>
      <c r="J274" s="44"/>
      <c r="K274" s="44"/>
      <c r="M274" s="53"/>
      <c r="N274" s="73"/>
      <c r="O274" s="4"/>
      <c r="P274" s="817"/>
    </row>
    <row r="275" spans="1:18" s="50" customFormat="1" ht="12.75" customHeight="1">
      <c r="A275" s="1629"/>
      <c r="B275" s="1630"/>
      <c r="C275" s="1630"/>
      <c r="D275" s="1630"/>
      <c r="E275" s="1630"/>
      <c r="F275" s="1630"/>
      <c r="G275" s="1630"/>
      <c r="H275" s="1630"/>
      <c r="I275" s="1630"/>
      <c r="J275" s="1630"/>
      <c r="K275" s="1630"/>
      <c r="L275" s="1630"/>
      <c r="M275" s="1630"/>
      <c r="N275" s="1630"/>
      <c r="O275" s="1630"/>
      <c r="P275" s="1631"/>
      <c r="Q275" s="614" t="s">
        <v>1676</v>
      </c>
    </row>
    <row r="276" spans="1:18" s="50" customFormat="1" ht="11.25" customHeight="1">
      <c r="A276" s="49"/>
      <c r="B276" s="103" t="s">
        <v>2570</v>
      </c>
      <c r="C276" s="119"/>
      <c r="D276" s="103"/>
      <c r="E276" s="120"/>
      <c r="F276" s="818"/>
      <c r="G276" s="818"/>
      <c r="H276" s="818"/>
      <c r="I276" s="818"/>
      <c r="J276" s="818"/>
      <c r="K276" s="818"/>
      <c r="L276" s="818"/>
      <c r="M276" s="818"/>
      <c r="N276" s="90"/>
      <c r="O276" s="85"/>
      <c r="P276" s="2"/>
      <c r="Q276" s="570"/>
    </row>
    <row r="277" spans="1:18" s="50" customFormat="1" ht="12.75" customHeight="1">
      <c r="A277" s="1057"/>
      <c r="B277" s="1058"/>
      <c r="C277" s="1058"/>
      <c r="D277" s="1058"/>
      <c r="E277" s="1058"/>
      <c r="F277" s="1058"/>
      <c r="G277" s="1058"/>
      <c r="H277" s="1058"/>
      <c r="I277" s="1058"/>
      <c r="J277" s="1058"/>
      <c r="K277" s="1058"/>
      <c r="L277" s="1058"/>
      <c r="M277" s="1058"/>
      <c r="N277" s="1058"/>
      <c r="O277" s="1058"/>
      <c r="P277" s="1059"/>
      <c r="Q277" s="614" t="s">
        <v>1676</v>
      </c>
    </row>
    <row r="278" spans="1:18" s="50" customFormat="1" ht="3.75" customHeight="1">
      <c r="A278" s="49"/>
      <c r="C278" s="818"/>
      <c r="D278" s="818"/>
      <c r="E278" s="818"/>
      <c r="F278" s="818"/>
      <c r="G278" s="818"/>
      <c r="H278" s="818"/>
      <c r="I278" s="818"/>
      <c r="J278" s="818"/>
      <c r="K278" s="818"/>
      <c r="L278" s="818"/>
      <c r="M278" s="818"/>
      <c r="N278" s="90"/>
      <c r="O278" s="85"/>
      <c r="P278" s="674"/>
    </row>
    <row r="279" spans="1:18" s="123" customFormat="1" ht="11.25" customHeight="1">
      <c r="A279" s="190" t="s">
        <v>2361</v>
      </c>
      <c r="B279" s="126" t="s">
        <v>2362</v>
      </c>
      <c r="D279" s="52"/>
      <c r="E279" s="52"/>
      <c r="F279" s="47"/>
      <c r="G279" s="44"/>
      <c r="I279" s="44"/>
      <c r="J279" s="44"/>
      <c r="K279" s="44"/>
      <c r="L279" s="490" t="str">
        <f>IF(OR($O279=$M279,$O279&lt;=0,$O279=""),"","* * Check Score! * *")</f>
        <v/>
      </c>
      <c r="M279" s="2">
        <v>10</v>
      </c>
      <c r="N279" s="7"/>
      <c r="O279" s="76">
        <f>O281</f>
        <v>10</v>
      </c>
      <c r="P279" s="76">
        <f>P281</f>
        <v>0</v>
      </c>
      <c r="Q279" s="130" t="s">
        <v>566</v>
      </c>
    </row>
    <row r="280" spans="1:18" s="43" customFormat="1" ht="11.45" customHeight="1">
      <c r="B280" s="177" t="s">
        <v>3335</v>
      </c>
      <c r="M280" s="49"/>
      <c r="N280" s="49"/>
      <c r="O280" s="1625" t="s">
        <v>4068</v>
      </c>
      <c r="P280" s="210"/>
    </row>
    <row r="281" spans="1:18" ht="12.6" customHeight="1">
      <c r="A281" s="171" t="s">
        <v>2693</v>
      </c>
      <c r="B281" s="229" t="s">
        <v>1880</v>
      </c>
      <c r="D281" s="40"/>
      <c r="E281" s="40"/>
      <c r="F281" s="40"/>
      <c r="G281" s="40"/>
      <c r="H281" s="40"/>
      <c r="I281" s="40"/>
      <c r="J281" s="40"/>
      <c r="K281" s="40"/>
      <c r="L281" s="40"/>
      <c r="M281" s="139"/>
      <c r="N281" s="654" t="s">
        <v>2693</v>
      </c>
      <c r="O281" s="1790">
        <v>10</v>
      </c>
      <c r="P281" s="508"/>
      <c r="Q281" s="221" t="s">
        <v>3629</v>
      </c>
    </row>
    <row r="282" spans="1:18" ht="12.6" customHeight="1">
      <c r="A282" s="171" t="s">
        <v>2696</v>
      </c>
      <c r="B282" s="229" t="s">
        <v>291</v>
      </c>
      <c r="D282" s="40"/>
      <c r="E282" s="40"/>
      <c r="F282" s="40"/>
      <c r="G282" s="822"/>
      <c r="H282" s="822"/>
      <c r="I282" s="822"/>
      <c r="J282" s="822"/>
      <c r="K282" s="822"/>
      <c r="M282" s="123"/>
      <c r="N282" s="654" t="s">
        <v>2696</v>
      </c>
      <c r="O282" s="1625" t="s">
        <v>4162</v>
      </c>
      <c r="P282" s="210"/>
    </row>
    <row r="283" spans="1:18" s="50" customFormat="1" ht="11.25" customHeight="1">
      <c r="A283" s="49"/>
      <c r="B283" s="56" t="s">
        <v>281</v>
      </c>
      <c r="C283" s="49"/>
      <c r="D283" s="55"/>
      <c r="E283" s="55"/>
      <c r="F283" s="55"/>
      <c r="G283" s="55"/>
      <c r="H283" s="44"/>
      <c r="I283" s="44"/>
      <c r="J283" s="44"/>
      <c r="K283" s="44"/>
      <c r="M283" s="53"/>
      <c r="N283" s="73"/>
      <c r="O283" s="4"/>
      <c r="P283" s="817"/>
    </row>
    <row r="284" spans="1:18" s="50" customFormat="1" ht="12.75" customHeight="1">
      <c r="A284" s="1629"/>
      <c r="B284" s="1630"/>
      <c r="C284" s="1630"/>
      <c r="D284" s="1630"/>
      <c r="E284" s="1630"/>
      <c r="F284" s="1630"/>
      <c r="G284" s="1630"/>
      <c r="H284" s="1630"/>
      <c r="I284" s="1630"/>
      <c r="J284" s="1630"/>
      <c r="K284" s="1630"/>
      <c r="L284" s="1630"/>
      <c r="M284" s="1630"/>
      <c r="N284" s="1630"/>
      <c r="O284" s="1630"/>
      <c r="P284" s="1631"/>
      <c r="Q284" s="614" t="s">
        <v>1676</v>
      </c>
      <c r="R284" s="615"/>
    </row>
    <row r="285" spans="1:18" s="123" customFormat="1" ht="11.25" customHeight="1">
      <c r="A285" s="79"/>
      <c r="B285" s="79" t="s">
        <v>2570</v>
      </c>
      <c r="C285" s="57"/>
      <c r="D285" s="79"/>
      <c r="E285" s="816"/>
      <c r="F285" s="816"/>
      <c r="G285" s="816"/>
      <c r="H285" s="816"/>
      <c r="I285" s="816"/>
      <c r="J285" s="816"/>
      <c r="K285" s="816"/>
      <c r="L285" s="816"/>
      <c r="M285" s="816"/>
      <c r="N285" s="113"/>
      <c r="O285" s="232"/>
      <c r="P285" s="2"/>
    </row>
    <row r="286" spans="1:18" s="50" customFormat="1" ht="12.75" customHeight="1">
      <c r="A286" s="1057"/>
      <c r="B286" s="1058"/>
      <c r="C286" s="1058"/>
      <c r="D286" s="1058"/>
      <c r="E286" s="1058"/>
      <c r="F286" s="1058"/>
      <c r="G286" s="1058"/>
      <c r="H286" s="1058"/>
      <c r="I286" s="1058"/>
      <c r="J286" s="1058"/>
      <c r="K286" s="1058"/>
      <c r="L286" s="1058"/>
      <c r="M286" s="1058"/>
      <c r="N286" s="1058"/>
      <c r="O286" s="1058"/>
      <c r="P286" s="1059"/>
      <c r="Q286" s="614" t="s">
        <v>1676</v>
      </c>
      <c r="R286" s="615"/>
    </row>
    <row r="287" spans="1:18" s="50" customFormat="1" ht="3" customHeight="1" thickBot="1">
      <c r="A287" s="49"/>
      <c r="B287" s="49"/>
      <c r="C287" s="818"/>
      <c r="D287" s="818"/>
      <c r="E287" s="818"/>
      <c r="F287" s="818"/>
      <c r="G287" s="818"/>
      <c r="H287" s="818"/>
      <c r="I287" s="818"/>
      <c r="J287" s="818"/>
      <c r="K287" s="818"/>
      <c r="L287" s="818"/>
      <c r="M287" s="818"/>
      <c r="N287" s="90"/>
      <c r="O287" s="85"/>
      <c r="P287" s="674"/>
    </row>
    <row r="288" spans="1:18" s="49" customFormat="1" ht="15" customHeight="1" thickBot="1">
      <c r="A288" s="617" t="s">
        <v>3544</v>
      </c>
      <c r="B288" s="80"/>
      <c r="C288" s="57"/>
      <c r="D288" s="43"/>
      <c r="E288" s="43"/>
      <c r="F288" s="63"/>
      <c r="G288" s="50"/>
      <c r="H288" s="191" t="s">
        <v>464</v>
      </c>
      <c r="I288" s="192"/>
      <c r="J288" s="192"/>
      <c r="K288" s="192"/>
      <c r="L288" s="123"/>
      <c r="M288" s="606">
        <f>M8+M30+M38+M47+M56+M63+M86+M121+M136+M148+M156+M164+M169+M180+M220+M231+M240+M248+M279</f>
        <v>103</v>
      </c>
      <c r="N288" s="193"/>
      <c r="O288" s="194">
        <f>O8+O30+O38+O47+O56+O63+O86+O121+O136+O148+O156+O164+O169+O180+O220+O231+O240+O248+O279</f>
        <v>59</v>
      </c>
      <c r="P288" s="194">
        <f>P8+P30+P38+P47+P56+P63+P86+P121+P136+P148+P156+P164+P169+P180+P220+P231+P240+P248+P279</f>
        <v>13</v>
      </c>
    </row>
    <row r="289" spans="1:19" s="49" customFormat="1" ht="13.5" customHeight="1">
      <c r="A289" s="63"/>
      <c r="B289" s="80"/>
      <c r="C289" s="63"/>
      <c r="D289" s="43"/>
      <c r="E289" s="43"/>
      <c r="F289" s="82"/>
      <c r="G289" s="82"/>
      <c r="H289" s="213" t="s">
        <v>3574</v>
      </c>
      <c r="I289" s="81"/>
      <c r="J289" s="81"/>
      <c r="K289" s="81"/>
      <c r="L289" s="50"/>
      <c r="M289" s="43"/>
      <c r="N289" s="2"/>
      <c r="O289" s="651">
        <f>O288-O248</f>
        <v>47</v>
      </c>
      <c r="P289" s="651">
        <f>P288-P248</f>
        <v>13</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18"/>
      <c r="D291" s="818"/>
      <c r="E291" s="818"/>
      <c r="F291" s="818"/>
      <c r="G291" s="818"/>
      <c r="H291" s="818"/>
      <c r="I291" s="818"/>
      <c r="J291" s="818"/>
      <c r="K291" s="818"/>
      <c r="L291" s="818"/>
      <c r="M291" s="818"/>
      <c r="N291" s="90"/>
      <c r="O291" s="85"/>
      <c r="P291" s="674"/>
    </row>
    <row r="292" spans="1:19" s="50" customFormat="1" ht="9" customHeight="1">
      <c r="A292" s="49"/>
      <c r="D292" s="47"/>
      <c r="E292" s="44"/>
      <c r="F292" s="674"/>
      <c r="G292" s="674"/>
      <c r="H292" s="674"/>
      <c r="I292" s="674"/>
      <c r="J292" s="38"/>
      <c r="K292" s="38"/>
      <c r="L292" s="38"/>
      <c r="M292" s="71"/>
      <c r="N292" s="674"/>
      <c r="O292" s="817"/>
      <c r="P292" s="4"/>
    </row>
    <row r="293" spans="1:19" ht="15.75">
      <c r="A293" s="63"/>
      <c r="B293" s="80"/>
      <c r="C293" s="63"/>
      <c r="D293" s="181"/>
      <c r="E293" s="181"/>
      <c r="F293" s="822"/>
      <c r="G293" s="822"/>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2327</v>
      </c>
      <c r="D295" s="624"/>
      <c r="E295" s="624"/>
      <c r="F295" s="624"/>
      <c r="G295" s="624"/>
      <c r="H295" s="624"/>
      <c r="I295" s="624"/>
      <c r="J295" s="624" t="s">
        <v>1413</v>
      </c>
      <c r="K295" s="624"/>
      <c r="L295" s="695"/>
      <c r="M295" s="196"/>
      <c r="N295" s="148"/>
      <c r="Q295" s="138"/>
      <c r="R295" s="138"/>
      <c r="S295" s="138"/>
    </row>
    <row r="296" spans="1:19">
      <c r="A296" s="196"/>
      <c r="B296" s="196"/>
      <c r="C296" s="695" t="s">
        <v>2803</v>
      </c>
      <c r="D296" s="695"/>
      <c r="E296" s="695"/>
      <c r="F296" s="695"/>
      <c r="G296" s="695"/>
      <c r="H296" s="695"/>
      <c r="I296" s="695"/>
      <c r="J296" s="695" t="s">
        <v>2465</v>
      </c>
      <c r="K296" s="695"/>
      <c r="L296" s="695"/>
      <c r="M296" s="196"/>
      <c r="N296" s="148"/>
      <c r="Q296" s="138"/>
      <c r="R296" s="138"/>
      <c r="S296" s="138"/>
    </row>
    <row r="297" spans="1:19" ht="15">
      <c r="A297" s="196"/>
      <c r="B297" s="196"/>
      <c r="C297" s="624" t="s">
        <v>3341</v>
      </c>
      <c r="D297" s="624"/>
      <c r="E297" s="624"/>
      <c r="F297" s="624"/>
      <c r="G297" s="624"/>
      <c r="H297" s="624"/>
      <c r="I297" s="624"/>
      <c r="J297" s="696" t="s">
        <v>251</v>
      </c>
      <c r="K297" s="624"/>
      <c r="L297" s="695"/>
      <c r="M297" s="196"/>
      <c r="N297" s="148"/>
      <c r="Q297" s="138"/>
      <c r="R297" s="138"/>
      <c r="S297" s="138"/>
    </row>
    <row r="298" spans="1:19" ht="15">
      <c r="A298" s="196"/>
      <c r="B298" s="196"/>
      <c r="C298" s="624" t="s">
        <v>2804</v>
      </c>
      <c r="D298" s="624"/>
      <c r="E298" s="624"/>
      <c r="F298" s="624"/>
      <c r="G298" s="624"/>
      <c r="H298" s="624"/>
      <c r="I298" s="624"/>
      <c r="J298" s="696" t="s">
        <v>2329</v>
      </c>
      <c r="K298" s="624"/>
      <c r="L298" s="695"/>
      <c r="M298" s="196"/>
      <c r="N298" s="148"/>
      <c r="Q298" s="138"/>
      <c r="R298" s="138"/>
      <c r="S298" s="138"/>
    </row>
    <row r="299" spans="1:19" ht="15">
      <c r="A299" s="196"/>
      <c r="B299" s="196"/>
      <c r="C299" s="624" t="s">
        <v>2805</v>
      </c>
      <c r="D299" s="624"/>
      <c r="E299" s="624"/>
      <c r="F299" s="624"/>
      <c r="G299" s="624"/>
      <c r="H299" s="624"/>
      <c r="I299" s="624"/>
      <c r="J299" s="696" t="s">
        <v>2330</v>
      </c>
      <c r="K299" s="624"/>
      <c r="L299" s="695"/>
      <c r="M299" s="196"/>
      <c r="N299" s="148"/>
      <c r="Q299" s="138"/>
      <c r="R299" s="138"/>
      <c r="S299" s="138"/>
    </row>
    <row r="300" spans="1:19" ht="15">
      <c r="A300" s="196"/>
      <c r="B300" s="196"/>
      <c r="C300" s="697" t="s">
        <v>2806</v>
      </c>
      <c r="D300" s="624"/>
      <c r="E300" s="624"/>
      <c r="F300" s="624"/>
      <c r="G300" s="624"/>
      <c r="H300" s="624"/>
      <c r="I300" s="624"/>
      <c r="J300" s="696" t="s">
        <v>3286</v>
      </c>
      <c r="K300" s="624"/>
      <c r="L300" s="695"/>
      <c r="M300" s="196"/>
      <c r="N300" s="148"/>
      <c r="Q300" s="138"/>
      <c r="R300" s="138"/>
      <c r="S300" s="138"/>
    </row>
    <row r="301" spans="1:19" ht="15">
      <c r="A301" s="196"/>
      <c r="B301" s="196"/>
      <c r="C301" s="697" t="s">
        <v>2807</v>
      </c>
      <c r="D301" s="624"/>
      <c r="E301" s="624"/>
      <c r="F301" s="624"/>
      <c r="G301" s="624"/>
      <c r="H301" s="624"/>
      <c r="I301" s="624"/>
      <c r="J301" s="696" t="s">
        <v>2331</v>
      </c>
      <c r="K301" s="624"/>
      <c r="L301" s="695"/>
      <c r="M301" s="196"/>
      <c r="N301" s="148"/>
      <c r="Q301" s="138"/>
      <c r="R301" s="138"/>
      <c r="S301" s="138"/>
    </row>
    <row r="302" spans="1:19" ht="15">
      <c r="A302" s="196"/>
      <c r="B302" s="196"/>
      <c r="C302" s="697"/>
      <c r="D302" s="624"/>
      <c r="E302" s="624"/>
      <c r="F302" s="624"/>
      <c r="G302" s="624"/>
      <c r="H302" s="624"/>
      <c r="I302" s="624"/>
      <c r="J302" s="696" t="s">
        <v>2332</v>
      </c>
      <c r="K302" s="624"/>
      <c r="L302" s="695"/>
      <c r="M302" s="196"/>
      <c r="N302" s="148"/>
      <c r="Q302" s="138"/>
      <c r="R302" s="138"/>
      <c r="S302" s="138"/>
    </row>
    <row r="303" spans="1:19" ht="15">
      <c r="A303" s="196"/>
      <c r="B303" s="196"/>
      <c r="C303" s="695" t="s">
        <v>2465</v>
      </c>
      <c r="D303" s="624"/>
      <c r="E303" s="624"/>
      <c r="F303" s="624"/>
      <c r="G303" s="624"/>
      <c r="H303" s="624"/>
      <c r="I303" s="624"/>
      <c r="J303" s="696" t="s">
        <v>2333</v>
      </c>
      <c r="K303" s="624"/>
      <c r="L303" s="695"/>
      <c r="M303" s="196"/>
      <c r="N303" s="148"/>
      <c r="Q303" s="138"/>
      <c r="R303" s="138"/>
      <c r="S303" s="138"/>
    </row>
    <row r="304" spans="1:19" ht="15">
      <c r="A304" s="196"/>
      <c r="B304" s="196"/>
      <c r="C304" s="698" t="s">
        <v>1827</v>
      </c>
      <c r="D304" s="624"/>
      <c r="E304" s="624"/>
      <c r="F304" s="624"/>
      <c r="G304" s="624"/>
      <c r="H304" s="624"/>
      <c r="I304" s="624"/>
      <c r="J304" s="696" t="s">
        <v>2334</v>
      </c>
      <c r="K304" s="624"/>
      <c r="L304" s="695"/>
      <c r="M304" s="196"/>
      <c r="N304" s="148"/>
      <c r="Q304" s="138"/>
      <c r="R304" s="138"/>
      <c r="S304" s="138"/>
    </row>
    <row r="305" spans="1:19" ht="15">
      <c r="A305" s="196"/>
      <c r="B305" s="196"/>
      <c r="C305" s="698" t="s">
        <v>1828</v>
      </c>
      <c r="D305" s="624"/>
      <c r="E305" s="624"/>
      <c r="F305" s="624"/>
      <c r="G305" s="624"/>
      <c r="H305" s="624"/>
      <c r="I305" s="624"/>
      <c r="J305" s="696" t="s">
        <v>2335</v>
      </c>
      <c r="K305" s="624"/>
      <c r="L305" s="695"/>
      <c r="M305" s="196"/>
      <c r="N305" s="148"/>
      <c r="Q305" s="138"/>
      <c r="R305" s="138"/>
      <c r="S305" s="138"/>
    </row>
    <row r="306" spans="1:19" ht="15">
      <c r="A306" s="196"/>
      <c r="B306" s="196"/>
      <c r="C306" s="699" t="s">
        <v>2847</v>
      </c>
      <c r="D306" s="624"/>
      <c r="E306" s="624"/>
      <c r="F306" s="624"/>
      <c r="G306" s="624"/>
      <c r="H306" s="624"/>
      <c r="I306" s="624"/>
      <c r="J306" s="696" t="s">
        <v>2336</v>
      </c>
      <c r="K306" s="624"/>
      <c r="L306" s="695"/>
      <c r="M306" s="196"/>
      <c r="N306" s="148"/>
      <c r="Q306" s="138"/>
      <c r="R306" s="138"/>
      <c r="S306" s="138"/>
    </row>
    <row r="307" spans="1:19" ht="15">
      <c r="A307" s="196"/>
      <c r="B307" s="196"/>
      <c r="C307" s="699" t="s">
        <v>1824</v>
      </c>
      <c r="D307" s="624"/>
      <c r="E307" s="624"/>
      <c r="F307" s="624"/>
      <c r="G307" s="624"/>
      <c r="H307" s="624"/>
      <c r="I307" s="624"/>
      <c r="J307" s="696" t="s">
        <v>764</v>
      </c>
      <c r="K307" s="624"/>
      <c r="L307" s="695"/>
      <c r="M307" s="196"/>
      <c r="N307" s="148"/>
      <c r="Q307" s="138"/>
      <c r="R307" s="138"/>
      <c r="S307" s="138"/>
    </row>
    <row r="308" spans="1:19" ht="15">
      <c r="A308" s="196"/>
      <c r="B308" s="196"/>
      <c r="C308" s="699" t="s">
        <v>1825</v>
      </c>
      <c r="D308" s="624"/>
      <c r="E308" s="624"/>
      <c r="F308" s="624"/>
      <c r="G308" s="624"/>
      <c r="H308" s="624"/>
      <c r="I308" s="624"/>
      <c r="J308" s="696" t="s">
        <v>2337</v>
      </c>
      <c r="K308" s="624"/>
      <c r="L308" s="695"/>
      <c r="M308" s="196"/>
      <c r="N308" s="148"/>
      <c r="Q308" s="138"/>
      <c r="R308" s="138"/>
      <c r="S308" s="138"/>
    </row>
    <row r="309" spans="1:19" ht="15">
      <c r="A309" s="196"/>
      <c r="B309" s="196"/>
      <c r="C309" s="698" t="s">
        <v>2842</v>
      </c>
      <c r="D309" s="624"/>
      <c r="E309" s="624"/>
      <c r="F309" s="624"/>
      <c r="G309" s="624"/>
      <c r="H309" s="624"/>
      <c r="I309" s="624"/>
      <c r="J309" s="696" t="s">
        <v>2338</v>
      </c>
      <c r="K309" s="624"/>
      <c r="L309" s="695"/>
      <c r="M309" s="196"/>
      <c r="N309" s="148"/>
      <c r="Q309" s="138"/>
      <c r="R309" s="138"/>
      <c r="S309" s="138"/>
    </row>
    <row r="310" spans="1:19" ht="15">
      <c r="A310" s="196"/>
      <c r="B310" s="196"/>
      <c r="C310" s="698" t="s">
        <v>2843</v>
      </c>
      <c r="D310" s="624"/>
      <c r="E310" s="624"/>
      <c r="F310" s="624"/>
      <c r="G310" s="624"/>
      <c r="H310" s="624"/>
      <c r="I310" s="624"/>
      <c r="J310" s="696" t="s">
        <v>2339</v>
      </c>
      <c r="K310" s="695"/>
      <c r="L310" s="695"/>
      <c r="M310" s="196"/>
      <c r="N310" s="148"/>
      <c r="Q310" s="138"/>
      <c r="R310" s="138"/>
      <c r="S310" s="138"/>
    </row>
    <row r="311" spans="1:19" ht="15">
      <c r="A311" s="196"/>
      <c r="B311" s="196"/>
      <c r="C311" s="698" t="s">
        <v>2844</v>
      </c>
      <c r="D311" s="695"/>
      <c r="E311" s="695"/>
      <c r="F311" s="695"/>
      <c r="G311" s="695"/>
      <c r="H311" s="695"/>
      <c r="I311" s="695"/>
      <c r="J311" s="696" t="s">
        <v>38</v>
      </c>
      <c r="K311" s="695"/>
      <c r="L311" s="695"/>
      <c r="M311" s="196"/>
      <c r="N311" s="148"/>
      <c r="Q311" s="138"/>
      <c r="R311" s="138"/>
      <c r="S311" s="138"/>
    </row>
    <row r="312" spans="1:19" ht="15">
      <c r="A312" s="196"/>
      <c r="B312" s="196"/>
      <c r="C312" s="698" t="s">
        <v>2845</v>
      </c>
      <c r="D312" s="695"/>
      <c r="E312" s="695"/>
      <c r="F312" s="695"/>
      <c r="G312" s="695"/>
      <c r="H312" s="695"/>
      <c r="I312" s="695"/>
      <c r="J312" s="700"/>
      <c r="K312" s="695"/>
      <c r="L312" s="695"/>
      <c r="M312" s="196"/>
      <c r="N312" s="148"/>
      <c r="Q312" s="138"/>
      <c r="R312" s="138"/>
      <c r="S312" s="138"/>
    </row>
    <row r="313" spans="1:19">
      <c r="A313" s="196"/>
      <c r="B313" s="196"/>
      <c r="C313" s="698" t="s">
        <v>2846</v>
      </c>
      <c r="D313" s="695"/>
      <c r="E313" s="695"/>
      <c r="F313" s="695"/>
      <c r="G313" s="695"/>
      <c r="H313" s="695"/>
      <c r="I313" s="695"/>
      <c r="J313" s="695"/>
      <c r="K313" s="695"/>
      <c r="L313" s="695"/>
      <c r="M313" s="196"/>
      <c r="N313" s="148"/>
      <c r="Q313" s="138"/>
      <c r="R313" s="138"/>
      <c r="S313" s="138"/>
    </row>
    <row r="314" spans="1:19">
      <c r="A314" s="196"/>
      <c r="B314" s="196"/>
      <c r="C314" s="698" t="s">
        <v>1826</v>
      </c>
      <c r="D314" s="695"/>
      <c r="E314" s="695"/>
      <c r="F314" s="695"/>
      <c r="G314" s="695"/>
      <c r="H314" s="695"/>
      <c r="I314" s="695"/>
      <c r="J314" s="695"/>
      <c r="K314" s="695"/>
      <c r="L314" s="695"/>
      <c r="M314" s="196"/>
      <c r="N314" s="148"/>
      <c r="Q314" s="138"/>
      <c r="R314" s="138"/>
      <c r="S314" s="138"/>
    </row>
    <row r="315" spans="1:19">
      <c r="A315" s="196"/>
      <c r="B315" s="196"/>
      <c r="C315" s="698" t="s">
        <v>3009</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3165</v>
      </c>
      <c r="D318" s="695"/>
      <c r="E318" s="695"/>
      <c r="F318" s="695"/>
      <c r="G318" s="702" t="s">
        <v>1954</v>
      </c>
      <c r="H318" s="702" t="s">
        <v>1955</v>
      </c>
      <c r="I318" s="702" t="s">
        <v>1956</v>
      </c>
      <c r="J318" s="695"/>
      <c r="K318" s="695"/>
      <c r="L318" s="695"/>
      <c r="M318" s="196"/>
      <c r="N318" s="148"/>
    </row>
    <row r="319" spans="1:19" ht="38.25">
      <c r="A319" s="196"/>
      <c r="B319" s="196"/>
      <c r="C319" s="703" t="s">
        <v>3720</v>
      </c>
      <c r="D319" s="695"/>
      <c r="E319" s="695"/>
      <c r="F319" s="695"/>
      <c r="G319" s="704" t="s">
        <v>3308</v>
      </c>
      <c r="H319" s="704" t="s">
        <v>3309</v>
      </c>
      <c r="I319" s="704" t="s">
        <v>1606</v>
      </c>
      <c r="J319" s="695"/>
      <c r="K319" s="695"/>
      <c r="L319" s="695"/>
      <c r="M319" s="196"/>
      <c r="N319" s="148"/>
    </row>
    <row r="320" spans="1:19" ht="25.5">
      <c r="A320" s="196"/>
      <c r="B320" s="196"/>
      <c r="C320" s="703" t="s">
        <v>3725</v>
      </c>
      <c r="D320" s="695"/>
      <c r="E320" s="695"/>
      <c r="F320" s="695"/>
      <c r="G320" s="704" t="s">
        <v>2238</v>
      </c>
      <c r="H320" s="705" t="s">
        <v>1406</v>
      </c>
      <c r="I320" s="705" t="s">
        <v>1750</v>
      </c>
      <c r="J320" s="695"/>
      <c r="K320" s="695"/>
      <c r="L320" s="695"/>
      <c r="M320" s="196"/>
      <c r="N320" s="148"/>
    </row>
    <row r="321" spans="1:14">
      <c r="A321" s="196"/>
      <c r="B321" s="196"/>
      <c r="C321" s="703" t="s">
        <v>3722</v>
      </c>
      <c r="D321" s="695"/>
      <c r="E321" s="695"/>
      <c r="F321" s="695"/>
      <c r="G321" s="704" t="s">
        <v>2785</v>
      </c>
      <c r="H321" s="705" t="s">
        <v>1765</v>
      </c>
      <c r="I321" s="705" t="s">
        <v>1762</v>
      </c>
      <c r="J321" s="695"/>
      <c r="K321" s="695"/>
      <c r="L321" s="695"/>
      <c r="M321" s="196"/>
      <c r="N321" s="148"/>
    </row>
    <row r="322" spans="1:14">
      <c r="A322" s="196"/>
      <c r="B322" s="196"/>
      <c r="C322" s="703" t="s">
        <v>3726</v>
      </c>
      <c r="D322" s="695"/>
      <c r="E322" s="695"/>
      <c r="F322" s="695"/>
      <c r="G322" s="704" t="s">
        <v>2239</v>
      </c>
      <c r="H322" s="705" t="s">
        <v>3328</v>
      </c>
      <c r="I322" s="705" t="s">
        <v>1765</v>
      </c>
      <c r="J322" s="695"/>
      <c r="K322" s="695"/>
      <c r="L322" s="695"/>
      <c r="M322" s="196"/>
      <c r="N322" s="148"/>
    </row>
    <row r="323" spans="1:14" ht="25.5">
      <c r="A323" s="196"/>
      <c r="B323" s="196"/>
      <c r="C323" s="703" t="s">
        <v>3727</v>
      </c>
      <c r="D323" s="695"/>
      <c r="E323" s="695"/>
      <c r="F323" s="695"/>
      <c r="G323" s="704" t="s">
        <v>12</v>
      </c>
      <c r="H323" s="705" t="s">
        <v>3329</v>
      </c>
      <c r="I323" s="705" t="s">
        <v>3262</v>
      </c>
      <c r="J323" s="695"/>
      <c r="K323" s="695"/>
      <c r="L323" s="695"/>
      <c r="M323" s="196"/>
      <c r="N323" s="148"/>
    </row>
    <row r="324" spans="1:14">
      <c r="A324" s="196"/>
      <c r="B324" s="196"/>
      <c r="C324" s="703" t="s">
        <v>3723</v>
      </c>
      <c r="D324" s="695"/>
      <c r="E324" s="695"/>
      <c r="F324" s="695"/>
      <c r="G324" s="704" t="s">
        <v>1765</v>
      </c>
      <c r="H324" s="705" t="s">
        <v>2637</v>
      </c>
      <c r="I324" s="705" t="s">
        <v>3268</v>
      </c>
      <c r="J324" s="695"/>
      <c r="K324" s="695"/>
      <c r="L324" s="695"/>
      <c r="M324" s="196"/>
      <c r="N324" s="148"/>
    </row>
    <row r="325" spans="1:14">
      <c r="A325" s="196"/>
      <c r="B325" s="196"/>
      <c r="C325" s="703" t="s">
        <v>3628</v>
      </c>
      <c r="D325" s="695"/>
      <c r="E325" s="695"/>
      <c r="F325" s="695"/>
      <c r="G325" s="704" t="s">
        <v>1957</v>
      </c>
      <c r="H325" s="705" t="s">
        <v>3006</v>
      </c>
      <c r="I325" s="705" t="s">
        <v>3270</v>
      </c>
      <c r="J325" s="695"/>
      <c r="K325" s="695"/>
      <c r="L325" s="695"/>
      <c r="M325" s="196"/>
      <c r="N325" s="148"/>
    </row>
    <row r="326" spans="1:14">
      <c r="A326" s="196"/>
      <c r="B326" s="196"/>
      <c r="C326" s="703" t="s">
        <v>3724</v>
      </c>
      <c r="D326" s="695"/>
      <c r="E326" s="695"/>
      <c r="F326" s="695"/>
      <c r="G326" s="704" t="s">
        <v>1424</v>
      </c>
      <c r="H326" s="705" t="s">
        <v>3330</v>
      </c>
      <c r="I326" s="705" t="s">
        <v>3317</v>
      </c>
      <c r="J326" s="695"/>
      <c r="K326" s="695"/>
      <c r="L326" s="695"/>
      <c r="M326" s="196"/>
      <c r="N326" s="148"/>
    </row>
    <row r="327" spans="1:14">
      <c r="A327" s="196"/>
      <c r="B327" s="196"/>
      <c r="C327" s="695"/>
      <c r="D327" s="695"/>
      <c r="E327" s="695"/>
      <c r="F327" s="695"/>
      <c r="G327" s="704" t="s">
        <v>3270</v>
      </c>
      <c r="H327" s="705" t="s">
        <v>844</v>
      </c>
      <c r="I327" s="705" t="s">
        <v>214</v>
      </c>
      <c r="J327" s="695"/>
      <c r="K327" s="695"/>
      <c r="L327" s="695"/>
      <c r="M327" s="196"/>
      <c r="N327" s="148"/>
    </row>
    <row r="328" spans="1:14">
      <c r="A328" s="196"/>
      <c r="B328" s="196"/>
      <c r="C328" s="695"/>
      <c r="D328" s="695"/>
      <c r="E328" s="695"/>
      <c r="F328" s="695"/>
      <c r="G328" s="704" t="s">
        <v>2772</v>
      </c>
      <c r="H328" s="705" t="s">
        <v>2326</v>
      </c>
      <c r="I328" s="705" t="s">
        <v>1349</v>
      </c>
      <c r="J328" s="695"/>
      <c r="K328" s="695"/>
      <c r="L328" s="695"/>
      <c r="M328" s="196"/>
      <c r="N328" s="148"/>
    </row>
    <row r="329" spans="1:14" ht="25.5">
      <c r="A329" s="196"/>
      <c r="B329" s="196"/>
      <c r="C329" s="695"/>
      <c r="D329" s="695"/>
      <c r="E329" s="695"/>
      <c r="F329" s="695"/>
      <c r="G329" s="704" t="s">
        <v>780</v>
      </c>
      <c r="H329" s="705" t="s">
        <v>3331</v>
      </c>
      <c r="I329" s="705" t="s">
        <v>1351</v>
      </c>
      <c r="J329" s="695"/>
      <c r="K329" s="695"/>
      <c r="L329" s="695"/>
      <c r="M329" s="196"/>
      <c r="N329" s="148"/>
    </row>
    <row r="330" spans="1:14" ht="25.5">
      <c r="A330" s="196"/>
      <c r="B330" s="196"/>
      <c r="C330" s="695"/>
      <c r="D330" s="695"/>
      <c r="E330" s="695"/>
      <c r="F330" s="695"/>
      <c r="G330" s="704" t="s">
        <v>2240</v>
      </c>
      <c r="H330" s="705" t="s">
        <v>1958</v>
      </c>
      <c r="I330" s="705" t="s">
        <v>1268</v>
      </c>
      <c r="J330" s="695"/>
      <c r="K330" s="695"/>
      <c r="L330" s="695"/>
      <c r="M330" s="196"/>
      <c r="N330" s="148"/>
    </row>
    <row r="331" spans="1:14">
      <c r="A331" s="196"/>
      <c r="B331" s="196"/>
      <c r="C331" s="695"/>
      <c r="D331" s="695"/>
      <c r="E331" s="695"/>
      <c r="F331" s="695"/>
      <c r="G331" s="704" t="s">
        <v>1267</v>
      </c>
      <c r="H331" s="705" t="s">
        <v>2995</v>
      </c>
      <c r="I331" s="705" t="s">
        <v>1272</v>
      </c>
      <c r="J331" s="695"/>
      <c r="K331" s="695"/>
      <c r="L331" s="695"/>
      <c r="M331" s="196"/>
      <c r="N331" s="148"/>
    </row>
    <row r="332" spans="1:14">
      <c r="A332" s="196"/>
      <c r="B332" s="196"/>
      <c r="C332" s="695"/>
      <c r="D332" s="695"/>
      <c r="E332" s="695"/>
      <c r="F332" s="695"/>
      <c r="G332" s="704" t="s">
        <v>582</v>
      </c>
      <c r="H332" s="705" t="s">
        <v>2597</v>
      </c>
      <c r="I332" s="705" t="s">
        <v>849</v>
      </c>
      <c r="J332" s="695"/>
      <c r="K332" s="695"/>
      <c r="L332" s="695"/>
      <c r="M332" s="196"/>
      <c r="N332" s="148"/>
    </row>
    <row r="333" spans="1:14" ht="51">
      <c r="A333" s="196"/>
      <c r="B333" s="196"/>
      <c r="C333" s="695"/>
      <c r="D333" s="695"/>
      <c r="E333" s="695"/>
      <c r="F333" s="695"/>
      <c r="G333" s="704" t="s">
        <v>255</v>
      </c>
      <c r="H333" s="705" t="s">
        <v>3334</v>
      </c>
      <c r="I333" s="705" t="s">
        <v>854</v>
      </c>
      <c r="J333" s="695"/>
      <c r="K333" s="695"/>
      <c r="L333" s="695"/>
      <c r="M333" s="196"/>
      <c r="N333" s="148"/>
    </row>
    <row r="334" spans="1:14">
      <c r="A334" s="196"/>
      <c r="B334" s="196"/>
      <c r="C334" s="695"/>
      <c r="D334" s="695"/>
      <c r="E334" s="695"/>
      <c r="F334" s="695"/>
      <c r="G334" s="704" t="s">
        <v>1641</v>
      </c>
      <c r="H334" s="705" t="s">
        <v>3327</v>
      </c>
      <c r="I334" s="705" t="s">
        <v>344</v>
      </c>
      <c r="J334" s="695"/>
      <c r="K334" s="695"/>
      <c r="L334" s="695"/>
      <c r="M334" s="196"/>
      <c r="N334" s="148"/>
    </row>
    <row r="335" spans="1:14" ht="25.5">
      <c r="A335" s="196"/>
      <c r="B335" s="196"/>
      <c r="C335" s="695"/>
      <c r="D335" s="695"/>
      <c r="E335" s="695"/>
      <c r="F335" s="695"/>
      <c r="G335" s="704" t="s">
        <v>1643</v>
      </c>
      <c r="H335" s="705" t="s">
        <v>3332</v>
      </c>
      <c r="I335" s="705" t="s">
        <v>353</v>
      </c>
      <c r="J335" s="695"/>
      <c r="K335" s="695"/>
      <c r="L335" s="695"/>
      <c r="M335" s="196"/>
      <c r="N335" s="148"/>
    </row>
    <row r="336" spans="1:14" ht="25.5">
      <c r="A336" s="196"/>
      <c r="B336" s="196"/>
      <c r="C336" s="695"/>
      <c r="D336" s="695"/>
      <c r="E336" s="695"/>
      <c r="F336" s="695"/>
      <c r="G336" s="704" t="s">
        <v>2241</v>
      </c>
      <c r="H336" s="705" t="s">
        <v>3333</v>
      </c>
      <c r="I336" s="705" t="s">
        <v>360</v>
      </c>
      <c r="J336" s="695"/>
      <c r="K336" s="695"/>
      <c r="L336" s="695"/>
      <c r="M336" s="196"/>
      <c r="N336" s="148"/>
    </row>
    <row r="337" spans="1:14">
      <c r="A337" s="196"/>
      <c r="B337" s="196"/>
      <c r="C337" s="695"/>
      <c r="D337" s="695"/>
      <c r="E337" s="695"/>
      <c r="F337" s="695"/>
      <c r="G337" s="704" t="s">
        <v>1384</v>
      </c>
      <c r="H337" s="705" t="s">
        <v>1959</v>
      </c>
      <c r="I337" s="705" t="s">
        <v>362</v>
      </c>
      <c r="J337" s="695"/>
      <c r="K337" s="695"/>
      <c r="L337" s="695"/>
      <c r="M337" s="196"/>
      <c r="N337" s="148"/>
    </row>
    <row r="338" spans="1:14">
      <c r="A338" s="196"/>
      <c r="B338" s="196"/>
      <c r="C338" s="695"/>
      <c r="D338" s="695"/>
      <c r="E338" s="695"/>
      <c r="F338" s="695"/>
      <c r="G338" s="704" t="s">
        <v>745</v>
      </c>
      <c r="H338" s="705"/>
      <c r="I338" s="705" t="s">
        <v>1900</v>
      </c>
      <c r="J338" s="695"/>
      <c r="K338" s="695"/>
      <c r="L338" s="695"/>
      <c r="M338" s="196"/>
      <c r="N338" s="148"/>
    </row>
    <row r="339" spans="1:14">
      <c r="A339" s="196"/>
      <c r="B339" s="196"/>
      <c r="C339" s="695"/>
      <c r="D339" s="695"/>
      <c r="E339" s="695"/>
      <c r="F339" s="695"/>
      <c r="G339" s="704" t="s">
        <v>2242</v>
      </c>
      <c r="H339" s="705"/>
      <c r="I339" s="705" t="s">
        <v>1902</v>
      </c>
      <c r="J339" s="695"/>
      <c r="K339" s="695"/>
      <c r="L339" s="695"/>
      <c r="M339" s="196"/>
      <c r="N339" s="148"/>
    </row>
    <row r="340" spans="1:14">
      <c r="A340" s="196"/>
      <c r="B340" s="196"/>
      <c r="C340" s="695"/>
      <c r="D340" s="695"/>
      <c r="E340" s="695"/>
      <c r="F340" s="695"/>
      <c r="G340" s="704" t="s">
        <v>2368</v>
      </c>
      <c r="H340" s="705"/>
      <c r="I340" s="705" t="s">
        <v>1753</v>
      </c>
      <c r="J340" s="695"/>
      <c r="K340" s="695"/>
      <c r="L340" s="695"/>
      <c r="M340" s="196"/>
      <c r="N340" s="148"/>
    </row>
    <row r="341" spans="1:14">
      <c r="A341" s="196"/>
      <c r="B341" s="196"/>
      <c r="C341" s="695"/>
      <c r="D341" s="695"/>
      <c r="E341" s="695"/>
      <c r="F341" s="695"/>
      <c r="G341" s="704" t="s">
        <v>2433</v>
      </c>
      <c r="H341" s="705"/>
      <c r="I341" s="705" t="s">
        <v>390</v>
      </c>
      <c r="J341" s="695"/>
      <c r="K341" s="695"/>
      <c r="L341" s="695"/>
      <c r="M341" s="196"/>
      <c r="N341" s="148"/>
    </row>
    <row r="342" spans="1:14">
      <c r="A342" s="196"/>
      <c r="B342" s="196"/>
      <c r="C342" s="695"/>
      <c r="D342" s="695"/>
      <c r="E342" s="695"/>
      <c r="F342" s="695"/>
      <c r="G342" s="704" t="s">
        <v>1213</v>
      </c>
      <c r="H342" s="705"/>
      <c r="I342" s="705" t="s">
        <v>2583</v>
      </c>
      <c r="J342" s="695"/>
      <c r="K342" s="695"/>
      <c r="L342" s="695"/>
      <c r="M342" s="196"/>
      <c r="N342" s="148"/>
    </row>
    <row r="343" spans="1:14">
      <c r="A343" s="196"/>
      <c r="B343" s="196"/>
      <c r="C343" s="695"/>
      <c r="D343" s="695"/>
      <c r="E343" s="695"/>
      <c r="F343" s="695"/>
      <c r="G343" s="704" t="s">
        <v>687</v>
      </c>
      <c r="H343" s="705"/>
      <c r="I343" s="705" t="s">
        <v>2585</v>
      </c>
      <c r="J343" s="695"/>
      <c r="K343" s="695"/>
      <c r="L343" s="695"/>
      <c r="M343" s="196"/>
      <c r="N343" s="148"/>
    </row>
    <row r="344" spans="1:14">
      <c r="A344" s="196"/>
      <c r="B344" s="196"/>
      <c r="C344" s="695"/>
      <c r="D344" s="695"/>
      <c r="E344" s="695"/>
      <c r="F344" s="695"/>
      <c r="G344" s="704" t="s">
        <v>695</v>
      </c>
      <c r="H344" s="705"/>
      <c r="I344" s="705" t="s">
        <v>2233</v>
      </c>
      <c r="J344" s="695"/>
      <c r="K344" s="695"/>
      <c r="L344" s="695"/>
      <c r="M344" s="196"/>
      <c r="N344" s="148"/>
    </row>
    <row r="345" spans="1:14">
      <c r="A345" s="196"/>
      <c r="B345" s="196"/>
      <c r="C345" s="695"/>
      <c r="D345" s="695"/>
      <c r="E345" s="695"/>
      <c r="F345" s="695"/>
      <c r="G345" s="704" t="s">
        <v>2809</v>
      </c>
      <c r="H345" s="705"/>
      <c r="I345" s="705" t="s">
        <v>2235</v>
      </c>
      <c r="J345" s="695"/>
      <c r="K345" s="695"/>
      <c r="L345" s="695"/>
      <c r="M345" s="196"/>
      <c r="N345" s="148"/>
    </row>
    <row r="346" spans="1:14">
      <c r="A346" s="196"/>
      <c r="B346" s="196"/>
      <c r="C346" s="695"/>
      <c r="D346" s="695"/>
      <c r="E346" s="695"/>
      <c r="F346" s="695"/>
      <c r="G346" s="704" t="s">
        <v>432</v>
      </c>
      <c r="H346" s="705"/>
      <c r="I346" s="705" t="s">
        <v>1514</v>
      </c>
      <c r="J346" s="695"/>
      <c r="K346" s="695"/>
      <c r="L346" s="695"/>
      <c r="M346" s="196"/>
      <c r="N346" s="148"/>
    </row>
    <row r="347" spans="1:14">
      <c r="A347" s="196"/>
      <c r="B347" s="196"/>
      <c r="C347" s="695"/>
      <c r="D347" s="695"/>
      <c r="E347" s="695"/>
      <c r="F347" s="695"/>
      <c r="G347" s="704" t="s">
        <v>2836</v>
      </c>
      <c r="H347" s="705"/>
      <c r="I347" s="705" t="s">
        <v>1518</v>
      </c>
      <c r="J347" s="695"/>
      <c r="K347" s="695"/>
      <c r="L347" s="695"/>
      <c r="M347" s="196"/>
      <c r="N347" s="148"/>
    </row>
    <row r="348" spans="1:14">
      <c r="A348" s="196"/>
      <c r="B348" s="196"/>
      <c r="C348" s="695"/>
      <c r="D348" s="695"/>
      <c r="E348" s="695"/>
      <c r="F348" s="695"/>
      <c r="G348" s="704" t="s">
        <v>2881</v>
      </c>
      <c r="H348" s="705"/>
      <c r="I348" s="705" t="s">
        <v>2888</v>
      </c>
      <c r="J348" s="695"/>
      <c r="K348" s="695"/>
      <c r="L348" s="695"/>
      <c r="M348" s="196"/>
      <c r="N348" s="148"/>
    </row>
    <row r="349" spans="1:14">
      <c r="A349" s="196"/>
      <c r="B349" s="196"/>
      <c r="C349" s="695"/>
      <c r="D349" s="695"/>
      <c r="E349" s="695"/>
      <c r="F349" s="695"/>
      <c r="G349" s="704" t="s">
        <v>2995</v>
      </c>
      <c r="H349" s="705"/>
      <c r="I349" s="705" t="s">
        <v>2893</v>
      </c>
      <c r="J349" s="695"/>
      <c r="K349" s="695"/>
      <c r="L349" s="695"/>
      <c r="M349" s="196"/>
      <c r="N349" s="148"/>
    </row>
    <row r="350" spans="1:14" ht="51">
      <c r="A350" s="196"/>
      <c r="B350" s="196"/>
      <c r="C350" s="706"/>
      <c r="D350" s="695"/>
      <c r="E350" s="695"/>
      <c r="F350" s="695"/>
      <c r="G350" s="704" t="s">
        <v>2243</v>
      </c>
      <c r="H350" s="705"/>
      <c r="I350" s="705" t="s">
        <v>2895</v>
      </c>
      <c r="J350" s="695"/>
      <c r="K350" s="695"/>
      <c r="L350" s="695"/>
      <c r="M350" s="196"/>
      <c r="N350" s="148"/>
    </row>
    <row r="351" spans="1:14" ht="13.5">
      <c r="A351" s="196"/>
      <c r="B351" s="196"/>
      <c r="C351" s="706"/>
      <c r="D351" s="706"/>
      <c r="E351" s="695"/>
      <c r="F351" s="695"/>
      <c r="G351" s="704" t="s">
        <v>2985</v>
      </c>
      <c r="H351" s="626"/>
      <c r="I351" s="705" t="s">
        <v>2899</v>
      </c>
      <c r="J351" s="695"/>
      <c r="K351" s="695"/>
      <c r="L351" s="695"/>
      <c r="M351" s="196"/>
      <c r="N351" s="148"/>
    </row>
    <row r="352" spans="1:14" ht="13.5">
      <c r="A352" s="196"/>
      <c r="B352" s="196"/>
      <c r="C352" s="706"/>
      <c r="D352" s="706"/>
      <c r="E352" s="695"/>
      <c r="F352" s="695"/>
      <c r="G352" s="704" t="s">
        <v>2987</v>
      </c>
      <c r="H352" s="626"/>
      <c r="I352" s="705" t="s">
        <v>2903</v>
      </c>
      <c r="J352" s="695"/>
      <c r="K352" s="695"/>
      <c r="L352" s="695"/>
      <c r="M352" s="196"/>
      <c r="N352" s="148"/>
    </row>
    <row r="353" spans="1:14" ht="13.5">
      <c r="A353" s="196"/>
      <c r="B353" s="196"/>
      <c r="C353" s="706"/>
      <c r="D353" s="707"/>
      <c r="E353" s="695"/>
      <c r="F353" s="695"/>
      <c r="G353" s="704" t="s">
        <v>2841</v>
      </c>
      <c r="H353" s="626"/>
      <c r="I353" s="705" t="s">
        <v>2345</v>
      </c>
      <c r="J353" s="695"/>
      <c r="K353" s="695"/>
      <c r="L353" s="695"/>
      <c r="M353" s="196"/>
      <c r="N353" s="148"/>
    </row>
    <row r="354" spans="1:14" ht="25.5">
      <c r="A354" s="196"/>
      <c r="B354" s="196"/>
      <c r="C354" s="706"/>
      <c r="D354" s="707"/>
      <c r="E354" s="707"/>
      <c r="F354" s="695"/>
      <c r="G354" s="704" t="s">
        <v>2244</v>
      </c>
      <c r="H354" s="695"/>
      <c r="I354" s="705" t="s">
        <v>2346</v>
      </c>
      <c r="J354" s="695"/>
      <c r="K354" s="695"/>
      <c r="L354" s="695"/>
      <c r="M354" s="196"/>
      <c r="N354" s="148"/>
    </row>
    <row r="355" spans="1:14">
      <c r="A355" s="196"/>
      <c r="B355" s="196"/>
      <c r="C355" s="706"/>
      <c r="D355" s="695"/>
      <c r="E355" s="695"/>
      <c r="F355" s="695"/>
      <c r="G355" s="704" t="s">
        <v>3065</v>
      </c>
      <c r="H355" s="695"/>
      <c r="I355" s="705" t="s">
        <v>2627</v>
      </c>
      <c r="J355" s="695"/>
      <c r="K355" s="695"/>
      <c r="L355" s="695"/>
      <c r="M355" s="196"/>
      <c r="N355" s="148"/>
    </row>
    <row r="356" spans="1:14">
      <c r="A356" s="196"/>
      <c r="B356" s="196"/>
      <c r="C356" s="706"/>
      <c r="D356" s="695"/>
      <c r="E356" s="695"/>
      <c r="F356" s="695"/>
      <c r="G356" s="704" t="s">
        <v>2988</v>
      </c>
      <c r="H356" s="695"/>
      <c r="I356" s="708" t="s">
        <v>110</v>
      </c>
      <c r="J356" s="695"/>
      <c r="K356" s="695"/>
      <c r="L356" s="695"/>
      <c r="M356" s="196"/>
      <c r="N356" s="148"/>
    </row>
    <row r="357" spans="1:14" ht="13.5">
      <c r="A357" s="196"/>
      <c r="B357" s="196"/>
      <c r="C357" s="707"/>
      <c r="D357" s="695"/>
      <c r="E357" s="695"/>
      <c r="F357" s="695"/>
      <c r="G357" s="704" t="s">
        <v>2385</v>
      </c>
      <c r="H357" s="695"/>
      <c r="I357" s="626" t="s">
        <v>116</v>
      </c>
      <c r="J357" s="695"/>
      <c r="K357" s="695"/>
      <c r="L357" s="695"/>
      <c r="M357" s="196"/>
      <c r="N357" s="148"/>
    </row>
    <row r="358" spans="1:14" ht="13.5">
      <c r="A358" s="196"/>
      <c r="B358" s="196"/>
      <c r="C358" s="707"/>
      <c r="D358" s="695"/>
      <c r="E358" s="695"/>
      <c r="F358" s="695"/>
      <c r="G358" s="627" t="s">
        <v>2390</v>
      </c>
      <c r="H358" s="695"/>
      <c r="I358" s="626" t="s">
        <v>3156</v>
      </c>
      <c r="J358" s="695"/>
      <c r="K358" s="695"/>
      <c r="L358" s="695"/>
      <c r="M358" s="196"/>
      <c r="N358" s="148"/>
    </row>
    <row r="359" spans="1:14" ht="13.5">
      <c r="A359" s="196"/>
      <c r="B359" s="196"/>
      <c r="C359" s="695"/>
      <c r="D359" s="695"/>
      <c r="E359" s="695"/>
      <c r="F359" s="695"/>
      <c r="G359" s="627" t="s">
        <v>2393</v>
      </c>
      <c r="H359" s="695"/>
      <c r="I359" s="626" t="s">
        <v>3158</v>
      </c>
      <c r="J359" s="695"/>
      <c r="K359" s="695"/>
      <c r="L359" s="695"/>
      <c r="M359" s="196"/>
      <c r="N359" s="148"/>
    </row>
    <row r="360" spans="1:14" ht="13.5">
      <c r="A360" s="196"/>
      <c r="B360" s="196"/>
      <c r="C360" s="695"/>
      <c r="D360" s="695"/>
      <c r="E360" s="695"/>
      <c r="F360" s="695"/>
      <c r="G360" s="627" t="s">
        <v>2398</v>
      </c>
      <c r="H360" s="695"/>
      <c r="I360" s="626" t="s">
        <v>3160</v>
      </c>
      <c r="J360" s="695"/>
      <c r="K360" s="695"/>
      <c r="L360" s="695"/>
      <c r="M360" s="196"/>
      <c r="N360" s="148"/>
    </row>
    <row r="361" spans="1:14" ht="13.5">
      <c r="A361" s="196"/>
      <c r="B361" s="196"/>
      <c r="C361" s="695"/>
      <c r="D361" s="695"/>
      <c r="E361" s="695"/>
      <c r="F361" s="695"/>
      <c r="G361" s="627" t="s">
        <v>112</v>
      </c>
      <c r="H361" s="695"/>
      <c r="I361" s="695"/>
      <c r="J361" s="695"/>
      <c r="K361" s="695"/>
      <c r="L361" s="695"/>
      <c r="M361" s="196"/>
      <c r="N361" s="148"/>
    </row>
    <row r="362" spans="1:14" ht="13.5">
      <c r="A362" s="196"/>
      <c r="B362" s="196"/>
      <c r="C362" s="695"/>
      <c r="D362" s="695"/>
      <c r="E362" s="695"/>
      <c r="F362" s="695"/>
      <c r="G362" s="627" t="s">
        <v>326</v>
      </c>
      <c r="H362" s="695"/>
      <c r="I362" s="695"/>
      <c r="J362" s="695"/>
      <c r="K362" s="695"/>
      <c r="L362" s="695"/>
      <c r="M362" s="196"/>
      <c r="N362" s="148"/>
    </row>
    <row r="363" spans="1:14" ht="13.5">
      <c r="A363" s="196"/>
      <c r="B363" s="196"/>
      <c r="C363" s="695"/>
      <c r="D363" s="695"/>
      <c r="E363" s="695"/>
      <c r="F363" s="695"/>
      <c r="G363" s="627" t="s">
        <v>327</v>
      </c>
      <c r="H363" s="695"/>
      <c r="I363" s="695"/>
      <c r="J363" s="695"/>
      <c r="K363" s="695"/>
      <c r="L363" s="695"/>
      <c r="M363" s="196"/>
      <c r="N363" s="148"/>
    </row>
    <row r="364" spans="1:14" ht="13.5">
      <c r="A364" s="196"/>
      <c r="B364" s="196"/>
      <c r="C364" s="695"/>
      <c r="D364" s="695"/>
      <c r="E364" s="695"/>
      <c r="F364" s="695"/>
      <c r="G364" s="627" t="s">
        <v>2002</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 ref="I198:J198"/>
    <mergeCell ref="I199:J199"/>
    <mergeCell ref="I201:J201"/>
    <mergeCell ref="I200:J200"/>
    <mergeCell ref="I202:J202"/>
    <mergeCell ref="B209:L210"/>
    <mergeCell ref="I206:J206"/>
    <mergeCell ref="E212:H212"/>
    <mergeCell ref="I214:J214"/>
    <mergeCell ref="E213:P213"/>
    <mergeCell ref="I203:J203"/>
    <mergeCell ref="I204:J204"/>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s>
  <phoneticPr fontId="6"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activeCell="A6" sqref="A6:A24"/>
    </sheetView>
  </sheetViews>
  <sheetFormatPr defaultRowHeight="12.75"/>
  <cols>
    <col min="1" max="1" width="88.42578125" style="31" customWidth="1"/>
    <col min="2" max="16384" width="9.140625" style="31"/>
  </cols>
  <sheetData>
    <row r="1" spans="1:6" ht="15.75">
      <c r="A1" s="1300" t="s">
        <v>3746</v>
      </c>
    </row>
    <row r="2" spans="1:6" ht="16.5">
      <c r="A2" s="1301" t="str">
        <f>'Part I-Project Information'!F23</f>
        <v>Country Grove Apartments</v>
      </c>
    </row>
    <row r="3" spans="1:6" ht="16.5">
      <c r="A3" s="1301" t="str">
        <f>CONCATENATE('Part I-Project Information'!F26,", ", 'Part I-Project Information'!J27," County")</f>
        <v>Monroe, Walton County</v>
      </c>
    </row>
    <row r="4" spans="1:6" ht="16.5">
      <c r="A4" s="1791" t="str">
        <f>IF('Part IX A-Scoring Criteria'!$O$221="Yes",'Part IX A-Scoring Criteria'!B221,IF('Part IX A-Scoring Criteria'!O223="Yes",'Part IX A-Scoring Criteria'!B223,""))</f>
        <v/>
      </c>
    </row>
    <row r="5" spans="1:6" ht="6.75" customHeight="1"/>
    <row r="6" spans="1:6" ht="113.25" customHeight="1">
      <c r="A6" s="1302" t="s">
        <v>4186</v>
      </c>
      <c r="B6" s="1170" t="s">
        <v>3591</v>
      </c>
      <c r="C6" s="826"/>
      <c r="D6" s="826"/>
      <c r="E6" s="826"/>
      <c r="F6" s="826"/>
    </row>
    <row r="7" spans="1:6" ht="6.6" customHeight="1">
      <c r="A7" s="1302"/>
      <c r="B7" s="1170"/>
      <c r="C7" s="826"/>
      <c r="D7" s="826"/>
      <c r="E7" s="826"/>
      <c r="F7" s="826"/>
    </row>
    <row r="8" spans="1:6" ht="134.25" customHeight="1">
      <c r="A8" s="1302"/>
      <c r="C8" s="1792"/>
    </row>
    <row r="9" spans="1:6" ht="6.6" customHeight="1">
      <c r="A9" s="1302"/>
    </row>
    <row r="10" spans="1:6" ht="111" customHeight="1">
      <c r="A10" s="1302"/>
    </row>
    <row r="11" spans="1:6" ht="6.6" customHeight="1">
      <c r="A11" s="1302"/>
    </row>
    <row r="12" spans="1:6" ht="111" customHeight="1">
      <c r="A12" s="1302"/>
    </row>
    <row r="13" spans="1:6" ht="6.6" customHeight="1">
      <c r="A13" s="1302"/>
    </row>
    <row r="14" spans="1:6" ht="111" customHeight="1">
      <c r="A14" s="1302"/>
    </row>
    <row r="15" spans="1:6" ht="6.6" customHeight="1">
      <c r="A15" s="1302"/>
    </row>
    <row r="16" spans="1:6" ht="111" customHeight="1">
      <c r="A16" s="1302"/>
    </row>
    <row r="17" spans="1:1" ht="6.6" customHeight="1">
      <c r="A17" s="1302"/>
    </row>
    <row r="18" spans="1:1" ht="111" customHeight="1">
      <c r="A18" s="1302"/>
    </row>
    <row r="19" spans="1:1" ht="6.6" customHeight="1">
      <c r="A19" s="1302"/>
    </row>
    <row r="20" spans="1:1" ht="105.75" customHeight="1">
      <c r="A20" s="1302"/>
    </row>
    <row r="21" spans="1:1" ht="6.6" customHeight="1">
      <c r="A21" s="1302"/>
    </row>
    <row r="22" spans="1:1" ht="105.75" customHeight="1">
      <c r="A22" s="1302"/>
    </row>
    <row r="23" spans="1:1" ht="6.6" customHeight="1">
      <c r="A23" s="1302"/>
    </row>
    <row r="24" spans="1:1" ht="105.75" customHeight="1">
      <c r="A24" s="1302"/>
    </row>
    <row r="25" spans="1:1" ht="6.6" customHeight="1">
      <c r="A25" s="1793"/>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topLeftCell="A26" workbookViewId="0"/>
  </sheetViews>
  <sheetFormatPr defaultColWidth="8.85546875" defaultRowHeight="15.75"/>
  <cols>
    <col min="1" max="1" width="2.28515625" style="752" customWidth="1"/>
    <col min="2" max="12" width="7.28515625" style="752" customWidth="1"/>
    <col min="13" max="13" width="8.7109375" style="752" customWidth="1"/>
    <col min="14" max="15" width="5.85546875" style="752" customWidth="1"/>
    <col min="16" max="16384" width="8.85546875" style="752"/>
  </cols>
  <sheetData>
    <row r="1" spans="1:26" ht="19.5">
      <c r="N1" s="753" t="s">
        <v>1949</v>
      </c>
      <c r="O1" s="753"/>
      <c r="P1" s="753"/>
      <c r="Q1" s="753"/>
      <c r="R1" s="753"/>
      <c r="S1" s="753"/>
      <c r="T1" s="753"/>
      <c r="U1" s="753"/>
      <c r="V1" s="753"/>
      <c r="W1" s="753"/>
      <c r="X1" s="753"/>
      <c r="Y1" s="753"/>
      <c r="Z1" s="753"/>
    </row>
    <row r="3" spans="1:26">
      <c r="N3" s="754" t="s">
        <v>1950</v>
      </c>
      <c r="O3" s="754"/>
      <c r="P3" s="754"/>
      <c r="Q3" s="754"/>
      <c r="R3" s="754"/>
      <c r="S3" s="754"/>
      <c r="T3" s="754"/>
      <c r="U3" s="754"/>
      <c r="V3" s="754"/>
      <c r="W3" s="754"/>
      <c r="X3" s="754"/>
      <c r="Y3" s="754"/>
      <c r="Z3" s="754"/>
    </row>
    <row r="4" spans="1:26">
      <c r="N4" s="755" t="s">
        <v>1951</v>
      </c>
      <c r="O4" s="755"/>
      <c r="P4" s="755"/>
      <c r="Q4" s="755"/>
      <c r="R4" s="755"/>
      <c r="S4" s="755"/>
      <c r="T4" s="755"/>
      <c r="U4" s="755"/>
      <c r="V4" s="755"/>
      <c r="W4" s="755"/>
      <c r="X4" s="755"/>
      <c r="Y4" s="755"/>
      <c r="Z4" s="755"/>
    </row>
    <row r="6" spans="1:26">
      <c r="B6" s="756"/>
      <c r="C6" s="756"/>
      <c r="D6" s="756"/>
      <c r="E6" s="756"/>
      <c r="F6" s="756"/>
      <c r="G6" s="756"/>
      <c r="H6" s="756"/>
      <c r="I6" s="756"/>
      <c r="J6" s="756"/>
      <c r="K6" s="756"/>
      <c r="L6" s="756"/>
      <c r="M6" s="756"/>
      <c r="N6" s="757" t="s">
        <v>890</v>
      </c>
    </row>
    <row r="7" spans="1:26" ht="57" customHeight="1">
      <c r="A7" s="1172" t="s">
        <v>3914</v>
      </c>
      <c r="B7" s="1172"/>
      <c r="C7" s="1172"/>
      <c r="D7" s="1172"/>
      <c r="E7" s="1172"/>
      <c r="F7" s="1172"/>
      <c r="G7" s="1172"/>
      <c r="H7" s="1172"/>
      <c r="I7" s="1172"/>
      <c r="J7" s="1172"/>
      <c r="K7" s="1172"/>
      <c r="L7" s="1172"/>
      <c r="M7" s="1172"/>
    </row>
    <row r="8" spans="1:26" ht="11.45" customHeight="1">
      <c r="A8" s="756"/>
      <c r="B8" s="756"/>
      <c r="C8" s="756"/>
      <c r="D8" s="756"/>
      <c r="E8" s="756"/>
      <c r="F8" s="756"/>
      <c r="G8" s="756"/>
      <c r="H8" s="756"/>
      <c r="I8" s="756"/>
      <c r="J8" s="756"/>
      <c r="K8" s="756"/>
      <c r="L8" s="756"/>
      <c r="M8" s="756"/>
    </row>
    <row r="9" spans="1:26">
      <c r="A9" s="756" t="s">
        <v>895</v>
      </c>
      <c r="B9" s="756"/>
      <c r="C9" s="756"/>
      <c r="D9" s="756"/>
      <c r="E9" s="756"/>
      <c r="F9" s="756"/>
      <c r="G9" s="756"/>
      <c r="H9" s="756"/>
      <c r="I9" s="756"/>
      <c r="J9" s="756"/>
      <c r="K9" s="756"/>
      <c r="L9" s="756"/>
      <c r="M9" s="756"/>
    </row>
    <row r="10" spans="1:26" ht="11.45" customHeight="1">
      <c r="A10" s="756"/>
      <c r="B10" s="756"/>
      <c r="C10" s="756"/>
      <c r="D10" s="756"/>
      <c r="E10" s="756"/>
      <c r="F10" s="756"/>
      <c r="G10" s="756"/>
      <c r="H10" s="756"/>
      <c r="I10" s="756"/>
      <c r="J10" s="756"/>
      <c r="K10" s="756"/>
      <c r="L10" s="756"/>
      <c r="M10" s="756"/>
    </row>
    <row r="11" spans="1:26">
      <c r="A11" s="1173" t="s">
        <v>2613</v>
      </c>
      <c r="B11" s="1173"/>
      <c r="C11" s="1173"/>
      <c r="D11" s="1173"/>
      <c r="E11" s="1173"/>
      <c r="F11" s="1173"/>
      <c r="G11" s="1173"/>
      <c r="H11" s="1173"/>
      <c r="I11" s="1173"/>
      <c r="J11" s="1173"/>
      <c r="K11" s="1173"/>
      <c r="L11" s="1173"/>
      <c r="M11" s="1173"/>
    </row>
    <row r="12" spans="1:26" ht="6.75" customHeight="1">
      <c r="A12" s="1173"/>
      <c r="B12" s="1173"/>
      <c r="C12" s="1173"/>
      <c r="D12" s="1173"/>
      <c r="E12" s="1173"/>
      <c r="F12" s="1173"/>
      <c r="G12" s="1173"/>
      <c r="H12" s="1173"/>
      <c r="I12" s="1173"/>
      <c r="J12" s="1173"/>
      <c r="K12" s="1173"/>
      <c r="L12" s="1173"/>
      <c r="M12" s="1173"/>
    </row>
    <row r="13" spans="1:26" ht="44.25" customHeight="1">
      <c r="A13" s="1174" t="s">
        <v>3915</v>
      </c>
      <c r="B13" s="1174"/>
      <c r="C13" s="1174"/>
      <c r="D13" s="1174"/>
      <c r="E13" s="1174"/>
      <c r="F13" s="1174"/>
      <c r="G13" s="1174"/>
      <c r="H13" s="1174"/>
      <c r="I13" s="1174"/>
      <c r="J13" s="1174"/>
      <c r="K13" s="1174"/>
      <c r="L13" s="1174"/>
      <c r="M13" s="1174"/>
    </row>
    <row r="14" spans="1:26" ht="3" customHeight="1">
      <c r="A14" s="1173"/>
      <c r="B14" s="1173"/>
      <c r="C14" s="1173"/>
      <c r="D14" s="1173"/>
      <c r="E14" s="1173"/>
      <c r="F14" s="1173"/>
      <c r="G14" s="1173"/>
      <c r="H14" s="1173"/>
      <c r="I14" s="1173"/>
      <c r="J14" s="1173"/>
      <c r="K14" s="1173"/>
      <c r="L14" s="1173"/>
      <c r="M14" s="1173"/>
    </row>
    <row r="15" spans="1:26" ht="87.75" customHeight="1">
      <c r="A15" s="758" t="s">
        <v>2429</v>
      </c>
      <c r="B15" s="1171" t="s">
        <v>3916</v>
      </c>
      <c r="C15" s="1171"/>
      <c r="D15" s="1171"/>
      <c r="E15" s="1171"/>
      <c r="F15" s="1171"/>
      <c r="G15" s="1171"/>
      <c r="H15" s="1171"/>
      <c r="I15" s="1171"/>
      <c r="J15" s="1171"/>
      <c r="K15" s="1171"/>
      <c r="L15" s="1171"/>
      <c r="M15" s="1171"/>
    </row>
    <row r="16" spans="1:26" ht="3" customHeight="1">
      <c r="A16" s="1173"/>
      <c r="B16" s="1173"/>
      <c r="C16" s="1173"/>
      <c r="D16" s="1173"/>
      <c r="E16" s="1173"/>
      <c r="F16" s="1173"/>
      <c r="G16" s="1173"/>
      <c r="H16" s="1173"/>
      <c r="I16" s="1173"/>
      <c r="J16" s="1173"/>
      <c r="K16" s="1173"/>
      <c r="L16" s="1173"/>
      <c r="M16" s="1173"/>
    </row>
    <row r="17" spans="1:13" ht="58.5" customHeight="1">
      <c r="A17" s="758" t="s">
        <v>2430</v>
      </c>
      <c r="B17" s="1171" t="s">
        <v>3917</v>
      </c>
      <c r="C17" s="1171"/>
      <c r="D17" s="1171"/>
      <c r="E17" s="1171"/>
      <c r="F17" s="1171"/>
      <c r="G17" s="1171"/>
      <c r="H17" s="1171"/>
      <c r="I17" s="1171"/>
      <c r="J17" s="1171"/>
      <c r="K17" s="1171"/>
      <c r="L17" s="1171"/>
      <c r="M17" s="1171"/>
    </row>
    <row r="18" spans="1:13" ht="3" customHeight="1">
      <c r="A18" s="1173"/>
      <c r="B18" s="1173"/>
      <c r="C18" s="1173"/>
      <c r="D18" s="1173"/>
      <c r="E18" s="1173"/>
      <c r="F18" s="1173"/>
      <c r="G18" s="1173"/>
      <c r="H18" s="1173"/>
      <c r="I18" s="1173"/>
      <c r="J18" s="1173"/>
      <c r="K18" s="1173"/>
      <c r="L18" s="1173"/>
      <c r="M18" s="1173"/>
    </row>
    <row r="19" spans="1:13" ht="115.5" customHeight="1">
      <c r="A19" s="758" t="s">
        <v>2431</v>
      </c>
      <c r="B19" s="1171" t="s">
        <v>823</v>
      </c>
      <c r="C19" s="1171"/>
      <c r="D19" s="1171"/>
      <c r="E19" s="1171"/>
      <c r="F19" s="1171"/>
      <c r="G19" s="1171"/>
      <c r="H19" s="1171"/>
      <c r="I19" s="1171"/>
      <c r="J19" s="1171"/>
      <c r="K19" s="1171"/>
      <c r="L19" s="1171"/>
      <c r="M19" s="1171"/>
    </row>
    <row r="20" spans="1:13" ht="3" customHeight="1">
      <c r="A20" s="1173"/>
      <c r="B20" s="1173"/>
      <c r="C20" s="1173"/>
      <c r="D20" s="1173"/>
      <c r="E20" s="1173"/>
      <c r="F20" s="1173"/>
      <c r="G20" s="1173"/>
      <c r="H20" s="1173"/>
      <c r="I20" s="1173"/>
      <c r="J20" s="1173"/>
      <c r="K20" s="1173"/>
      <c r="L20" s="1173"/>
      <c r="M20" s="1173"/>
    </row>
    <row r="21" spans="1:13" ht="115.5" customHeight="1">
      <c r="A21" s="758" t="s">
        <v>3119</v>
      </c>
      <c r="B21" s="1171" t="s">
        <v>3918</v>
      </c>
      <c r="C21" s="1171"/>
      <c r="D21" s="1171"/>
      <c r="E21" s="1171"/>
      <c r="F21" s="1171"/>
      <c r="G21" s="1171"/>
      <c r="H21" s="1171"/>
      <c r="I21" s="1171"/>
      <c r="J21" s="1171"/>
      <c r="K21" s="1171"/>
      <c r="L21" s="1171"/>
      <c r="M21" s="1171"/>
    </row>
    <row r="22" spans="1:13" ht="3" customHeight="1">
      <c r="A22" s="1173"/>
      <c r="B22" s="1173"/>
      <c r="C22" s="1173"/>
      <c r="D22" s="1173"/>
      <c r="E22" s="1173"/>
      <c r="F22" s="1173"/>
      <c r="G22" s="1173"/>
      <c r="H22" s="1173"/>
      <c r="I22" s="1173"/>
      <c r="J22" s="1173"/>
      <c r="K22" s="1173"/>
      <c r="L22" s="1173"/>
      <c r="M22" s="1173"/>
    </row>
    <row r="23" spans="1:13" ht="44.25" customHeight="1">
      <c r="A23" s="758" t="s">
        <v>2008</v>
      </c>
      <c r="B23" s="1171" t="s">
        <v>868</v>
      </c>
      <c r="C23" s="1171"/>
      <c r="D23" s="1171"/>
      <c r="E23" s="1171"/>
      <c r="F23" s="1171"/>
      <c r="G23" s="1171"/>
      <c r="H23" s="1171"/>
      <c r="I23" s="1171"/>
      <c r="J23" s="1171"/>
      <c r="K23" s="1171"/>
      <c r="L23" s="1171"/>
      <c r="M23" s="1171"/>
    </row>
    <row r="24" spans="1:13" ht="144.75" customHeight="1">
      <c r="A24" s="758" t="s">
        <v>2009</v>
      </c>
      <c r="B24" s="1171" t="s">
        <v>3919</v>
      </c>
      <c r="C24" s="1171"/>
      <c r="D24" s="1171"/>
      <c r="E24" s="1171"/>
      <c r="F24" s="1171"/>
      <c r="G24" s="1171"/>
      <c r="H24" s="1171"/>
      <c r="I24" s="1171"/>
      <c r="J24" s="1171"/>
      <c r="K24" s="1171"/>
      <c r="L24" s="1171"/>
      <c r="M24" s="1171"/>
    </row>
    <row r="25" spans="1:13" ht="3" customHeight="1">
      <c r="A25" s="1173"/>
      <c r="B25" s="1173"/>
      <c r="C25" s="1173"/>
      <c r="D25" s="1173"/>
      <c r="E25" s="1173"/>
      <c r="F25" s="1173"/>
      <c r="G25" s="1173"/>
      <c r="H25" s="1173"/>
      <c r="I25" s="1173"/>
      <c r="J25" s="1173"/>
      <c r="K25" s="1173"/>
      <c r="L25" s="1173"/>
      <c r="M25" s="1173"/>
    </row>
    <row r="26" spans="1:13" ht="44.25" customHeight="1">
      <c r="A26" s="758" t="s">
        <v>104</v>
      </c>
      <c r="B26" s="1171" t="s">
        <v>3920</v>
      </c>
      <c r="C26" s="1171"/>
      <c r="D26" s="1171"/>
      <c r="E26" s="1171"/>
      <c r="F26" s="1171"/>
      <c r="G26" s="1171"/>
      <c r="H26" s="1171"/>
      <c r="I26" s="1171"/>
      <c r="J26" s="1171"/>
      <c r="K26" s="1171"/>
      <c r="L26" s="1171"/>
      <c r="M26" s="1171"/>
    </row>
    <row r="27" spans="1:13" ht="3" customHeight="1">
      <c r="A27" s="1173"/>
      <c r="B27" s="1173"/>
      <c r="C27" s="1173"/>
      <c r="D27" s="1173"/>
      <c r="E27" s="1173"/>
      <c r="F27" s="1173"/>
      <c r="G27" s="1173"/>
      <c r="H27" s="1173"/>
      <c r="I27" s="1173"/>
      <c r="J27" s="1173"/>
      <c r="K27" s="1173"/>
      <c r="L27" s="1173"/>
      <c r="M27" s="1173"/>
    </row>
    <row r="28" spans="1:13" ht="15" customHeight="1">
      <c r="A28" s="758" t="s">
        <v>677</v>
      </c>
      <c r="B28" s="1171" t="s">
        <v>1910</v>
      </c>
      <c r="C28" s="1171"/>
      <c r="D28" s="1171"/>
      <c r="E28" s="1171"/>
      <c r="F28" s="1171"/>
      <c r="G28" s="1171"/>
      <c r="H28" s="1171"/>
      <c r="I28" s="1171"/>
      <c r="J28" s="1171"/>
      <c r="K28" s="1171"/>
      <c r="L28" s="1171"/>
      <c r="M28" s="1171"/>
    </row>
    <row r="29" spans="1:13" ht="4.5" customHeight="1">
      <c r="A29" s="1173"/>
      <c r="B29" s="1173"/>
      <c r="C29" s="1173"/>
      <c r="D29" s="1173"/>
      <c r="E29" s="1173"/>
      <c r="F29" s="1173"/>
      <c r="G29" s="1173"/>
      <c r="H29" s="1173"/>
      <c r="I29" s="1173"/>
      <c r="J29" s="1173"/>
      <c r="K29" s="1173"/>
      <c r="L29" s="1173"/>
      <c r="M29" s="1173"/>
    </row>
    <row r="30" spans="1:13" ht="15" customHeight="1">
      <c r="A30" s="1173" t="s">
        <v>1911</v>
      </c>
      <c r="B30" s="1173"/>
      <c r="C30" s="1173"/>
      <c r="D30" s="1173"/>
      <c r="E30" s="1173"/>
      <c r="F30" s="1173"/>
      <c r="G30" s="1173"/>
      <c r="H30" s="1173"/>
      <c r="I30" s="1173"/>
      <c r="J30" s="1173"/>
      <c r="K30" s="1173"/>
      <c r="L30" s="1173"/>
      <c r="M30" s="1173"/>
    </row>
    <row r="31" spans="1:13" ht="3" customHeight="1">
      <c r="A31" s="1173"/>
      <c r="B31" s="1173"/>
      <c r="C31" s="1173"/>
      <c r="D31" s="1173"/>
      <c r="E31" s="1173"/>
      <c r="F31" s="1173"/>
      <c r="G31" s="1173"/>
      <c r="H31" s="1173"/>
      <c r="I31" s="1173"/>
      <c r="J31" s="1173"/>
      <c r="K31" s="1173"/>
      <c r="L31" s="1173"/>
      <c r="M31" s="1173"/>
    </row>
    <row r="32" spans="1:13" ht="28.5" customHeight="1">
      <c r="A32" s="759" t="s">
        <v>1912</v>
      </c>
      <c r="B32" s="1171" t="s">
        <v>3921</v>
      </c>
      <c r="C32" s="1171"/>
      <c r="D32" s="1171"/>
      <c r="E32" s="1171"/>
      <c r="F32" s="1171"/>
      <c r="G32" s="1171"/>
      <c r="H32" s="1171"/>
      <c r="I32" s="1171"/>
      <c r="J32" s="1171"/>
      <c r="K32" s="1171"/>
      <c r="L32" s="1171"/>
      <c r="M32" s="1171"/>
    </row>
    <row r="33" spans="1:13" ht="3" customHeight="1">
      <c r="A33" s="1173"/>
      <c r="B33" s="1173"/>
      <c r="C33" s="1173"/>
      <c r="D33" s="1173"/>
      <c r="E33" s="1173"/>
      <c r="F33" s="1173"/>
      <c r="G33" s="1173"/>
      <c r="H33" s="1173"/>
      <c r="I33" s="1173"/>
      <c r="J33" s="1173"/>
      <c r="K33" s="1173"/>
      <c r="L33" s="1173"/>
      <c r="M33" s="1173"/>
    </row>
    <row r="34" spans="1:13" ht="43.5" customHeight="1">
      <c r="A34" s="759" t="s">
        <v>1912</v>
      </c>
      <c r="B34" s="1171" t="s">
        <v>3922</v>
      </c>
      <c r="C34" s="1171"/>
      <c r="D34" s="1171"/>
      <c r="E34" s="1171"/>
      <c r="F34" s="1171"/>
      <c r="G34" s="1171"/>
      <c r="H34" s="1171"/>
      <c r="I34" s="1171"/>
      <c r="J34" s="1171"/>
      <c r="K34" s="1171"/>
      <c r="L34" s="1171"/>
      <c r="M34" s="1171"/>
    </row>
    <row r="35" spans="1:13" ht="3" customHeight="1">
      <c r="A35" s="1173"/>
      <c r="B35" s="1173"/>
      <c r="C35" s="1173"/>
      <c r="D35" s="1173"/>
      <c r="E35" s="1173"/>
      <c r="F35" s="1173"/>
      <c r="G35" s="1173"/>
      <c r="H35" s="1173"/>
      <c r="I35" s="1173"/>
      <c r="J35" s="1173"/>
      <c r="K35" s="1173"/>
      <c r="L35" s="1173"/>
      <c r="M35" s="1173"/>
    </row>
    <row r="36" spans="1:13" ht="72.75" customHeight="1">
      <c r="A36" s="759" t="s">
        <v>1912</v>
      </c>
      <c r="B36" s="1171" t="s">
        <v>3923</v>
      </c>
      <c r="C36" s="1171"/>
      <c r="D36" s="1171"/>
      <c r="E36" s="1171"/>
      <c r="F36" s="1171"/>
      <c r="G36" s="1171"/>
      <c r="H36" s="1171"/>
      <c r="I36" s="1171"/>
      <c r="J36" s="1171"/>
      <c r="K36" s="1171"/>
      <c r="L36" s="1171"/>
      <c r="M36" s="1171"/>
    </row>
    <row r="37" spans="1:13" ht="9" customHeight="1">
      <c r="A37" s="1173"/>
      <c r="B37" s="1173"/>
      <c r="C37" s="1173"/>
      <c r="D37" s="1173"/>
      <c r="E37" s="1173"/>
      <c r="F37" s="1173"/>
      <c r="G37" s="1173"/>
      <c r="H37" s="1173"/>
      <c r="I37" s="1173"/>
      <c r="J37" s="1173"/>
      <c r="K37" s="1173"/>
      <c r="L37" s="1173"/>
      <c r="M37" s="1173"/>
    </row>
    <row r="38" spans="1:13" ht="29.25" customHeight="1">
      <c r="A38" s="1171" t="s">
        <v>1341</v>
      </c>
      <c r="B38" s="1171"/>
      <c r="C38" s="1171"/>
      <c r="D38" s="1171"/>
      <c r="E38" s="1171"/>
      <c r="F38" s="1171"/>
      <c r="G38" s="1171"/>
      <c r="H38" s="1171"/>
      <c r="I38" s="1171"/>
      <c r="J38" s="1171"/>
      <c r="K38" s="1171"/>
      <c r="L38" s="1171"/>
      <c r="M38" s="1171"/>
    </row>
    <row r="39" spans="1:13" ht="3" customHeight="1">
      <c r="A39" s="1173"/>
      <c r="B39" s="1173"/>
      <c r="C39" s="1173"/>
      <c r="D39" s="1173"/>
      <c r="E39" s="1173"/>
      <c r="F39" s="1173"/>
      <c r="G39" s="1173"/>
      <c r="H39" s="1173"/>
      <c r="I39" s="1173"/>
      <c r="J39" s="1173"/>
      <c r="K39" s="1173"/>
      <c r="L39" s="1173"/>
      <c r="M39" s="1173"/>
    </row>
    <row r="40" spans="1:13" ht="29.25" customHeight="1">
      <c r="A40" s="1171" t="s">
        <v>3924</v>
      </c>
      <c r="B40" s="1171"/>
      <c r="C40" s="1171"/>
      <c r="D40" s="1171"/>
      <c r="E40" s="1171"/>
      <c r="F40" s="1171"/>
      <c r="G40" s="1171"/>
      <c r="H40" s="1171"/>
      <c r="I40" s="1171"/>
      <c r="J40" s="1171"/>
      <c r="K40" s="1171"/>
      <c r="L40" s="1171"/>
      <c r="M40" s="1171"/>
    </row>
    <row r="41" spans="1:13" ht="3" customHeight="1">
      <c r="A41" s="1173"/>
      <c r="B41" s="1173"/>
      <c r="C41" s="1173"/>
      <c r="D41" s="1173"/>
      <c r="E41" s="1173"/>
      <c r="F41" s="1173"/>
      <c r="G41" s="1173"/>
      <c r="H41" s="1173"/>
      <c r="I41" s="1173"/>
      <c r="J41" s="1173"/>
      <c r="K41" s="1173"/>
      <c r="L41" s="1173"/>
      <c r="M41" s="1173"/>
    </row>
    <row r="42" spans="1:13">
      <c r="A42" s="1173" t="s">
        <v>1317</v>
      </c>
      <c r="B42" s="1173"/>
      <c r="C42" s="1173"/>
      <c r="D42" s="1173"/>
      <c r="E42" s="1173"/>
      <c r="F42" s="1173"/>
      <c r="G42" s="1173"/>
      <c r="H42" s="1173"/>
      <c r="I42" s="1173"/>
      <c r="J42" s="1173"/>
      <c r="K42" s="1173"/>
      <c r="L42" s="1173"/>
      <c r="M42" s="1173"/>
    </row>
    <row r="43" spans="1:13">
      <c r="A43" s="760"/>
      <c r="B43" s="760"/>
      <c r="C43" s="760"/>
      <c r="D43" s="760"/>
      <c r="E43" s="760"/>
      <c r="F43" s="760"/>
      <c r="G43" s="760"/>
      <c r="H43" s="760"/>
      <c r="I43" s="760"/>
      <c r="J43" s="760"/>
      <c r="K43" s="760"/>
      <c r="L43" s="760"/>
      <c r="M43" s="760"/>
    </row>
    <row r="44" spans="1:13">
      <c r="A44" s="1176"/>
      <c r="B44" s="1176"/>
      <c r="C44" s="1176"/>
      <c r="D44" s="1176"/>
      <c r="E44" s="1176"/>
      <c r="F44" s="1176"/>
      <c r="G44" s="761"/>
      <c r="H44" s="1176"/>
      <c r="I44" s="1176"/>
      <c r="J44" s="1176"/>
      <c r="K44" s="1176"/>
      <c r="L44" s="1176"/>
      <c r="M44" s="1176"/>
    </row>
    <row r="45" spans="1:13" ht="12" customHeight="1">
      <c r="A45" s="1177" t="s">
        <v>1318</v>
      </c>
      <c r="B45" s="1177"/>
      <c r="C45" s="1177"/>
      <c r="D45" s="1177"/>
      <c r="E45" s="1177"/>
      <c r="F45" s="1177"/>
      <c r="G45" s="761"/>
      <c r="H45" s="1177" t="s">
        <v>2690</v>
      </c>
      <c r="I45" s="1177"/>
      <c r="J45" s="1177"/>
      <c r="K45" s="1177"/>
      <c r="L45" s="1177"/>
      <c r="M45" s="1177"/>
    </row>
    <row r="46" spans="1:13">
      <c r="A46" s="761"/>
      <c r="B46" s="761"/>
      <c r="C46" s="761"/>
      <c r="D46" s="761"/>
      <c r="E46" s="761"/>
      <c r="F46" s="761"/>
      <c r="G46" s="761"/>
      <c r="H46" s="761"/>
      <c r="I46" s="761"/>
      <c r="J46" s="761"/>
      <c r="K46" s="761"/>
      <c r="L46" s="761"/>
      <c r="M46" s="761"/>
    </row>
    <row r="47" spans="1:13">
      <c r="A47" s="1178"/>
      <c r="B47" s="1178"/>
      <c r="C47" s="1178"/>
      <c r="D47" s="1178"/>
      <c r="E47" s="1178"/>
      <c r="F47" s="1178"/>
      <c r="G47" s="761"/>
      <c r="H47" s="1179"/>
      <c r="I47" s="1179"/>
      <c r="J47" s="1179"/>
      <c r="K47" s="1179"/>
      <c r="L47" s="1179"/>
      <c r="M47" s="1179"/>
    </row>
    <row r="48" spans="1:13" ht="12" customHeight="1">
      <c r="A48" s="1177" t="s">
        <v>1319</v>
      </c>
      <c r="B48" s="1177"/>
      <c r="C48" s="1177"/>
      <c r="D48" s="1177"/>
      <c r="E48" s="1177"/>
      <c r="F48" s="1177"/>
      <c r="G48" s="761"/>
      <c r="H48" s="1177" t="s">
        <v>1320</v>
      </c>
      <c r="I48" s="1177"/>
      <c r="J48" s="1177"/>
      <c r="K48" s="1177"/>
      <c r="L48" s="1177"/>
      <c r="M48" s="1177"/>
    </row>
    <row r="49" spans="1:13" ht="11.45" customHeight="1">
      <c r="A49" s="1173"/>
      <c r="B49" s="1173"/>
      <c r="C49" s="1173"/>
      <c r="D49" s="1173"/>
      <c r="E49" s="1173"/>
      <c r="F49" s="1173"/>
      <c r="G49" s="1173"/>
      <c r="H49" s="1173"/>
      <c r="I49" s="1173"/>
      <c r="J49" s="1173"/>
      <c r="K49" s="1173"/>
      <c r="L49" s="1173"/>
      <c r="M49" s="1173"/>
    </row>
    <row r="50" spans="1:13" ht="11.45" customHeight="1">
      <c r="A50" s="756"/>
      <c r="B50" s="756"/>
      <c r="C50" s="756"/>
      <c r="D50" s="756"/>
      <c r="E50" s="756"/>
      <c r="F50" s="756"/>
      <c r="G50" s="756"/>
      <c r="H50" s="1175" t="s">
        <v>1321</v>
      </c>
      <c r="I50" s="1175"/>
      <c r="J50" s="1175"/>
      <c r="K50" s="1175"/>
      <c r="L50" s="1175"/>
      <c r="M50" s="1175"/>
    </row>
    <row r="51" spans="1:13" ht="11.45" customHeight="1">
      <c r="A51" s="756"/>
      <c r="B51" s="756"/>
      <c r="C51" s="756"/>
      <c r="D51" s="756"/>
      <c r="E51" s="756"/>
      <c r="F51" s="756"/>
      <c r="G51" s="756"/>
    </row>
    <row r="52" spans="1:13" ht="11.45" customHeight="1">
      <c r="A52" s="756"/>
      <c r="B52" s="756"/>
      <c r="C52" s="756"/>
      <c r="D52" s="756"/>
      <c r="E52" s="756"/>
      <c r="F52" s="756"/>
      <c r="G52" s="756"/>
      <c r="H52" s="756"/>
      <c r="I52" s="756"/>
      <c r="J52" s="756"/>
      <c r="K52" s="756"/>
      <c r="L52" s="756"/>
      <c r="M52" s="756"/>
    </row>
    <row r="53" spans="1:13" ht="11.45" customHeight="1">
      <c r="A53" s="756"/>
      <c r="B53" s="756"/>
      <c r="C53" s="756"/>
      <c r="D53" s="756"/>
      <c r="E53" s="756"/>
      <c r="F53" s="756"/>
      <c r="G53" s="756"/>
      <c r="H53" s="756"/>
      <c r="I53" s="756"/>
      <c r="J53" s="756"/>
      <c r="K53" s="756"/>
      <c r="L53" s="756"/>
      <c r="M53" s="756"/>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topLeftCell="A9" zoomScale="120" zoomScaleNormal="120" workbookViewId="0">
      <selection activeCell="Q18" sqref="Q1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15" customHeight="1">
      <c r="A2" s="1183" t="s">
        <v>913</v>
      </c>
      <c r="B2" s="1184"/>
      <c r="C2" s="1184"/>
      <c r="D2" s="1184"/>
      <c r="E2" s="1184"/>
      <c r="F2" s="1184"/>
      <c r="G2" s="1184"/>
      <c r="H2" s="1184"/>
      <c r="I2" s="1184"/>
      <c r="J2" s="1184"/>
      <c r="K2" s="1184"/>
      <c r="L2" s="1184"/>
      <c r="M2" s="1184"/>
      <c r="N2" s="1184"/>
      <c r="O2" s="1184"/>
      <c r="P2" s="1184"/>
      <c r="Q2" s="1184"/>
      <c r="R2" s="1185"/>
      <c r="S2" s="216"/>
      <c r="T2" s="216"/>
      <c r="U2" s="216"/>
    </row>
    <row r="3" spans="1:26" s="353"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2418</v>
      </c>
      <c r="B4" s="354"/>
      <c r="C4" s="354"/>
      <c r="D4" s="216"/>
      <c r="E4" s="216"/>
      <c r="F4" s="354" t="s">
        <v>2419</v>
      </c>
      <c r="G4" s="354"/>
      <c r="H4" s="216"/>
      <c r="I4" s="216"/>
      <c r="J4" s="354" t="s">
        <v>2420</v>
      </c>
      <c r="K4" s="354"/>
      <c r="L4" s="354"/>
      <c r="M4" s="354"/>
      <c r="N4" s="354"/>
      <c r="O4" s="354"/>
      <c r="P4" s="216"/>
      <c r="Q4" s="355" t="s">
        <v>2421</v>
      </c>
      <c r="R4" s="356" t="s">
        <v>2422</v>
      </c>
      <c r="S4" s="216"/>
      <c r="T4" s="216"/>
      <c r="U4" s="216"/>
      <c r="W4" s="357"/>
      <c r="X4" s="357"/>
      <c r="Y4" s="357"/>
      <c r="Z4" s="357"/>
    </row>
    <row r="5" spans="1:26" s="353" customFormat="1" ht="4.1500000000000004"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2423</v>
      </c>
      <c r="B6" s="218"/>
      <c r="C6" s="218"/>
      <c r="D6" s="216"/>
      <c r="E6" s="216"/>
      <c r="F6" s="218" t="s">
        <v>673</v>
      </c>
      <c r="G6" s="218"/>
      <c r="H6" s="216"/>
      <c r="I6" s="216"/>
      <c r="J6" s="218" t="s">
        <v>2424</v>
      </c>
      <c r="K6" s="218"/>
      <c r="L6" s="218"/>
      <c r="M6" s="218"/>
      <c r="N6" s="218"/>
      <c r="O6" s="218"/>
      <c r="P6" s="216"/>
      <c r="Q6" s="359" t="s">
        <v>2425</v>
      </c>
      <c r="R6" s="359">
        <v>950000</v>
      </c>
      <c r="S6" s="216"/>
      <c r="T6" s="216"/>
      <c r="U6" s="216"/>
      <c r="V6" s="360"/>
      <c r="W6" s="360"/>
      <c r="X6" s="219"/>
    </row>
    <row r="7" spans="1:26" s="353" customFormat="1" ht="11.45" customHeight="1">
      <c r="A7" s="358"/>
      <c r="B7" s="218"/>
      <c r="C7" s="218"/>
      <c r="D7" s="216"/>
      <c r="E7" s="216"/>
      <c r="F7" s="218"/>
      <c r="G7" s="218"/>
      <c r="H7" s="216"/>
      <c r="I7" s="216"/>
      <c r="J7" s="218" t="s">
        <v>1678</v>
      </c>
      <c r="K7" s="218"/>
      <c r="L7" s="218"/>
      <c r="M7" s="218"/>
      <c r="N7" s="218"/>
      <c r="O7" s="218"/>
      <c r="P7" s="216"/>
      <c r="Q7" s="359" t="s">
        <v>2425</v>
      </c>
      <c r="R7" s="359">
        <v>1700000</v>
      </c>
      <c r="S7" s="216"/>
      <c r="T7" s="216"/>
      <c r="U7" s="216"/>
      <c r="V7" s="360"/>
      <c r="W7" s="360"/>
      <c r="X7" s="219"/>
    </row>
    <row r="8" spans="1:26" s="353" customFormat="1" ht="11.45" customHeight="1">
      <c r="A8" s="218"/>
      <c r="B8" s="218"/>
      <c r="C8" s="218"/>
      <c r="D8" s="216"/>
      <c r="E8" s="216"/>
      <c r="F8" s="218" t="s">
        <v>3173</v>
      </c>
      <c r="G8" s="218"/>
      <c r="H8" s="216"/>
      <c r="I8" s="216"/>
      <c r="J8" s="218" t="s">
        <v>2457</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3140</v>
      </c>
      <c r="K9" s="218"/>
      <c r="L9" s="218"/>
      <c r="M9" s="218"/>
      <c r="N9" s="218"/>
      <c r="O9" s="218"/>
      <c r="P9" s="216"/>
      <c r="Q9" s="359" t="s">
        <v>2425</v>
      </c>
      <c r="R9" s="371">
        <v>0.25</v>
      </c>
      <c r="S9" s="216"/>
      <c r="T9" s="216"/>
      <c r="U9" s="216"/>
      <c r="V9" s="360"/>
      <c r="W9" s="360"/>
      <c r="X9" s="219"/>
    </row>
    <row r="10" spans="1:26" s="353" customFormat="1" ht="11.45" customHeight="1">
      <c r="A10" s="218"/>
      <c r="B10" s="218"/>
      <c r="C10" s="218"/>
      <c r="D10" s="216"/>
      <c r="E10" s="216"/>
      <c r="F10" s="218"/>
      <c r="G10" s="218"/>
      <c r="H10" s="216"/>
      <c r="I10" s="216"/>
      <c r="J10" s="363" t="s">
        <v>618</v>
      </c>
      <c r="K10" s="363" t="s">
        <v>3206</v>
      </c>
      <c r="L10" s="363" t="s">
        <v>3207</v>
      </c>
      <c r="M10" s="363" t="s">
        <v>3208</v>
      </c>
      <c r="N10" s="363" t="s">
        <v>3209</v>
      </c>
      <c r="O10" s="218"/>
      <c r="P10" s="216"/>
      <c r="Q10" s="364"/>
      <c r="R10" s="364"/>
      <c r="S10" s="361"/>
      <c r="T10" s="361"/>
      <c r="U10" s="216"/>
      <c r="V10" s="362"/>
      <c r="W10" s="362"/>
      <c r="X10" s="362"/>
    </row>
    <row r="11" spans="1:26" s="353" customFormat="1" ht="11.45" customHeight="1">
      <c r="A11" s="218"/>
      <c r="B11" s="218"/>
      <c r="C11" s="218"/>
      <c r="D11" s="216"/>
      <c r="E11" s="216"/>
      <c r="F11" s="218" t="s">
        <v>1679</v>
      </c>
      <c r="G11" s="218"/>
      <c r="H11" s="216"/>
      <c r="I11" s="216"/>
      <c r="J11" s="365">
        <v>110481</v>
      </c>
      <c r="K11" s="365">
        <v>126647</v>
      </c>
      <c r="L11" s="365">
        <v>154003</v>
      </c>
      <c r="M11" s="365">
        <v>199229</v>
      </c>
      <c r="N11" s="365">
        <v>199229</v>
      </c>
      <c r="O11" s="218"/>
      <c r="Q11" s="359" t="s">
        <v>2425</v>
      </c>
      <c r="R11" s="359">
        <f>'Part VI-Revenues &amp; Expenses'!$H$62*$J11+'Part VI-Revenues &amp; Expenses'!$I$62*$K11+'Part VI-Revenues &amp; Expenses'!$J$62*$L11+'Part VI-Revenues &amp; Expenses'!$K$62*$M11+'Part VI-Revenues &amp; Expenses'!$L$62*$N11</f>
        <v>7108451</v>
      </c>
      <c r="S11" s="380" t="s">
        <v>1160</v>
      </c>
      <c r="T11" s="361"/>
      <c r="U11" s="216"/>
      <c r="V11" s="362"/>
      <c r="W11" s="362"/>
      <c r="X11" s="362"/>
    </row>
    <row r="12" spans="1:26" s="353" customFormat="1" ht="11.45" customHeight="1">
      <c r="A12" s="218"/>
      <c r="B12" s="218"/>
      <c r="C12" s="218"/>
      <c r="D12" s="216"/>
      <c r="E12" s="216"/>
      <c r="F12" s="218" t="s">
        <v>1680</v>
      </c>
      <c r="G12" s="218"/>
      <c r="H12" s="216"/>
      <c r="I12" s="216"/>
      <c r="J12" s="365">
        <v>121529</v>
      </c>
      <c r="K12" s="365">
        <v>139312</v>
      </c>
      <c r="L12" s="365">
        <v>169403</v>
      </c>
      <c r="M12" s="365">
        <v>219152</v>
      </c>
      <c r="N12" s="365">
        <v>219152</v>
      </c>
      <c r="O12" s="218"/>
      <c r="Q12" s="359" t="s">
        <v>2425</v>
      </c>
      <c r="R12" s="359">
        <f>'Part VI-Revenues &amp; Expenses'!$H$62*$J12+'Part VI-Revenues &amp; Expenses'!$I$62*$K12+'Part VI-Revenues &amp; Expenses'!$J$62*$L12+'Part VI-Revenues &amp; Expenses'!$K$62*$M12+'Part VI-Revenues &amp; Expenses'!$L$62*$N12</f>
        <v>7819291</v>
      </c>
      <c r="S12" s="380" t="s">
        <v>1160</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1610</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1610</v>
      </c>
      <c r="C15" s="218"/>
      <c r="D15" s="216"/>
      <c r="E15" s="216"/>
      <c r="F15" s="218" t="s">
        <v>1611</v>
      </c>
      <c r="G15" s="218" t="s">
        <v>1625</v>
      </c>
      <c r="H15" s="216"/>
      <c r="I15" s="216"/>
      <c r="J15" s="218" t="s">
        <v>1986</v>
      </c>
      <c r="K15" s="218"/>
      <c r="L15" s="218"/>
      <c r="M15" s="218"/>
      <c r="N15" s="218"/>
      <c r="O15" s="218"/>
      <c r="P15" s="216"/>
      <c r="Q15" s="220">
        <v>4500</v>
      </c>
      <c r="R15" s="368" t="s">
        <v>2425</v>
      </c>
      <c r="S15" s="369"/>
    </row>
    <row r="16" spans="1:26" s="353" customFormat="1" ht="11.45" customHeight="1">
      <c r="A16" s="216"/>
      <c r="B16" s="218"/>
      <c r="C16" s="218"/>
      <c r="D16" s="216"/>
      <c r="E16" s="216"/>
      <c r="F16" s="218"/>
      <c r="G16" s="218" t="s">
        <v>2065</v>
      </c>
      <c r="H16" s="216"/>
      <c r="I16" s="216"/>
      <c r="J16" s="218" t="s">
        <v>1986</v>
      </c>
      <c r="K16" s="218"/>
      <c r="L16" s="218"/>
      <c r="M16" s="218"/>
      <c r="N16" s="218"/>
      <c r="O16" s="218"/>
      <c r="P16" s="216"/>
      <c r="Q16" s="220">
        <v>4000</v>
      </c>
      <c r="R16" s="368" t="s">
        <v>2425</v>
      </c>
      <c r="S16" s="369"/>
    </row>
    <row r="17" spans="1:21" s="353" customFormat="1" ht="11.45" customHeight="1">
      <c r="A17" s="218"/>
      <c r="B17" s="218"/>
      <c r="C17" s="218"/>
      <c r="D17" s="216"/>
      <c r="E17" s="216"/>
      <c r="F17" s="218" t="s">
        <v>2614</v>
      </c>
      <c r="G17" s="218"/>
      <c r="H17" s="216"/>
      <c r="I17" s="216"/>
      <c r="J17" s="218" t="s">
        <v>1986</v>
      </c>
      <c r="K17" s="218"/>
      <c r="L17" s="218"/>
      <c r="M17" s="218"/>
      <c r="N17" s="218"/>
      <c r="O17" s="218"/>
      <c r="P17" s="216"/>
      <c r="Q17" s="220">
        <v>3000</v>
      </c>
      <c r="R17" s="368" t="s">
        <v>2425</v>
      </c>
      <c r="S17" s="369"/>
    </row>
    <row r="18" spans="1:21" s="353" customFormat="1" ht="11.45" customHeight="1">
      <c r="A18" s="218"/>
      <c r="B18" s="218"/>
      <c r="C18" s="218"/>
      <c r="D18" s="216"/>
      <c r="E18" s="216"/>
      <c r="F18" s="218" t="s">
        <v>3536</v>
      </c>
      <c r="G18" s="218"/>
      <c r="H18" s="216"/>
      <c r="I18" s="216"/>
      <c r="J18" s="218" t="s">
        <v>1986</v>
      </c>
      <c r="K18" s="218"/>
      <c r="L18" s="218"/>
      <c r="M18" s="218"/>
      <c r="N18" s="218"/>
      <c r="O18" s="218"/>
      <c r="P18" s="216"/>
      <c r="Q18" s="220">
        <v>3000</v>
      </c>
      <c r="R18" s="368" t="s">
        <v>2425</v>
      </c>
      <c r="S18" s="369"/>
      <c r="T18" s="369"/>
      <c r="U18" s="369"/>
    </row>
    <row r="19" spans="1:21" s="353" customFormat="1" ht="11.45" customHeight="1">
      <c r="A19" s="218"/>
      <c r="B19" s="218" t="s">
        <v>1612</v>
      </c>
      <c r="C19" s="218"/>
      <c r="D19" s="216"/>
      <c r="E19" s="216"/>
      <c r="F19" s="218" t="s">
        <v>305</v>
      </c>
      <c r="G19" s="218"/>
      <c r="H19" s="216"/>
      <c r="I19" s="216"/>
      <c r="J19" s="218" t="s">
        <v>1986</v>
      </c>
      <c r="K19" s="218"/>
      <c r="L19" s="218"/>
      <c r="M19" s="218"/>
      <c r="N19" s="218"/>
      <c r="O19" s="218"/>
      <c r="P19" s="216"/>
      <c r="Q19" s="370">
        <v>350</v>
      </c>
      <c r="R19" s="368" t="s">
        <v>2425</v>
      </c>
      <c r="S19" s="369"/>
      <c r="T19" s="369"/>
      <c r="U19" s="369"/>
    </row>
    <row r="20" spans="1:21" s="353" customFormat="1" ht="11.45" customHeight="1">
      <c r="A20" s="218"/>
      <c r="B20" s="218"/>
      <c r="C20" s="218"/>
      <c r="D20" s="216"/>
      <c r="E20" s="216"/>
      <c r="F20" s="218" t="s">
        <v>1613</v>
      </c>
      <c r="G20" s="218"/>
      <c r="H20" s="216"/>
      <c r="I20" s="216"/>
      <c r="J20" s="218" t="s">
        <v>1986</v>
      </c>
      <c r="K20" s="218"/>
      <c r="L20" s="218"/>
      <c r="M20" s="218"/>
      <c r="N20" s="218"/>
      <c r="O20" s="218"/>
      <c r="P20" s="216"/>
      <c r="Q20" s="370">
        <v>250</v>
      </c>
      <c r="R20" s="368" t="s">
        <v>2425</v>
      </c>
      <c r="S20" s="369"/>
      <c r="T20" s="369"/>
      <c r="U20" s="369"/>
    </row>
    <row r="21" spans="1:21" s="353" customFormat="1" ht="11.45" customHeight="1">
      <c r="A21" s="218"/>
      <c r="B21" s="218"/>
      <c r="C21" s="218"/>
      <c r="D21" s="218"/>
      <c r="E21" s="216"/>
      <c r="F21" s="218" t="s">
        <v>1614</v>
      </c>
      <c r="G21" s="218"/>
      <c r="H21" s="216"/>
      <c r="I21" s="216"/>
      <c r="J21" s="218" t="s">
        <v>1986</v>
      </c>
      <c r="K21" s="218"/>
      <c r="L21" s="218"/>
      <c r="M21" s="218"/>
      <c r="N21" s="218"/>
      <c r="O21" s="218"/>
      <c r="P21" s="216"/>
      <c r="Q21" s="370">
        <v>420</v>
      </c>
      <c r="R21" s="368" t="s">
        <v>2425</v>
      </c>
      <c r="S21" s="369"/>
      <c r="T21" s="369"/>
      <c r="U21" s="369"/>
    </row>
    <row r="22" spans="1:21" s="353" customFormat="1" ht="11.45" customHeight="1">
      <c r="A22" s="218"/>
      <c r="B22" s="218"/>
      <c r="C22" s="218"/>
      <c r="D22" s="218"/>
      <c r="E22" s="216"/>
      <c r="F22" s="218" t="s">
        <v>1566</v>
      </c>
      <c r="G22" s="218"/>
      <c r="H22" s="216"/>
      <c r="I22" s="216"/>
      <c r="J22" s="218" t="s">
        <v>1986</v>
      </c>
      <c r="K22" s="218"/>
      <c r="L22" s="218"/>
      <c r="M22" s="218"/>
      <c r="N22" s="218"/>
      <c r="O22" s="218"/>
      <c r="P22" s="216"/>
      <c r="Q22" s="370">
        <v>420</v>
      </c>
      <c r="R22" s="368" t="s">
        <v>2425</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1615</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1616</v>
      </c>
      <c r="C25" s="218"/>
      <c r="D25" s="218"/>
      <c r="E25" s="216"/>
      <c r="F25" s="221" t="s">
        <v>1617</v>
      </c>
      <c r="G25" s="218"/>
      <c r="H25" s="216"/>
      <c r="I25" s="216"/>
      <c r="J25" s="218" t="s">
        <v>1618</v>
      </c>
      <c r="K25" s="218"/>
      <c r="L25" s="218"/>
      <c r="M25" s="218"/>
      <c r="N25" s="218"/>
      <c r="O25" s="218"/>
      <c r="P25" s="216"/>
      <c r="Q25" s="1181">
        <v>6500</v>
      </c>
      <c r="R25" s="1182"/>
      <c r="S25" s="369"/>
      <c r="T25" s="369"/>
      <c r="U25" s="369"/>
    </row>
    <row r="26" spans="1:21" s="353" customFormat="1" ht="11.45" customHeight="1">
      <c r="A26" s="218"/>
      <c r="B26" s="218"/>
      <c r="C26" s="218"/>
      <c r="D26" s="218"/>
      <c r="E26" s="216"/>
      <c r="F26" s="221" t="s">
        <v>1617</v>
      </c>
      <c r="G26" s="218"/>
      <c r="H26" s="216"/>
      <c r="I26" s="216"/>
      <c r="J26" s="218" t="s">
        <v>1619</v>
      </c>
      <c r="K26" s="218"/>
      <c r="L26" s="218"/>
      <c r="M26" s="218"/>
      <c r="N26" s="218"/>
      <c r="O26" s="218"/>
      <c r="P26" s="216"/>
      <c r="Q26" s="1181">
        <v>5500</v>
      </c>
      <c r="R26" s="1182"/>
      <c r="S26" s="369"/>
      <c r="T26" s="369"/>
      <c r="U26" s="369"/>
    </row>
    <row r="27" spans="1:21" s="353" customFormat="1" ht="11.45" customHeight="1">
      <c r="A27" s="216"/>
      <c r="B27" s="216"/>
      <c r="C27" s="218"/>
      <c r="D27" s="218"/>
      <c r="E27" s="216"/>
      <c r="F27" s="221" t="s">
        <v>1620</v>
      </c>
      <c r="G27" s="218"/>
      <c r="H27" s="216"/>
      <c r="I27" s="216"/>
      <c r="J27" s="218" t="s">
        <v>1618</v>
      </c>
      <c r="K27" s="218"/>
      <c r="L27" s="218"/>
      <c r="M27" s="218"/>
      <c r="N27" s="218"/>
      <c r="O27" s="218"/>
      <c r="P27" s="216"/>
      <c r="Q27" s="1181">
        <v>1000</v>
      </c>
      <c r="R27" s="1182"/>
      <c r="S27" s="369"/>
      <c r="T27" s="369"/>
      <c r="U27" s="369"/>
    </row>
    <row r="28" spans="1:21" s="353" customFormat="1" ht="11.45" customHeight="1">
      <c r="A28" s="218"/>
      <c r="B28" s="218"/>
      <c r="C28" s="218"/>
      <c r="D28" s="218"/>
      <c r="E28" s="216"/>
      <c r="F28" s="221" t="s">
        <v>1620</v>
      </c>
      <c r="G28" s="218"/>
      <c r="H28" s="216"/>
      <c r="I28" s="216"/>
      <c r="J28" s="218" t="s">
        <v>1619</v>
      </c>
      <c r="K28" s="218"/>
      <c r="L28" s="218"/>
      <c r="M28" s="218"/>
      <c r="N28" s="218"/>
      <c r="O28" s="218"/>
      <c r="P28" s="216"/>
      <c r="Q28" s="1181">
        <v>500</v>
      </c>
      <c r="R28" s="1182"/>
      <c r="S28" s="369"/>
      <c r="T28" s="369"/>
      <c r="U28" s="369"/>
    </row>
    <row r="29" spans="1:21" s="353" customFormat="1" ht="11.45" customHeight="1">
      <c r="A29" s="218"/>
      <c r="B29" s="218"/>
      <c r="C29" s="218"/>
      <c r="D29" s="218"/>
      <c r="E29" s="216"/>
      <c r="F29" s="221" t="s">
        <v>1064</v>
      </c>
      <c r="G29" s="218"/>
      <c r="H29" s="216"/>
      <c r="I29" s="216"/>
      <c r="J29" s="218" t="s">
        <v>1618</v>
      </c>
      <c r="K29" s="218"/>
      <c r="L29" s="218"/>
      <c r="M29" s="218"/>
      <c r="N29" s="218"/>
      <c r="O29" s="218"/>
      <c r="P29" s="216"/>
      <c r="Q29" s="1181">
        <v>7000</v>
      </c>
      <c r="R29" s="1182"/>
      <c r="S29" s="369"/>
      <c r="T29" s="369"/>
      <c r="U29" s="369"/>
    </row>
    <row r="30" spans="1:21" s="353" customFormat="1" ht="11.45" customHeight="1">
      <c r="A30" s="218"/>
      <c r="B30" s="218"/>
      <c r="C30" s="218"/>
      <c r="D30" s="218"/>
      <c r="E30" s="216"/>
      <c r="F30" s="221" t="s">
        <v>1064</v>
      </c>
      <c r="G30" s="218"/>
      <c r="H30" s="216"/>
      <c r="I30" s="216"/>
      <c r="J30" s="218" t="s">
        <v>1619</v>
      </c>
      <c r="K30" s="218"/>
      <c r="L30" s="218"/>
      <c r="M30" s="218"/>
      <c r="N30" s="218"/>
      <c r="O30" s="218"/>
      <c r="P30" s="216"/>
      <c r="Q30" s="1181">
        <v>6000</v>
      </c>
      <c r="R30" s="1182"/>
      <c r="S30" s="369"/>
      <c r="T30" s="369"/>
      <c r="U30" s="369"/>
    </row>
    <row r="31" spans="1:21" s="353" customFormat="1" ht="11.45" customHeight="1">
      <c r="A31" s="218"/>
      <c r="B31" s="218" t="s">
        <v>1065</v>
      </c>
      <c r="C31" s="218"/>
      <c r="D31" s="216"/>
      <c r="E31" s="216"/>
      <c r="F31" s="218" t="s">
        <v>305</v>
      </c>
      <c r="G31" s="218"/>
      <c r="H31" s="216"/>
      <c r="I31" s="216"/>
      <c r="J31" s="218" t="s">
        <v>3639</v>
      </c>
      <c r="K31" s="218"/>
      <c r="L31" s="218"/>
      <c r="M31" s="218"/>
      <c r="N31" s="218"/>
      <c r="O31" s="218"/>
      <c r="P31" s="216"/>
      <c r="Q31" s="359">
        <v>25000</v>
      </c>
      <c r="R31" s="368" t="s">
        <v>672</v>
      </c>
      <c r="S31" s="369"/>
      <c r="T31" s="369"/>
      <c r="U31" s="369"/>
    </row>
    <row r="32" spans="1:21" s="353" customFormat="1" ht="11.45" customHeight="1">
      <c r="A32" s="218"/>
      <c r="B32" s="218" t="s">
        <v>2671</v>
      </c>
      <c r="C32" s="218"/>
      <c r="D32" s="216"/>
      <c r="E32" s="216"/>
      <c r="F32" s="218" t="s">
        <v>1613</v>
      </c>
      <c r="G32" s="218"/>
      <c r="H32" s="216"/>
      <c r="I32" s="216"/>
      <c r="J32" s="218" t="s">
        <v>1367</v>
      </c>
      <c r="K32" s="218"/>
      <c r="L32" s="218"/>
      <c r="M32" s="218"/>
      <c r="N32" s="218"/>
      <c r="O32" s="218"/>
      <c r="P32" s="216"/>
      <c r="Q32" s="371" t="s">
        <v>1368</v>
      </c>
      <c r="R32" s="371">
        <v>0.05</v>
      </c>
      <c r="S32" s="369"/>
      <c r="T32" s="369"/>
      <c r="U32" s="369"/>
    </row>
    <row r="33" spans="1:21" s="353" customFormat="1" ht="11.45" customHeight="1">
      <c r="A33" s="218"/>
      <c r="B33" s="218"/>
      <c r="C33" s="218"/>
      <c r="D33" s="216"/>
      <c r="E33" s="216"/>
      <c r="F33" s="218"/>
      <c r="G33" s="218"/>
      <c r="H33" s="216"/>
      <c r="I33" s="216"/>
      <c r="J33" s="218" t="s">
        <v>2743</v>
      </c>
      <c r="K33" s="218"/>
      <c r="L33" s="218"/>
      <c r="M33" s="218"/>
      <c r="N33" s="218"/>
      <c r="O33" s="218"/>
      <c r="P33" s="216"/>
      <c r="Q33" s="371" t="s">
        <v>1368</v>
      </c>
      <c r="R33" s="359">
        <v>500000</v>
      </c>
      <c r="S33" s="369"/>
      <c r="T33" s="369"/>
      <c r="U33" s="369"/>
    </row>
    <row r="34" spans="1:21" s="353" customFormat="1" ht="11.45" customHeight="1">
      <c r="A34" s="218"/>
      <c r="B34" s="218"/>
      <c r="C34" s="218"/>
      <c r="D34" s="216"/>
      <c r="E34" s="216"/>
      <c r="F34" s="218" t="s">
        <v>305</v>
      </c>
      <c r="G34" s="218"/>
      <c r="H34" s="216"/>
      <c r="I34" s="216"/>
      <c r="J34" s="218" t="s">
        <v>1367</v>
      </c>
      <c r="K34" s="218"/>
      <c r="L34" s="218"/>
      <c r="M34" s="218"/>
      <c r="N34" s="218"/>
      <c r="O34" s="218"/>
      <c r="P34" s="216"/>
      <c r="Q34" s="371" t="s">
        <v>1368</v>
      </c>
      <c r="R34" s="371">
        <v>7.0000000000000007E-2</v>
      </c>
      <c r="S34" s="369"/>
      <c r="T34" s="369"/>
      <c r="U34" s="369"/>
    </row>
    <row r="35" spans="1:21" s="353" customFormat="1" ht="11.45" customHeight="1">
      <c r="A35" s="218"/>
      <c r="B35" s="218"/>
      <c r="C35" s="218"/>
      <c r="D35" s="216"/>
      <c r="E35" s="216"/>
      <c r="F35" s="218"/>
      <c r="G35" s="218"/>
      <c r="H35" s="216"/>
      <c r="I35" s="216"/>
      <c r="J35" s="218" t="s">
        <v>2743</v>
      </c>
      <c r="K35" s="218"/>
      <c r="L35" s="218"/>
      <c r="M35" s="218"/>
      <c r="N35" s="218"/>
      <c r="O35" s="218"/>
      <c r="P35" s="216"/>
      <c r="Q35" s="371" t="s">
        <v>1368</v>
      </c>
      <c r="R35" s="359">
        <v>500000</v>
      </c>
      <c r="S35" s="369"/>
      <c r="T35" s="369"/>
      <c r="U35" s="369"/>
    </row>
    <row r="36" spans="1:21" s="353" customFormat="1" ht="11.45" customHeight="1">
      <c r="A36" s="218"/>
      <c r="B36" s="218" t="s">
        <v>2750</v>
      </c>
      <c r="C36" s="218"/>
      <c r="D36" s="216"/>
      <c r="E36" s="216"/>
      <c r="F36" s="218" t="s">
        <v>2425</v>
      </c>
      <c r="G36" s="218"/>
      <c r="H36" s="216"/>
      <c r="I36" s="216"/>
      <c r="J36" s="218" t="s">
        <v>391</v>
      </c>
      <c r="K36" s="218"/>
      <c r="L36" s="218"/>
      <c r="M36" s="218"/>
      <c r="N36" s="218"/>
      <c r="O36" s="218"/>
      <c r="P36" s="216"/>
      <c r="Q36" s="368" t="s">
        <v>2425</v>
      </c>
      <c r="R36" s="371">
        <v>0.06</v>
      </c>
      <c r="S36" s="369"/>
      <c r="T36" s="369"/>
      <c r="U36" s="369"/>
    </row>
    <row r="37" spans="1:21" s="353" customFormat="1" ht="11.45" customHeight="1">
      <c r="A37" s="218"/>
      <c r="B37" s="218" t="s">
        <v>2751</v>
      </c>
      <c r="C37" s="218"/>
      <c r="D37" s="216"/>
      <c r="E37" s="216"/>
      <c r="F37" s="218" t="s">
        <v>2425</v>
      </c>
      <c r="G37" s="218"/>
      <c r="H37" s="216"/>
      <c r="I37" s="216"/>
      <c r="J37" s="218" t="s">
        <v>391</v>
      </c>
      <c r="K37" s="218"/>
      <c r="L37" s="218"/>
      <c r="M37" s="218"/>
      <c r="N37" s="218"/>
      <c r="O37" s="218"/>
      <c r="P37" s="216"/>
      <c r="Q37" s="368" t="s">
        <v>2425</v>
      </c>
      <c r="R37" s="371">
        <v>0.02</v>
      </c>
      <c r="S37" s="369"/>
      <c r="T37" s="369"/>
      <c r="U37" s="369"/>
    </row>
    <row r="38" spans="1:21" s="353" customFormat="1" ht="11.45" customHeight="1">
      <c r="A38" s="218"/>
      <c r="B38" s="218" t="s">
        <v>3537</v>
      </c>
      <c r="C38" s="218"/>
      <c r="D38" s="216"/>
      <c r="E38" s="216"/>
      <c r="F38" s="218" t="s">
        <v>2425</v>
      </c>
      <c r="G38" s="218"/>
      <c r="H38" s="216"/>
      <c r="I38" s="216"/>
      <c r="J38" s="218" t="s">
        <v>391</v>
      </c>
      <c r="K38" s="218"/>
      <c r="L38" s="218"/>
      <c r="M38" s="218"/>
      <c r="N38" s="218"/>
      <c r="O38" s="218"/>
      <c r="P38" s="216"/>
      <c r="Q38" s="368" t="s">
        <v>2425</v>
      </c>
      <c r="R38" s="371">
        <v>0.06</v>
      </c>
      <c r="S38" s="369"/>
      <c r="T38" s="369"/>
      <c r="U38" s="369"/>
    </row>
    <row r="39" spans="1:21" s="353" customFormat="1" ht="11.45" customHeight="1">
      <c r="A39" s="218"/>
      <c r="B39" s="221" t="s">
        <v>1343</v>
      </c>
      <c r="C39" s="218"/>
      <c r="D39" s="216"/>
      <c r="E39" s="216"/>
      <c r="F39" s="218" t="s">
        <v>1344</v>
      </c>
      <c r="G39" s="218"/>
      <c r="H39" s="216"/>
      <c r="I39" s="216"/>
      <c r="J39" s="218" t="s">
        <v>1345</v>
      </c>
      <c r="K39" s="218"/>
      <c r="L39" s="218"/>
      <c r="M39" s="218"/>
      <c r="N39" s="218"/>
      <c r="O39" s="218"/>
      <c r="P39" s="216"/>
      <c r="Q39" s="1180">
        <v>0.08</v>
      </c>
      <c r="R39" s="1180"/>
      <c r="S39" s="369"/>
      <c r="T39" s="369"/>
      <c r="U39" s="369"/>
    </row>
    <row r="40" spans="1:21" s="353" customFormat="1" ht="11.45" customHeight="1">
      <c r="A40" s="218"/>
      <c r="B40" s="221" t="s">
        <v>1346</v>
      </c>
      <c r="C40" s="218"/>
      <c r="D40" s="216"/>
      <c r="E40" s="216"/>
      <c r="F40" s="218" t="s">
        <v>1344</v>
      </c>
      <c r="G40" s="218"/>
      <c r="H40" s="216"/>
      <c r="I40" s="216"/>
      <c r="J40" s="218" t="s">
        <v>1345</v>
      </c>
      <c r="K40" s="218"/>
      <c r="L40" s="218"/>
      <c r="M40" s="218"/>
      <c r="N40" s="218"/>
      <c r="O40" s="218"/>
      <c r="P40" s="216"/>
      <c r="Q40" s="1180">
        <v>0.08</v>
      </c>
      <c r="R40" s="1180"/>
      <c r="S40" s="369"/>
      <c r="T40" s="369"/>
      <c r="U40" s="369"/>
    </row>
    <row r="41" spans="1:21" s="353" customFormat="1" ht="11.45" customHeight="1">
      <c r="A41" s="218"/>
      <c r="B41" s="221" t="s">
        <v>599</v>
      </c>
      <c r="C41" s="218"/>
      <c r="D41" s="216"/>
      <c r="E41" s="216"/>
      <c r="F41" s="218"/>
      <c r="G41" s="218"/>
      <c r="H41" s="216"/>
      <c r="I41" s="216"/>
      <c r="J41" s="218"/>
      <c r="K41" s="218"/>
      <c r="L41" s="218"/>
      <c r="M41" s="218"/>
      <c r="N41" s="218"/>
      <c r="O41" s="218"/>
      <c r="P41" s="216"/>
      <c r="Q41" s="1181">
        <v>2700</v>
      </c>
      <c r="R41" s="1182"/>
      <c r="S41" s="369"/>
      <c r="T41" s="369"/>
      <c r="U41" s="369"/>
    </row>
    <row r="42" spans="1:21" s="353" customFormat="1" ht="11.45" customHeight="1">
      <c r="A42" s="218"/>
      <c r="B42" s="221" t="s">
        <v>3635</v>
      </c>
      <c r="C42" s="218"/>
      <c r="D42" s="216"/>
      <c r="E42" s="216"/>
      <c r="F42" s="218"/>
      <c r="G42" s="218"/>
      <c r="H42" s="216"/>
      <c r="I42" s="216"/>
      <c r="J42" s="218"/>
      <c r="K42" s="218"/>
      <c r="L42" s="218"/>
      <c r="M42" s="218"/>
      <c r="N42" s="218"/>
      <c r="O42" s="218"/>
      <c r="P42" s="216"/>
      <c r="Q42" s="1181">
        <v>1500</v>
      </c>
      <c r="R42" s="1182"/>
      <c r="S42" s="369"/>
      <c r="T42" s="369"/>
      <c r="U42" s="369"/>
    </row>
    <row r="43" spans="1:21" s="353" customFormat="1" ht="11.45" customHeight="1">
      <c r="A43" s="218"/>
      <c r="B43" s="218" t="s">
        <v>1347</v>
      </c>
      <c r="C43" s="218"/>
      <c r="D43" s="216"/>
      <c r="E43" s="216"/>
      <c r="F43" s="218" t="s">
        <v>2076</v>
      </c>
      <c r="G43" s="218"/>
      <c r="H43" s="216"/>
      <c r="I43" s="216"/>
      <c r="J43" s="218" t="s">
        <v>1986</v>
      </c>
      <c r="K43" s="218"/>
      <c r="L43" s="218"/>
      <c r="M43" s="218"/>
      <c r="N43" s="218"/>
      <c r="O43" s="218"/>
      <c r="P43" s="216"/>
      <c r="Q43" s="368">
        <v>800</v>
      </c>
      <c r="R43" s="368" t="s">
        <v>2425</v>
      </c>
      <c r="S43" s="369"/>
      <c r="T43" s="369"/>
      <c r="U43" s="369"/>
    </row>
    <row r="44" spans="1:21" s="353" customFormat="1" ht="11.45" customHeight="1">
      <c r="A44" s="218"/>
      <c r="B44" s="218"/>
      <c r="C44" s="218"/>
      <c r="D44" s="216"/>
      <c r="E44" s="216"/>
      <c r="F44" s="218" t="s">
        <v>3541</v>
      </c>
      <c r="G44" s="218"/>
      <c r="H44" s="216"/>
      <c r="I44" s="216"/>
      <c r="J44" s="218" t="s">
        <v>1986</v>
      </c>
      <c r="K44" s="218"/>
      <c r="L44" s="218"/>
      <c r="M44" s="218"/>
      <c r="N44" s="218"/>
      <c r="O44" s="218"/>
      <c r="P44" s="216"/>
      <c r="Q44" s="368">
        <v>400</v>
      </c>
      <c r="R44" s="368" t="s">
        <v>2425</v>
      </c>
      <c r="S44" s="369"/>
      <c r="T44" s="369"/>
      <c r="U44" s="369"/>
    </row>
    <row r="45" spans="1:21" s="353" customFormat="1" ht="11.45" customHeight="1">
      <c r="A45" s="218"/>
      <c r="B45" s="218"/>
      <c r="C45" s="218"/>
      <c r="D45" s="216"/>
      <c r="E45" s="216"/>
      <c r="F45" s="218" t="s">
        <v>3538</v>
      </c>
      <c r="G45" s="218"/>
      <c r="H45" s="216"/>
      <c r="I45" s="216"/>
      <c r="J45" s="218" t="s">
        <v>3539</v>
      </c>
      <c r="K45" s="218"/>
      <c r="L45" s="218"/>
      <c r="M45" s="218"/>
      <c r="N45" s="218"/>
      <c r="O45" s="218"/>
      <c r="P45" s="216"/>
      <c r="Q45" s="368">
        <v>1500</v>
      </c>
      <c r="R45" s="368" t="s">
        <v>2425</v>
      </c>
      <c r="S45" s="369"/>
      <c r="T45" s="369"/>
      <c r="U45" s="369"/>
    </row>
    <row r="46" spans="1:21" s="353" customFormat="1" ht="11.45" customHeight="1">
      <c r="A46" s="218"/>
      <c r="B46" s="218" t="s">
        <v>2565</v>
      </c>
      <c r="C46" s="218"/>
      <c r="D46" s="216"/>
      <c r="E46" s="216"/>
      <c r="F46" s="218"/>
      <c r="G46" s="218"/>
      <c r="H46" s="218"/>
      <c r="I46" s="216"/>
      <c r="J46" s="218" t="s">
        <v>2422</v>
      </c>
      <c r="K46" s="218"/>
      <c r="L46" s="218"/>
      <c r="M46" s="218"/>
      <c r="N46" s="218"/>
      <c r="O46" s="218"/>
      <c r="P46" s="216"/>
      <c r="Q46" s="1181">
        <v>1800000</v>
      </c>
      <c r="R46" s="1182"/>
      <c r="S46" s="369"/>
      <c r="T46" s="369"/>
      <c r="U46" s="369"/>
    </row>
    <row r="47" spans="1:21" s="353" customFormat="1" ht="11.45" customHeight="1">
      <c r="A47" s="218"/>
      <c r="B47" s="218"/>
      <c r="C47" s="218"/>
      <c r="D47" s="216"/>
      <c r="E47" s="216"/>
      <c r="F47" s="218" t="s">
        <v>2404</v>
      </c>
      <c r="G47" s="218"/>
      <c r="H47" s="218" t="s">
        <v>3023</v>
      </c>
      <c r="I47" s="216"/>
      <c r="J47" s="218" t="s">
        <v>1374</v>
      </c>
      <c r="K47" s="218"/>
      <c r="L47" s="218"/>
      <c r="M47" s="218"/>
      <c r="N47" s="218"/>
      <c r="O47" s="218"/>
      <c r="P47" s="216"/>
      <c r="Q47" s="1180">
        <v>0.15</v>
      </c>
      <c r="R47" s="1180"/>
      <c r="S47" s="369"/>
      <c r="T47" s="369"/>
      <c r="U47" s="369"/>
    </row>
    <row r="48" spans="1:21" s="353" customFormat="1" ht="11.45" customHeight="1">
      <c r="A48" s="218"/>
      <c r="B48" s="498"/>
      <c r="C48" s="218"/>
      <c r="D48" s="216"/>
      <c r="E48" s="216"/>
      <c r="F48" s="218"/>
      <c r="G48" s="218"/>
      <c r="H48" s="218" t="s">
        <v>1370</v>
      </c>
      <c r="I48" s="218" t="s">
        <v>1371</v>
      </c>
      <c r="J48" s="218" t="s">
        <v>1373</v>
      </c>
      <c r="K48" s="218"/>
      <c r="L48" s="218"/>
      <c r="M48" s="218"/>
      <c r="N48" s="218"/>
      <c r="O48" s="218"/>
      <c r="P48" s="216"/>
      <c r="Q48" s="1180">
        <v>0.15</v>
      </c>
      <c r="R48" s="1180"/>
      <c r="S48" s="369"/>
      <c r="T48" s="369"/>
      <c r="U48" s="369"/>
    </row>
    <row r="49" spans="1:21" s="353" customFormat="1" ht="11.45" customHeight="1">
      <c r="A49" s="218"/>
      <c r="B49" s="498"/>
      <c r="C49" s="218"/>
      <c r="D49" s="216"/>
      <c r="E49" s="216"/>
      <c r="F49" s="218"/>
      <c r="G49" s="218"/>
      <c r="H49" s="218"/>
      <c r="I49" s="218" t="s">
        <v>1372</v>
      </c>
      <c r="J49" s="218" t="s">
        <v>1375</v>
      </c>
      <c r="K49" s="218"/>
      <c r="L49" s="218"/>
      <c r="M49" s="218"/>
      <c r="N49" s="218"/>
      <c r="O49" s="218"/>
      <c r="P49" s="216"/>
      <c r="Q49" s="1180">
        <v>0.15</v>
      </c>
      <c r="R49" s="1180"/>
      <c r="S49" s="369"/>
      <c r="T49" s="369"/>
      <c r="U49" s="369"/>
    </row>
    <row r="50" spans="1:21" s="353" customFormat="1" ht="11.45" customHeight="1">
      <c r="A50" s="218"/>
      <c r="B50" s="498"/>
      <c r="C50" s="218"/>
      <c r="D50" s="216"/>
      <c r="E50" s="216"/>
      <c r="F50" s="218"/>
      <c r="G50" s="218"/>
      <c r="H50" s="218" t="s">
        <v>1369</v>
      </c>
      <c r="I50" s="216"/>
      <c r="J50" s="218" t="s">
        <v>1375</v>
      </c>
      <c r="K50" s="218"/>
      <c r="L50" s="218"/>
      <c r="M50" s="218"/>
      <c r="N50" s="218"/>
      <c r="O50" s="218"/>
      <c r="P50" s="216"/>
      <c r="Q50" s="1180">
        <v>0.15</v>
      </c>
      <c r="R50" s="1180"/>
      <c r="S50" s="369"/>
      <c r="T50" s="369"/>
      <c r="U50" s="369"/>
    </row>
    <row r="51" spans="1:21" s="353" customFormat="1" ht="11.45" customHeight="1">
      <c r="A51" s="218"/>
      <c r="B51" s="498"/>
      <c r="C51" s="218"/>
      <c r="D51" s="216"/>
      <c r="E51" s="216"/>
      <c r="F51" s="218"/>
      <c r="G51" s="218"/>
      <c r="H51" s="218"/>
      <c r="I51" s="218" t="s">
        <v>1376</v>
      </c>
      <c r="J51" s="218" t="s">
        <v>1377</v>
      </c>
      <c r="K51" s="218"/>
      <c r="L51" s="218"/>
      <c r="M51" s="218"/>
      <c r="N51" s="218"/>
      <c r="O51" s="218"/>
      <c r="P51" s="216"/>
      <c r="Q51" s="1180">
        <v>0.15</v>
      </c>
      <c r="R51" s="1180"/>
      <c r="S51" s="369"/>
      <c r="T51" s="369"/>
      <c r="U51" s="369"/>
    </row>
    <row r="52" spans="1:21" s="353" customFormat="1" ht="11.45" customHeight="1">
      <c r="A52" s="218"/>
      <c r="B52" s="498"/>
      <c r="C52" s="218"/>
      <c r="D52" s="216"/>
      <c r="E52" s="216"/>
      <c r="F52" s="218" t="s">
        <v>2452</v>
      </c>
      <c r="G52" s="218"/>
      <c r="H52" s="218"/>
      <c r="I52" s="216"/>
      <c r="J52" s="218" t="s">
        <v>3127</v>
      </c>
      <c r="K52" s="218"/>
      <c r="L52" s="218"/>
      <c r="M52" s="218"/>
      <c r="N52" s="218"/>
      <c r="O52" s="218"/>
      <c r="P52" s="216"/>
      <c r="Q52" s="1180">
        <v>0.15</v>
      </c>
      <c r="R52" s="1180"/>
      <c r="S52" s="369"/>
      <c r="T52" s="369"/>
      <c r="U52" s="369"/>
    </row>
    <row r="53" spans="1:21" s="353" customFormat="1" ht="11.45" customHeight="1">
      <c r="A53" s="218"/>
      <c r="B53" s="498"/>
      <c r="C53" s="218"/>
      <c r="D53" s="216"/>
      <c r="E53" s="216"/>
      <c r="G53" s="218"/>
      <c r="H53" s="218"/>
      <c r="I53" s="216"/>
      <c r="J53" s="218" t="s">
        <v>3128</v>
      </c>
      <c r="K53" s="218"/>
      <c r="L53" s="218"/>
      <c r="M53" s="218"/>
      <c r="N53" s="218"/>
      <c r="O53" s="218"/>
      <c r="P53" s="216"/>
      <c r="Q53" s="1180" t="s">
        <v>3129</v>
      </c>
      <c r="R53" s="1180"/>
      <c r="S53" s="369"/>
      <c r="T53" s="369"/>
      <c r="U53" s="369"/>
    </row>
    <row r="54" spans="1:21" s="353" customFormat="1" ht="11.45" customHeight="1">
      <c r="A54" s="218"/>
      <c r="B54" s="498"/>
      <c r="C54" s="218"/>
      <c r="D54" s="216"/>
      <c r="E54" s="216"/>
      <c r="F54" s="218" t="s">
        <v>2745</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2744</v>
      </c>
      <c r="G55" s="218"/>
      <c r="I55" s="216"/>
      <c r="J55" s="218"/>
      <c r="K55" s="218"/>
      <c r="L55" s="218"/>
      <c r="M55" s="218"/>
      <c r="N55" s="218"/>
      <c r="O55" s="218"/>
      <c r="P55" s="216"/>
      <c r="Q55" s="371">
        <v>0</v>
      </c>
      <c r="R55" s="371">
        <v>0.5</v>
      </c>
      <c r="S55" s="369"/>
      <c r="T55" s="369"/>
      <c r="U55" s="369"/>
    </row>
    <row r="56" spans="1:21" s="353" customFormat="1" ht="11.45" customHeight="1">
      <c r="A56" s="218"/>
      <c r="B56" s="218" t="s">
        <v>2453</v>
      </c>
      <c r="C56" s="218"/>
      <c r="D56" s="218"/>
      <c r="E56" s="218"/>
      <c r="F56" s="218"/>
      <c r="G56" s="218"/>
      <c r="H56" s="216"/>
      <c r="I56" s="216"/>
      <c r="J56" s="218" t="s">
        <v>2454</v>
      </c>
      <c r="K56" s="218"/>
      <c r="L56" s="218"/>
      <c r="M56" s="218"/>
      <c r="N56" s="218"/>
      <c r="O56" s="218"/>
      <c r="P56" s="216"/>
      <c r="Q56" s="372">
        <v>6</v>
      </c>
      <c r="R56" s="368" t="s">
        <v>2425</v>
      </c>
      <c r="S56" s="369"/>
      <c r="T56" s="369"/>
      <c r="U56" s="369"/>
    </row>
    <row r="57" spans="1:21" s="353" customFormat="1" ht="11.45" customHeight="1">
      <c r="A57" s="218"/>
      <c r="B57" s="218"/>
      <c r="C57" s="218"/>
      <c r="D57" s="218"/>
      <c r="E57" s="218"/>
      <c r="F57" s="218"/>
      <c r="G57" s="218"/>
      <c r="H57" s="216"/>
      <c r="I57" s="216"/>
      <c r="J57" s="218" t="s">
        <v>2455</v>
      </c>
      <c r="K57" s="218"/>
      <c r="L57" s="218"/>
      <c r="M57" s="218"/>
      <c r="N57" s="218"/>
      <c r="O57" s="218"/>
      <c r="P57" s="216"/>
      <c r="Q57" s="372">
        <v>6</v>
      </c>
      <c r="R57" s="368" t="s">
        <v>2425</v>
      </c>
      <c r="S57" s="369"/>
      <c r="T57" s="369"/>
      <c r="U57" s="369"/>
    </row>
    <row r="58" spans="1:21" s="353" customFormat="1" ht="11.45" customHeight="1">
      <c r="A58" s="218"/>
      <c r="B58" s="501" t="s">
        <v>2746</v>
      </c>
      <c r="C58" s="218"/>
      <c r="D58" s="216"/>
      <c r="E58" s="216"/>
      <c r="F58" s="218"/>
      <c r="G58" s="218"/>
      <c r="I58" s="216"/>
      <c r="J58" s="218" t="s">
        <v>2747</v>
      </c>
      <c r="K58" s="218"/>
      <c r="L58" s="218"/>
      <c r="M58" s="218"/>
      <c r="N58" s="218"/>
      <c r="O58" s="218"/>
      <c r="P58" s="216"/>
      <c r="Q58" s="372">
        <v>3</v>
      </c>
      <c r="R58" s="368" t="s">
        <v>2425</v>
      </c>
      <c r="S58" s="369"/>
      <c r="T58" s="369"/>
      <c r="U58" s="369"/>
    </row>
    <row r="59" spans="1:21" s="353" customFormat="1" ht="11.45" customHeight="1">
      <c r="A59" s="218"/>
      <c r="B59" s="221" t="s">
        <v>2456</v>
      </c>
      <c r="C59" s="218"/>
      <c r="D59" s="216"/>
      <c r="E59" s="218"/>
      <c r="F59" s="218"/>
      <c r="G59" s="218"/>
      <c r="H59" s="216"/>
      <c r="I59" s="216"/>
      <c r="J59" s="218" t="s">
        <v>2457</v>
      </c>
      <c r="K59" s="218"/>
      <c r="L59" s="218"/>
      <c r="M59" s="218"/>
      <c r="N59" s="218"/>
      <c r="O59" s="218"/>
      <c r="P59" s="216"/>
      <c r="Q59" s="1181">
        <v>3000</v>
      </c>
      <c r="R59" s="1182"/>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2458</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3175</v>
      </c>
      <c r="C62" s="184"/>
      <c r="D62" s="184"/>
      <c r="E62" s="184"/>
      <c r="F62" s="184"/>
      <c r="G62" s="184"/>
      <c r="J62" s="374">
        <v>1</v>
      </c>
      <c r="K62" s="374">
        <v>2</v>
      </c>
      <c r="L62" s="374">
        <v>3</v>
      </c>
      <c r="M62" s="374">
        <v>4</v>
      </c>
      <c r="N62" s="374">
        <v>5</v>
      </c>
      <c r="O62" s="374">
        <v>6</v>
      </c>
      <c r="P62" s="374">
        <v>7</v>
      </c>
      <c r="Q62" s="374">
        <v>8</v>
      </c>
    </row>
    <row r="63" spans="1:21" ht="10.9" customHeight="1">
      <c r="B63" s="184"/>
      <c r="C63" s="184"/>
      <c r="D63" s="184"/>
      <c r="E63" s="184"/>
      <c r="F63" s="184"/>
      <c r="G63" s="184"/>
      <c r="J63" s="375">
        <v>0.7</v>
      </c>
      <c r="K63" s="375">
        <v>0.8</v>
      </c>
      <c r="L63" s="375">
        <v>0.9</v>
      </c>
      <c r="M63" s="374" t="s">
        <v>144</v>
      </c>
      <c r="N63" s="375">
        <v>1.08</v>
      </c>
      <c r="O63" s="375">
        <v>1.1599999999999999</v>
      </c>
      <c r="P63" s="375">
        <v>1.24</v>
      </c>
      <c r="Q63" s="375">
        <v>1.32</v>
      </c>
    </row>
    <row r="64" spans="1:21" s="369" customFormat="1" ht="11.45" customHeight="1">
      <c r="A64" s="218"/>
      <c r="B64" s="218" t="s">
        <v>2459</v>
      </c>
      <c r="C64" s="218"/>
      <c r="D64" s="218"/>
      <c r="E64" s="218"/>
      <c r="F64" s="218"/>
      <c r="G64" s="218"/>
      <c r="H64" s="218"/>
      <c r="J64" s="218" t="s">
        <v>2460</v>
      </c>
      <c r="K64" s="218"/>
      <c r="L64" s="218"/>
      <c r="M64" s="218"/>
      <c r="N64" s="218"/>
      <c r="O64" s="218"/>
      <c r="Q64" s="1180">
        <v>0.02</v>
      </c>
      <c r="R64" s="1180"/>
    </row>
    <row r="65" spans="1:26" s="369" customFormat="1" ht="11.45" customHeight="1">
      <c r="A65" s="218"/>
      <c r="B65" s="218" t="s">
        <v>2461</v>
      </c>
      <c r="C65" s="218"/>
      <c r="D65" s="218"/>
      <c r="E65" s="218"/>
      <c r="F65" s="218"/>
      <c r="G65" s="218"/>
      <c r="H65" s="218"/>
      <c r="J65" s="218" t="s">
        <v>2460</v>
      </c>
      <c r="K65" s="218"/>
      <c r="L65" s="218"/>
      <c r="M65" s="218"/>
      <c r="N65" s="218"/>
      <c r="O65" s="218"/>
      <c r="Q65" s="1180">
        <v>7.0000000000000007E-2</v>
      </c>
      <c r="R65" s="1180"/>
    </row>
    <row r="66" spans="1:26" s="369" customFormat="1" ht="11.45" customHeight="1">
      <c r="A66" s="218"/>
      <c r="B66" s="218" t="s">
        <v>2462</v>
      </c>
      <c r="C66" s="218"/>
      <c r="D66" s="218"/>
      <c r="E66" s="218"/>
      <c r="F66" s="218"/>
      <c r="G66" s="218"/>
      <c r="H66" s="218"/>
      <c r="J66" s="218" t="s">
        <v>2460</v>
      </c>
      <c r="K66" s="218"/>
      <c r="L66" s="218"/>
      <c r="M66" s="218"/>
      <c r="N66" s="218"/>
      <c r="O66" s="218"/>
      <c r="Q66" s="1180">
        <v>7.0000000000000007E-2</v>
      </c>
      <c r="R66" s="1180"/>
    </row>
    <row r="67" spans="1:26" s="353" customFormat="1" ht="11.45" customHeight="1">
      <c r="A67" s="218"/>
      <c r="B67" s="218" t="s">
        <v>141</v>
      </c>
      <c r="C67" s="218"/>
      <c r="D67" s="216"/>
      <c r="E67" s="216"/>
      <c r="F67" s="216"/>
      <c r="G67" s="218"/>
      <c r="H67" s="216"/>
      <c r="I67" s="216"/>
      <c r="J67" s="218" t="s">
        <v>2460</v>
      </c>
      <c r="K67" s="218"/>
      <c r="L67" s="218"/>
      <c r="M67" s="218"/>
      <c r="N67" s="218"/>
      <c r="O67" s="218"/>
      <c r="P67" s="216"/>
      <c r="Q67" s="1180">
        <v>0.03</v>
      </c>
      <c r="R67" s="1180"/>
      <c r="S67" s="369"/>
      <c r="T67" s="369"/>
      <c r="U67" s="369"/>
    </row>
    <row r="68" spans="1:26" s="353" customFormat="1" ht="11.45" customHeight="1">
      <c r="A68" s="218"/>
      <c r="B68" s="218" t="s">
        <v>142</v>
      </c>
      <c r="C68" s="218"/>
      <c r="D68" s="216"/>
      <c r="E68" s="216"/>
      <c r="F68" s="216"/>
      <c r="G68" s="218"/>
      <c r="H68" s="216"/>
      <c r="I68" s="216"/>
      <c r="J68" s="218" t="s">
        <v>2460</v>
      </c>
      <c r="K68" s="218"/>
      <c r="L68" s="218"/>
      <c r="M68" s="218"/>
      <c r="N68" s="218"/>
      <c r="O68" s="218"/>
      <c r="P68" s="216"/>
      <c r="Q68" s="1180">
        <v>0.03</v>
      </c>
      <c r="R68" s="1180"/>
      <c r="S68" s="369"/>
      <c r="T68" s="369"/>
      <c r="U68" s="369"/>
    </row>
    <row r="69" spans="1:26" s="353" customFormat="1" ht="11.45" customHeight="1">
      <c r="A69" s="218"/>
      <c r="B69" s="218" t="s">
        <v>143</v>
      </c>
      <c r="C69" s="218"/>
      <c r="D69" s="216"/>
      <c r="E69" s="216"/>
      <c r="F69" s="216"/>
      <c r="G69" s="218"/>
      <c r="H69" s="216"/>
      <c r="I69" s="216"/>
      <c r="J69" s="218" t="s">
        <v>2460</v>
      </c>
      <c r="K69" s="218"/>
      <c r="L69" s="218"/>
      <c r="M69" s="218"/>
      <c r="N69" s="218"/>
      <c r="O69" s="218"/>
      <c r="P69" s="216"/>
      <c r="Q69" s="1180">
        <v>0</v>
      </c>
      <c r="R69" s="1180"/>
      <c r="S69" s="369"/>
      <c r="T69" s="369"/>
      <c r="U69" s="369"/>
    </row>
    <row r="70" spans="1:26" s="353" customFormat="1" ht="4.1500000000000004"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3532</v>
      </c>
      <c r="B71" s="218"/>
      <c r="C71" s="218"/>
      <c r="D71" s="216"/>
      <c r="E71" s="216"/>
      <c r="F71" s="218" t="s">
        <v>3397</v>
      </c>
      <c r="G71" s="218"/>
      <c r="H71" s="216"/>
      <c r="I71" s="216"/>
      <c r="J71" s="218" t="s">
        <v>3534</v>
      </c>
      <c r="K71" s="218"/>
      <c r="L71" s="218"/>
      <c r="M71" s="218"/>
      <c r="N71" s="218"/>
      <c r="O71" s="218"/>
      <c r="P71" s="216"/>
      <c r="Q71" s="1180">
        <v>0.1</v>
      </c>
      <c r="R71" s="1180"/>
      <c r="S71" s="216"/>
      <c r="T71" s="216"/>
      <c r="U71" s="216"/>
      <c r="V71" s="360"/>
      <c r="W71" s="360"/>
      <c r="X71" s="219"/>
    </row>
    <row r="72" spans="1:26" s="353" customFormat="1" ht="11.45" customHeight="1">
      <c r="A72" s="358"/>
      <c r="B72" s="218"/>
      <c r="C72" s="218"/>
      <c r="D72" s="216"/>
      <c r="E72" s="216"/>
      <c r="F72" s="218" t="s">
        <v>3396</v>
      </c>
      <c r="G72" s="218"/>
      <c r="H72" s="216"/>
      <c r="I72" s="216"/>
      <c r="J72" s="218" t="s">
        <v>3534</v>
      </c>
      <c r="K72" s="218"/>
      <c r="L72" s="218"/>
      <c r="M72" s="218"/>
      <c r="N72" s="218"/>
      <c r="O72" s="218"/>
      <c r="P72" s="216"/>
      <c r="Q72" s="1180">
        <v>0.3</v>
      </c>
      <c r="R72" s="1180"/>
      <c r="S72" s="216"/>
      <c r="T72" s="216"/>
      <c r="U72" s="216"/>
      <c r="V72" s="360"/>
      <c r="W72" s="360"/>
      <c r="X72" s="219"/>
    </row>
    <row r="73" spans="1:26" s="353" customFormat="1" ht="11.45" customHeight="1">
      <c r="A73" s="218"/>
      <c r="B73" s="218"/>
      <c r="C73" s="218"/>
      <c r="D73" s="216"/>
      <c r="E73" s="216"/>
      <c r="F73" s="218" t="s">
        <v>565</v>
      </c>
      <c r="G73" s="218"/>
      <c r="H73" s="216"/>
      <c r="I73" s="216"/>
      <c r="J73" s="218" t="s">
        <v>3534</v>
      </c>
      <c r="K73" s="218"/>
      <c r="L73" s="218"/>
      <c r="M73" s="218"/>
      <c r="N73" s="218"/>
      <c r="O73" s="218"/>
      <c r="P73" s="216"/>
      <c r="Q73" s="1180">
        <v>0.25</v>
      </c>
      <c r="R73" s="1180"/>
      <c r="S73" s="361"/>
      <c r="T73" s="361"/>
      <c r="U73" s="216"/>
      <c r="V73" s="362"/>
      <c r="W73" s="362"/>
      <c r="X73" s="362"/>
    </row>
    <row r="74" spans="1:26" s="353" customFormat="1" ht="11.45" customHeight="1">
      <c r="A74" s="218"/>
      <c r="B74" s="218"/>
      <c r="C74" s="218"/>
      <c r="D74" s="216"/>
      <c r="E74" s="216"/>
      <c r="F74" s="218" t="s">
        <v>3533</v>
      </c>
      <c r="G74" s="218"/>
      <c r="H74" s="216"/>
      <c r="I74" s="216"/>
      <c r="J74" s="218" t="s">
        <v>3535</v>
      </c>
      <c r="K74" s="218"/>
      <c r="L74" s="218"/>
      <c r="M74" s="218"/>
      <c r="N74" s="218"/>
      <c r="O74" s="218"/>
      <c r="P74" s="216"/>
      <c r="Q74" s="1180">
        <v>0.15</v>
      </c>
      <c r="R74" s="1180"/>
      <c r="S74" s="361"/>
      <c r="T74" s="361"/>
      <c r="U74" s="216"/>
      <c r="V74" s="362"/>
      <c r="W74" s="362"/>
      <c r="X74" s="362"/>
    </row>
    <row r="75" spans="1:26" ht="10.9" customHeight="1"/>
    <row r="77" spans="1:26" ht="13.15" customHeight="1">
      <c r="C77" s="376"/>
      <c r="D77" s="376"/>
      <c r="E77" s="376"/>
      <c r="F77" s="376"/>
      <c r="G77" s="376"/>
      <c r="H77" s="376"/>
      <c r="I77" s="376"/>
    </row>
    <row r="79" spans="1:26" ht="13.5">
      <c r="D79" s="524">
        <v>2013</v>
      </c>
      <c r="J79" s="495" t="s">
        <v>1196</v>
      </c>
      <c r="K79" s="495"/>
      <c r="L79" s="351"/>
    </row>
    <row r="80" spans="1:26" ht="13.5">
      <c r="C80" s="748" t="s">
        <v>1703</v>
      </c>
      <c r="D80" s="494" t="s">
        <v>1438</v>
      </c>
      <c r="J80" s="496" t="s">
        <v>1199</v>
      </c>
      <c r="K80" s="496" t="s">
        <v>1197</v>
      </c>
      <c r="L80" s="497" t="s">
        <v>1198</v>
      </c>
    </row>
    <row r="81" spans="3:12" ht="10.5" customHeight="1">
      <c r="C81" s="492" t="s">
        <v>2476</v>
      </c>
      <c r="D81" s="612">
        <v>49100</v>
      </c>
      <c r="E81" s="369"/>
      <c r="F81" s="369"/>
      <c r="J81" s="525">
        <v>0</v>
      </c>
      <c r="K81" s="525">
        <v>0.7</v>
      </c>
      <c r="L81" s="525">
        <v>1</v>
      </c>
    </row>
    <row r="82" spans="3:12" ht="10.5" customHeight="1">
      <c r="C82" s="492" t="s">
        <v>1439</v>
      </c>
      <c r="D82" s="612">
        <v>58400</v>
      </c>
      <c r="E82" s="369"/>
      <c r="F82" s="369"/>
      <c r="J82" s="525">
        <v>1</v>
      </c>
      <c r="K82" s="525">
        <v>0.75</v>
      </c>
      <c r="L82" s="525">
        <v>1.5</v>
      </c>
    </row>
    <row r="83" spans="3:12" ht="10.5" customHeight="1">
      <c r="C83" s="492" t="s">
        <v>1151</v>
      </c>
      <c r="D83" s="612">
        <v>66300</v>
      </c>
      <c r="E83" s="369"/>
      <c r="F83" s="369"/>
      <c r="J83" s="525">
        <v>2</v>
      </c>
      <c r="K83" s="525">
        <v>0.9</v>
      </c>
      <c r="L83" s="525">
        <v>3</v>
      </c>
    </row>
    <row r="84" spans="3:12" ht="10.5" customHeight="1">
      <c r="C84" s="492" t="s">
        <v>1152</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1440</v>
      </c>
      <c r="D86" s="612">
        <v>63200</v>
      </c>
      <c r="E86" s="369"/>
      <c r="F86" s="369"/>
      <c r="J86" s="525">
        <v>5</v>
      </c>
      <c r="K86" s="525">
        <v>1.28</v>
      </c>
      <c r="L86" s="525">
        <v>7.5</v>
      </c>
    </row>
    <row r="87" spans="3:12" ht="10.5" customHeight="1">
      <c r="C87" s="492" t="s">
        <v>1977</v>
      </c>
      <c r="D87" s="612">
        <v>58000</v>
      </c>
      <c r="E87" s="369"/>
      <c r="F87" s="369"/>
    </row>
    <row r="88" spans="3:12" ht="10.5" customHeight="1">
      <c r="C88" s="492" t="s">
        <v>177</v>
      </c>
      <c r="D88" s="612">
        <v>48200</v>
      </c>
      <c r="E88" s="369"/>
      <c r="F88" s="369"/>
    </row>
    <row r="89" spans="3:12" ht="10.5" customHeight="1">
      <c r="C89" s="492" t="s">
        <v>367</v>
      </c>
      <c r="D89" s="612">
        <v>50600</v>
      </c>
      <c r="E89" s="369"/>
      <c r="F89" s="369"/>
    </row>
    <row r="90" spans="3:12" ht="10.5" customHeight="1">
      <c r="C90" s="493" t="s">
        <v>1641</v>
      </c>
      <c r="D90" s="612">
        <v>56500</v>
      </c>
      <c r="E90" s="369"/>
      <c r="F90" s="369"/>
    </row>
    <row r="91" spans="3:12" ht="10.5" customHeight="1">
      <c r="C91" s="493" t="s">
        <v>1153</v>
      </c>
      <c r="D91" s="612">
        <v>48200</v>
      </c>
      <c r="E91" s="369"/>
      <c r="F91" s="369"/>
    </row>
    <row r="92" spans="3:12" ht="10.5" customHeight="1">
      <c r="C92" s="493" t="s">
        <v>1441</v>
      </c>
      <c r="D92" s="612">
        <v>42600</v>
      </c>
      <c r="E92" s="369"/>
      <c r="F92" s="369"/>
    </row>
    <row r="93" spans="3:12" ht="10.5" customHeight="1">
      <c r="C93" s="492" t="s">
        <v>1154</v>
      </c>
      <c r="D93" s="612">
        <v>44900</v>
      </c>
      <c r="E93" s="369"/>
      <c r="F93" s="369"/>
    </row>
    <row r="94" spans="3:12" ht="10.5" customHeight="1">
      <c r="C94" s="493" t="s">
        <v>1905</v>
      </c>
      <c r="D94" s="612">
        <v>49600</v>
      </c>
      <c r="E94" s="369"/>
      <c r="F94" s="369"/>
    </row>
    <row r="95" spans="3:12" ht="10.5" customHeight="1">
      <c r="C95" s="492" t="s">
        <v>1753</v>
      </c>
      <c r="D95" s="612">
        <v>54400</v>
      </c>
      <c r="E95" s="369"/>
      <c r="F95" s="369"/>
    </row>
    <row r="96" spans="3:12" ht="10.5" customHeight="1">
      <c r="C96" s="493" t="s">
        <v>1156</v>
      </c>
      <c r="D96" s="612">
        <v>50100</v>
      </c>
      <c r="E96" s="369"/>
      <c r="F96" s="369"/>
    </row>
    <row r="97" spans="3:6" ht="10.5" customHeight="1">
      <c r="C97" s="493" t="s">
        <v>2755</v>
      </c>
      <c r="D97" s="612">
        <v>64900</v>
      </c>
      <c r="E97" s="369"/>
      <c r="F97" s="369"/>
    </row>
    <row r="98" spans="3:6" ht="10.5" customHeight="1">
      <c r="C98" s="493" t="s">
        <v>3384</v>
      </c>
      <c r="D98" s="612">
        <v>48300</v>
      </c>
      <c r="E98" s="369"/>
      <c r="F98" s="369"/>
    </row>
    <row r="99" spans="3:6" ht="10.5" customHeight="1">
      <c r="C99" s="492" t="s">
        <v>2995</v>
      </c>
      <c r="D99" s="612">
        <v>50300</v>
      </c>
      <c r="E99" s="369"/>
      <c r="F99" s="369"/>
    </row>
    <row r="100" spans="3:6" ht="10.5" customHeight="1">
      <c r="C100" s="492" t="s">
        <v>1759</v>
      </c>
      <c r="D100" s="612">
        <v>60000</v>
      </c>
      <c r="E100" s="369"/>
      <c r="F100" s="369"/>
    </row>
    <row r="101" spans="3:6" ht="10.5" customHeight="1">
      <c r="C101" s="492" t="s">
        <v>2385</v>
      </c>
      <c r="D101" s="612">
        <v>45400</v>
      </c>
      <c r="E101" s="369"/>
      <c r="F101" s="369"/>
    </row>
    <row r="102" spans="3:6" ht="10.5" customHeight="1">
      <c r="C102" s="492" t="s">
        <v>2398</v>
      </c>
      <c r="D102" s="612">
        <v>68700</v>
      </c>
      <c r="E102" s="369"/>
      <c r="F102" s="369"/>
    </row>
    <row r="103" spans="3:6" ht="10.5" customHeight="1">
      <c r="C103" s="493" t="s">
        <v>1632</v>
      </c>
      <c r="D103" s="612">
        <v>48900</v>
      </c>
      <c r="E103" s="369"/>
      <c r="F103" s="369"/>
    </row>
    <row r="104" spans="3:6" ht="10.5" customHeight="1">
      <c r="C104" s="493" t="s">
        <v>2472</v>
      </c>
      <c r="D104" s="612">
        <v>37000</v>
      </c>
      <c r="E104" s="369"/>
      <c r="F104" s="369"/>
    </row>
    <row r="105" spans="3:6" ht="10.5" customHeight="1">
      <c r="C105" s="493" t="s">
        <v>2474</v>
      </c>
      <c r="D105" s="612">
        <v>48300</v>
      </c>
      <c r="E105" s="369"/>
      <c r="F105" s="369"/>
    </row>
    <row r="106" spans="3:6" ht="10.5" customHeight="1">
      <c r="C106" s="492" t="s">
        <v>172</v>
      </c>
      <c r="D106" s="612">
        <v>50700</v>
      </c>
      <c r="E106" s="369"/>
      <c r="F106" s="369"/>
    </row>
    <row r="107" spans="3:6" ht="10.5" customHeight="1">
      <c r="C107" s="493" t="s">
        <v>1745</v>
      </c>
      <c r="D107" s="612">
        <v>51700</v>
      </c>
      <c r="E107" s="369"/>
      <c r="F107" s="369"/>
    </row>
    <row r="108" spans="3:6" ht="10.5" customHeight="1">
      <c r="C108" s="493" t="s">
        <v>1442</v>
      </c>
      <c r="D108" s="612">
        <v>38100</v>
      </c>
      <c r="E108" s="369"/>
      <c r="F108" s="369"/>
    </row>
    <row r="109" spans="3:6" ht="10.5" customHeight="1">
      <c r="C109" s="493" t="s">
        <v>1751</v>
      </c>
      <c r="D109" s="612">
        <v>43400</v>
      </c>
      <c r="E109" s="369"/>
      <c r="F109" s="369"/>
    </row>
    <row r="110" spans="3:6" ht="10.5" customHeight="1">
      <c r="C110" s="492" t="s">
        <v>1755</v>
      </c>
      <c r="D110" s="612">
        <v>51800</v>
      </c>
      <c r="E110" s="369"/>
      <c r="F110" s="369"/>
    </row>
    <row r="111" spans="3:6" ht="10.5" customHeight="1">
      <c r="C111" s="492" t="s">
        <v>1761</v>
      </c>
      <c r="D111" s="612">
        <v>46000</v>
      </c>
      <c r="E111" s="369"/>
      <c r="F111" s="369"/>
    </row>
    <row r="112" spans="3:6" ht="10.5" customHeight="1">
      <c r="C112" s="493" t="s">
        <v>1766</v>
      </c>
      <c r="D112" s="612">
        <v>39700</v>
      </c>
      <c r="E112" s="369"/>
      <c r="F112" s="369"/>
    </row>
    <row r="113" spans="3:6" ht="10.5" customHeight="1">
      <c r="C113" s="492" t="s">
        <v>1034</v>
      </c>
      <c r="D113" s="612">
        <v>61000</v>
      </c>
      <c r="E113" s="369"/>
      <c r="F113" s="369"/>
    </row>
    <row r="114" spans="3:6" ht="10.5" customHeight="1">
      <c r="C114" s="493" t="s">
        <v>1036</v>
      </c>
      <c r="D114" s="612">
        <v>41600</v>
      </c>
      <c r="E114" s="369"/>
      <c r="F114" s="369"/>
    </row>
    <row r="115" spans="3:6" ht="10.5" customHeight="1">
      <c r="C115" s="493" t="s">
        <v>174</v>
      </c>
      <c r="D115" s="612">
        <v>48800</v>
      </c>
      <c r="E115" s="369"/>
      <c r="F115" s="369"/>
    </row>
    <row r="116" spans="3:6" ht="10.5" customHeight="1">
      <c r="C116" s="493" t="s">
        <v>179</v>
      </c>
      <c r="D116" s="612">
        <v>41500</v>
      </c>
      <c r="E116" s="369"/>
      <c r="F116" s="369"/>
    </row>
    <row r="117" spans="3:6" ht="10.5" customHeight="1">
      <c r="C117" s="493" t="s">
        <v>3263</v>
      </c>
      <c r="D117" s="612">
        <v>33300</v>
      </c>
      <c r="E117" s="369"/>
      <c r="F117" s="369"/>
    </row>
    <row r="118" spans="3:6" ht="10.5" customHeight="1">
      <c r="C118" s="493" t="s">
        <v>3266</v>
      </c>
      <c r="D118" s="612">
        <v>48200</v>
      </c>
      <c r="E118" s="369"/>
      <c r="F118" s="369"/>
    </row>
    <row r="119" spans="3:6" ht="10.5" customHeight="1">
      <c r="C119" s="493" t="s">
        <v>3269</v>
      </c>
      <c r="D119" s="612">
        <v>42400</v>
      </c>
      <c r="E119" s="369"/>
      <c r="F119" s="369"/>
    </row>
    <row r="120" spans="3:6" ht="10.5" customHeight="1">
      <c r="C120" s="493" t="s">
        <v>3315</v>
      </c>
      <c r="D120" s="612">
        <v>41500</v>
      </c>
      <c r="E120" s="369"/>
      <c r="F120" s="369"/>
    </row>
    <row r="121" spans="3:6" ht="10.5" customHeight="1">
      <c r="C121" s="493" t="s">
        <v>3318</v>
      </c>
      <c r="D121" s="612">
        <v>39700</v>
      </c>
      <c r="E121" s="369"/>
      <c r="F121" s="369"/>
    </row>
    <row r="122" spans="3:6" ht="10.5" customHeight="1">
      <c r="C122" s="493" t="s">
        <v>211</v>
      </c>
      <c r="D122" s="612">
        <v>44200</v>
      </c>
      <c r="E122" s="369"/>
      <c r="F122" s="369"/>
    </row>
    <row r="123" spans="3:6" ht="10.5" customHeight="1">
      <c r="C123" s="493" t="s">
        <v>215</v>
      </c>
      <c r="D123" s="612">
        <v>47100</v>
      </c>
      <c r="E123" s="369"/>
      <c r="F123" s="369"/>
    </row>
    <row r="124" spans="3:6" ht="10.5" customHeight="1">
      <c r="C124" s="493" t="s">
        <v>1348</v>
      </c>
      <c r="D124" s="612">
        <v>49400</v>
      </c>
      <c r="E124" s="369"/>
      <c r="F124" s="369"/>
    </row>
    <row r="125" spans="3:6" ht="10.5" customHeight="1">
      <c r="C125" s="493" t="s">
        <v>1350</v>
      </c>
      <c r="D125" s="612">
        <v>42100</v>
      </c>
      <c r="E125" s="369"/>
      <c r="F125" s="369"/>
    </row>
    <row r="126" spans="3:6" ht="10.5" customHeight="1">
      <c r="C126" s="493" t="s">
        <v>1269</v>
      </c>
      <c r="D126" s="612">
        <v>42800</v>
      </c>
      <c r="E126" s="369"/>
      <c r="F126" s="369"/>
    </row>
    <row r="127" spans="3:6" ht="10.5" customHeight="1">
      <c r="C127" s="493" t="s">
        <v>1273</v>
      </c>
      <c r="D127" s="612">
        <v>37800</v>
      </c>
      <c r="E127" s="369"/>
      <c r="F127" s="369"/>
    </row>
    <row r="128" spans="3:6" ht="10.5" customHeight="1">
      <c r="C128" s="493" t="s">
        <v>2970</v>
      </c>
      <c r="D128" s="612">
        <v>38700</v>
      </c>
      <c r="E128" s="369"/>
      <c r="F128" s="369"/>
    </row>
    <row r="129" spans="3:6" ht="10.5" customHeight="1">
      <c r="C129" s="493" t="s">
        <v>839</v>
      </c>
      <c r="D129" s="612">
        <v>48800</v>
      </c>
      <c r="E129" s="369"/>
      <c r="F129" s="369"/>
    </row>
    <row r="130" spans="3:6" ht="10.5" customHeight="1">
      <c r="C130" s="493" t="s">
        <v>841</v>
      </c>
      <c r="D130" s="612">
        <v>44000</v>
      </c>
      <c r="E130" s="369"/>
      <c r="F130" s="369"/>
    </row>
    <row r="131" spans="3:6" ht="10.5" customHeight="1">
      <c r="C131" s="492" t="s">
        <v>846</v>
      </c>
      <c r="D131" s="612">
        <v>47500</v>
      </c>
      <c r="E131" s="369"/>
      <c r="F131" s="369"/>
    </row>
    <row r="132" spans="3:6" ht="10.5" customHeight="1">
      <c r="C132" s="493" t="s">
        <v>848</v>
      </c>
      <c r="D132" s="612">
        <v>48200</v>
      </c>
      <c r="E132" s="369"/>
      <c r="F132" s="369"/>
    </row>
    <row r="133" spans="3:6" ht="10.5" customHeight="1">
      <c r="C133" s="492" t="s">
        <v>850</v>
      </c>
      <c r="D133" s="612">
        <v>49200</v>
      </c>
      <c r="E133" s="369"/>
      <c r="F133" s="369"/>
    </row>
    <row r="134" spans="3:6" ht="10.5" customHeight="1">
      <c r="C134" s="493" t="s">
        <v>853</v>
      </c>
      <c r="D134" s="612">
        <v>51000</v>
      </c>
      <c r="E134" s="369"/>
      <c r="F134" s="369"/>
    </row>
    <row r="135" spans="3:6" ht="10.5" customHeight="1">
      <c r="C135" s="493" t="s">
        <v>855</v>
      </c>
      <c r="D135" s="612">
        <v>41600</v>
      </c>
      <c r="E135" s="369"/>
      <c r="F135" s="369"/>
    </row>
    <row r="136" spans="3:6" ht="10.5" customHeight="1">
      <c r="C136" s="493" t="s">
        <v>857</v>
      </c>
      <c r="D136" s="612">
        <v>45000</v>
      </c>
      <c r="E136" s="369"/>
      <c r="F136" s="369"/>
    </row>
    <row r="137" spans="3:6" ht="10.5" customHeight="1">
      <c r="C137" s="493" t="s">
        <v>129</v>
      </c>
      <c r="D137" s="612">
        <v>52300</v>
      </c>
      <c r="E137" s="369"/>
      <c r="F137" s="369"/>
    </row>
    <row r="138" spans="3:6" ht="10.5" customHeight="1">
      <c r="C138" s="493" t="s">
        <v>345</v>
      </c>
      <c r="D138" s="612">
        <v>28900</v>
      </c>
      <c r="E138" s="369"/>
      <c r="F138" s="369"/>
    </row>
    <row r="139" spans="3:6" ht="10.5" customHeight="1">
      <c r="C139" s="493" t="s">
        <v>349</v>
      </c>
      <c r="D139" s="612">
        <v>47200</v>
      </c>
      <c r="E139" s="369"/>
      <c r="F139" s="369"/>
    </row>
    <row r="140" spans="3:6" ht="10.5" customHeight="1">
      <c r="C140" s="493" t="s">
        <v>354</v>
      </c>
      <c r="D140" s="612">
        <v>54500</v>
      </c>
      <c r="E140" s="369"/>
      <c r="F140" s="369"/>
    </row>
    <row r="141" spans="3:6" ht="10.5" customHeight="1">
      <c r="C141" s="493" t="s">
        <v>356</v>
      </c>
      <c r="D141" s="612">
        <v>61900</v>
      </c>
      <c r="E141" s="369"/>
      <c r="F141" s="369"/>
    </row>
    <row r="142" spans="3:6" ht="10.5" customHeight="1">
      <c r="C142" s="493" t="s">
        <v>359</v>
      </c>
      <c r="D142" s="612">
        <v>42800</v>
      </c>
      <c r="E142" s="369"/>
      <c r="F142" s="369"/>
    </row>
    <row r="143" spans="3:6" ht="10.5" customHeight="1">
      <c r="C143" s="493" t="s">
        <v>361</v>
      </c>
      <c r="D143" s="612">
        <v>39300</v>
      </c>
      <c r="E143" s="369"/>
      <c r="F143" s="369"/>
    </row>
    <row r="144" spans="3:6" ht="10.5" customHeight="1">
      <c r="C144" s="493" t="s">
        <v>363</v>
      </c>
      <c r="D144" s="612">
        <v>38100</v>
      </c>
      <c r="E144" s="369"/>
      <c r="F144" s="369"/>
    </row>
    <row r="145" spans="3:6" ht="10.5" customHeight="1">
      <c r="C145" s="493" t="s">
        <v>365</v>
      </c>
      <c r="D145" s="612">
        <v>38000</v>
      </c>
      <c r="E145" s="369"/>
      <c r="F145" s="369"/>
    </row>
    <row r="146" spans="3:6" ht="10.5" customHeight="1">
      <c r="C146" s="493" t="s">
        <v>1899</v>
      </c>
      <c r="D146" s="612">
        <v>49400</v>
      </c>
      <c r="E146" s="369"/>
      <c r="F146" s="369"/>
    </row>
    <row r="147" spans="3:6" ht="10.5" customHeight="1">
      <c r="C147" s="493" t="s">
        <v>1903</v>
      </c>
      <c r="D147" s="612">
        <v>46600</v>
      </c>
      <c r="E147" s="369"/>
      <c r="F147" s="369"/>
    </row>
    <row r="148" spans="3:6" ht="10.5" customHeight="1">
      <c r="C148" s="492" t="s">
        <v>194</v>
      </c>
      <c r="D148" s="612">
        <v>53500</v>
      </c>
      <c r="E148" s="369"/>
      <c r="F148" s="369"/>
    </row>
    <row r="149" spans="3:6" ht="10.5" customHeight="1">
      <c r="C149" s="493" t="s">
        <v>195</v>
      </c>
      <c r="D149" s="612">
        <v>39600</v>
      </c>
      <c r="E149" s="369"/>
      <c r="F149" s="369"/>
    </row>
    <row r="150" spans="3:6" ht="10.5" customHeight="1">
      <c r="C150" s="493" t="s">
        <v>2234</v>
      </c>
      <c r="D150" s="612">
        <v>43200</v>
      </c>
      <c r="E150" s="369"/>
      <c r="F150" s="369"/>
    </row>
    <row r="151" spans="3:6" ht="10.5" customHeight="1">
      <c r="C151" s="493" t="s">
        <v>2236</v>
      </c>
      <c r="D151" s="612">
        <v>46700</v>
      </c>
      <c r="E151" s="369"/>
      <c r="F151" s="369"/>
    </row>
    <row r="152" spans="3:6" ht="10.5" customHeight="1">
      <c r="C152" s="493" t="s">
        <v>202</v>
      </c>
      <c r="D152" s="612">
        <v>48900</v>
      </c>
      <c r="E152" s="369"/>
      <c r="F152" s="369"/>
    </row>
    <row r="153" spans="3:6" ht="10.5" customHeight="1">
      <c r="C153" s="492" t="s">
        <v>3382</v>
      </c>
      <c r="D153" s="612">
        <v>61400</v>
      </c>
      <c r="E153" s="369"/>
      <c r="F153" s="369"/>
    </row>
    <row r="154" spans="3:6" ht="10.5" customHeight="1">
      <c r="C154" s="493" t="s">
        <v>1499</v>
      </c>
      <c r="D154" s="612">
        <v>57100</v>
      </c>
      <c r="E154" s="369"/>
      <c r="F154" s="369"/>
    </row>
    <row r="155" spans="3:6" ht="10.5" customHeight="1">
      <c r="C155" s="493" t="s">
        <v>1502</v>
      </c>
      <c r="D155" s="612">
        <v>50100</v>
      </c>
      <c r="E155" s="369"/>
      <c r="F155" s="369"/>
    </row>
    <row r="156" spans="3:6" ht="10.5" customHeight="1">
      <c r="C156" s="493" t="s">
        <v>1505</v>
      </c>
      <c r="D156" s="612">
        <v>45900</v>
      </c>
      <c r="E156" s="369"/>
      <c r="F156" s="369"/>
    </row>
    <row r="157" spans="3:6" ht="10.5" customHeight="1">
      <c r="C157" s="492" t="s">
        <v>1507</v>
      </c>
      <c r="D157" s="612">
        <v>49800</v>
      </c>
      <c r="E157" s="369"/>
      <c r="F157" s="369"/>
    </row>
    <row r="158" spans="3:6" ht="10.5" customHeight="1">
      <c r="C158" s="492" t="s">
        <v>1509</v>
      </c>
      <c r="D158" s="612">
        <v>52900</v>
      </c>
      <c r="E158" s="369"/>
      <c r="F158" s="369"/>
    </row>
    <row r="159" spans="3:6" ht="10.5" customHeight="1">
      <c r="C159" s="493" t="s">
        <v>1511</v>
      </c>
      <c r="D159" s="612">
        <v>36500</v>
      </c>
      <c r="E159" s="369"/>
      <c r="F159" s="369"/>
    </row>
    <row r="160" spans="3:6" ht="10.5" customHeight="1">
      <c r="C160" s="493" t="s">
        <v>1513</v>
      </c>
      <c r="D160" s="612">
        <v>53600</v>
      </c>
      <c r="E160" s="369"/>
      <c r="F160" s="369"/>
    </row>
    <row r="161" spans="3:6" ht="10.5" customHeight="1">
      <c r="C161" s="493" t="s">
        <v>1515</v>
      </c>
      <c r="D161" s="612">
        <v>31700</v>
      </c>
      <c r="E161" s="369"/>
      <c r="F161" s="369"/>
    </row>
    <row r="162" spans="3:6" ht="10.5" customHeight="1">
      <c r="C162" s="493" t="s">
        <v>2885</v>
      </c>
      <c r="D162" s="612">
        <v>50200</v>
      </c>
      <c r="E162" s="369"/>
      <c r="F162" s="369"/>
    </row>
    <row r="163" spans="3:6" ht="10.5" customHeight="1">
      <c r="C163" s="493" t="s">
        <v>2887</v>
      </c>
      <c r="D163" s="612">
        <v>47000</v>
      </c>
      <c r="E163" s="369"/>
      <c r="F163" s="369"/>
    </row>
    <row r="164" spans="3:6" ht="10.5" customHeight="1">
      <c r="C164" s="492" t="s">
        <v>2889</v>
      </c>
      <c r="D164" s="612">
        <v>40700</v>
      </c>
      <c r="E164" s="369"/>
      <c r="F164" s="369"/>
    </row>
    <row r="165" spans="3:6" ht="10.5" customHeight="1">
      <c r="C165" s="492" t="s">
        <v>2892</v>
      </c>
      <c r="D165" s="612">
        <v>44400</v>
      </c>
      <c r="E165" s="369"/>
      <c r="F165" s="369"/>
    </row>
    <row r="166" spans="3:6" ht="10.5" customHeight="1">
      <c r="C166" s="493" t="s">
        <v>2894</v>
      </c>
      <c r="D166" s="612">
        <v>44300</v>
      </c>
      <c r="E166" s="369"/>
      <c r="F166" s="369"/>
    </row>
    <row r="167" spans="3:6" ht="10.5" customHeight="1">
      <c r="C167" s="493" t="s">
        <v>2896</v>
      </c>
      <c r="D167" s="612">
        <v>44000</v>
      </c>
      <c r="E167" s="369"/>
      <c r="F167" s="369"/>
    </row>
    <row r="168" spans="3:6" ht="10.5" customHeight="1">
      <c r="C168" s="493" t="s">
        <v>2898</v>
      </c>
      <c r="D168" s="612">
        <v>46400</v>
      </c>
      <c r="E168" s="369"/>
      <c r="F168" s="369"/>
    </row>
    <row r="169" spans="3:6" ht="10.5" customHeight="1">
      <c r="C169" s="493" t="s">
        <v>2900</v>
      </c>
      <c r="D169" s="612">
        <v>31200</v>
      </c>
      <c r="E169" s="369"/>
      <c r="F169" s="369"/>
    </row>
    <row r="170" spans="3:6" ht="10.5" customHeight="1">
      <c r="C170" s="493" t="s">
        <v>2902</v>
      </c>
      <c r="D170" s="612">
        <v>48500</v>
      </c>
      <c r="E170" s="369"/>
      <c r="F170" s="369"/>
    </row>
    <row r="171" spans="3:6" ht="10.5" customHeight="1">
      <c r="C171" s="493" t="s">
        <v>1264</v>
      </c>
      <c r="D171" s="612">
        <v>38100</v>
      </c>
      <c r="E171" s="369"/>
      <c r="F171" s="369"/>
    </row>
    <row r="172" spans="3:6" ht="10.5" customHeight="1">
      <c r="C172" s="493" t="s">
        <v>1266</v>
      </c>
      <c r="D172" s="612">
        <v>38400</v>
      </c>
      <c r="E172" s="369"/>
      <c r="F172" s="369"/>
    </row>
    <row r="173" spans="3:6" ht="10.5" customHeight="1">
      <c r="C173" s="492" t="s">
        <v>2347</v>
      </c>
      <c r="D173" s="612">
        <v>49200</v>
      </c>
      <c r="E173" s="369"/>
      <c r="F173" s="369"/>
    </row>
    <row r="174" spans="3:6" ht="10.5" customHeight="1">
      <c r="C174" s="492" t="s">
        <v>2616</v>
      </c>
      <c r="D174" s="612">
        <v>48200</v>
      </c>
      <c r="E174" s="369"/>
      <c r="F174" s="369"/>
    </row>
    <row r="175" spans="3:6" ht="10.5" customHeight="1">
      <c r="C175" s="492" t="s">
        <v>2618</v>
      </c>
      <c r="D175" s="612">
        <v>47000</v>
      </c>
      <c r="E175" s="369"/>
      <c r="F175" s="369"/>
    </row>
    <row r="176" spans="3:6" ht="10.5" customHeight="1">
      <c r="C176" s="492" t="s">
        <v>2620</v>
      </c>
      <c r="D176" s="612">
        <v>51000</v>
      </c>
      <c r="E176" s="369"/>
      <c r="F176" s="369"/>
    </row>
    <row r="177" spans="3:6" ht="10.5" customHeight="1">
      <c r="C177" s="492" t="s">
        <v>2622</v>
      </c>
      <c r="D177" s="612">
        <v>51100</v>
      </c>
      <c r="E177" s="369"/>
      <c r="F177" s="369"/>
    </row>
    <row r="178" spans="3:6" ht="10.5" customHeight="1">
      <c r="C178" s="493" t="s">
        <v>2624</v>
      </c>
      <c r="D178" s="612">
        <v>50200</v>
      </c>
      <c r="E178" s="369"/>
      <c r="F178" s="369"/>
    </row>
    <row r="179" spans="3:6" ht="10.5" customHeight="1">
      <c r="C179" s="492" t="s">
        <v>2626</v>
      </c>
      <c r="D179" s="612">
        <v>43000</v>
      </c>
      <c r="E179" s="369"/>
      <c r="F179" s="369"/>
    </row>
    <row r="180" spans="3:6" ht="10.5" customHeight="1">
      <c r="C180" s="492" t="s">
        <v>2629</v>
      </c>
      <c r="D180" s="612">
        <v>54000</v>
      </c>
      <c r="E180" s="369"/>
      <c r="F180" s="369"/>
    </row>
    <row r="181" spans="3:6" ht="10.5" customHeight="1">
      <c r="C181" s="493" t="s">
        <v>2717</v>
      </c>
      <c r="D181" s="612">
        <v>45400</v>
      </c>
      <c r="E181" s="369"/>
      <c r="F181" s="369"/>
    </row>
    <row r="182" spans="3:6" ht="10.5" customHeight="1">
      <c r="C182" s="492" t="s">
        <v>109</v>
      </c>
      <c r="D182" s="612">
        <v>50600</v>
      </c>
      <c r="E182" s="369"/>
      <c r="F182" s="369"/>
    </row>
    <row r="183" spans="3:6" ht="10.5" customHeight="1">
      <c r="C183" s="492" t="s">
        <v>111</v>
      </c>
      <c r="D183" s="612">
        <v>39200</v>
      </c>
      <c r="E183" s="369"/>
      <c r="F183" s="369"/>
    </row>
    <row r="184" spans="3:6" ht="10.5" customHeight="1">
      <c r="C184" s="492" t="s">
        <v>113</v>
      </c>
      <c r="D184" s="612">
        <v>43600</v>
      </c>
      <c r="E184" s="369"/>
      <c r="F184" s="369"/>
    </row>
    <row r="185" spans="3:6" ht="10.5" customHeight="1">
      <c r="C185" s="492" t="s">
        <v>115</v>
      </c>
      <c r="D185" s="612">
        <v>48500</v>
      </c>
      <c r="E185" s="369"/>
      <c r="F185" s="369"/>
    </row>
    <row r="186" spans="3:6" ht="10.5" customHeight="1">
      <c r="C186" s="492" t="s">
        <v>117</v>
      </c>
      <c r="D186" s="612">
        <v>43000</v>
      </c>
      <c r="E186" s="369"/>
      <c r="F186" s="369"/>
    </row>
    <row r="187" spans="3:6" ht="10.5" customHeight="1">
      <c r="C187" s="492" t="s">
        <v>119</v>
      </c>
      <c r="D187" s="612">
        <v>47900</v>
      </c>
      <c r="E187" s="369"/>
      <c r="F187" s="369"/>
    </row>
    <row r="188" spans="3:6" ht="10.5" customHeight="1">
      <c r="C188" s="492" t="s">
        <v>121</v>
      </c>
      <c r="D188" s="612">
        <v>54200</v>
      </c>
      <c r="E188" s="369"/>
      <c r="F188" s="369"/>
    </row>
    <row r="189" spans="3:6" ht="10.5" customHeight="1">
      <c r="C189" s="492" t="s">
        <v>3155</v>
      </c>
      <c r="D189" s="612">
        <v>43100</v>
      </c>
      <c r="E189" s="369"/>
      <c r="F189" s="369"/>
    </row>
    <row r="190" spans="3:6" ht="10.5" customHeight="1">
      <c r="C190" s="492" t="s">
        <v>3157</v>
      </c>
      <c r="D190" s="612">
        <v>41600</v>
      </c>
      <c r="E190" s="369"/>
      <c r="F190" s="369"/>
    </row>
    <row r="191" spans="3:6" ht="10.5" customHeight="1">
      <c r="C191" s="492" t="s">
        <v>3159</v>
      </c>
      <c r="D191" s="612">
        <v>52200</v>
      </c>
      <c r="E191" s="369"/>
      <c r="F191" s="369"/>
    </row>
  </sheetData>
  <sheetProtection password="BD88" sheet="1" objects="1" scenarios="1"/>
  <mergeCells count="30">
    <mergeCell ref="Q51:R51"/>
    <mergeCell ref="Q47:R47"/>
    <mergeCell ref="Q42:R42"/>
    <mergeCell ref="Q68:R68"/>
    <mergeCell ref="Q69:R69"/>
    <mergeCell ref="Q64:R64"/>
    <mergeCell ref="Q65:R65"/>
    <mergeCell ref="Q66:R66"/>
    <mergeCell ref="Q67:R67"/>
    <mergeCell ref="A2:R2"/>
    <mergeCell ref="Q25:R25"/>
    <mergeCell ref="Q26:R26"/>
    <mergeCell ref="Q27:R27"/>
    <mergeCell ref="Q40:R4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activeCell="A5" sqref="A1:XFD1048576"/>
    </sheetView>
  </sheetViews>
  <sheetFormatPr defaultRowHeight="12.75"/>
  <cols>
    <col min="1" max="1" width="144.85546875" style="31" customWidth="1"/>
    <col min="2" max="16384" width="9.140625" style="31"/>
  </cols>
  <sheetData>
    <row r="1" spans="1:6" ht="15.75">
      <c r="A1" s="1300" t="s">
        <v>1378</v>
      </c>
    </row>
    <row r="2" spans="1:6" ht="16.5">
      <c r="A2" s="1301" t="str">
        <f>'Part I-Project Information'!F23</f>
        <v>Country Grove Apartments</v>
      </c>
    </row>
    <row r="3" spans="1:6" ht="16.5">
      <c r="A3" s="1301" t="str">
        <f>CONCATENATE('Part I-Project Information'!F26,", ", 'Part I-Project Information'!J27," County")</f>
        <v>Monroe, Walton County</v>
      </c>
    </row>
    <row r="4" spans="1:6" ht="12" customHeight="1"/>
    <row r="5" spans="1:6" ht="111" customHeight="1">
      <c r="A5" s="1302" t="s">
        <v>4199</v>
      </c>
      <c r="B5" s="826" t="s">
        <v>3594</v>
      </c>
      <c r="C5" s="826"/>
      <c r="D5" s="826"/>
      <c r="E5" s="826"/>
      <c r="F5" s="826"/>
    </row>
    <row r="6" spans="1:6" ht="6.6" customHeight="1">
      <c r="A6" s="1302"/>
      <c r="B6" s="826"/>
      <c r="C6" s="826"/>
      <c r="D6" s="826"/>
      <c r="E6" s="826"/>
      <c r="F6" s="826"/>
    </row>
    <row r="7" spans="1:6" ht="93" customHeight="1">
      <c r="A7" s="1302"/>
    </row>
    <row r="8" spans="1:6" ht="6.6" customHeight="1">
      <c r="A8" s="1302"/>
    </row>
    <row r="9" spans="1:6" ht="93" customHeight="1">
      <c r="A9" s="1302"/>
    </row>
    <row r="10" spans="1:6" ht="6.6" customHeight="1">
      <c r="A10" s="1302"/>
    </row>
    <row r="11" spans="1:6" ht="93" customHeight="1">
      <c r="A11" s="1302"/>
    </row>
    <row r="12" spans="1:6" ht="6.6" customHeight="1">
      <c r="A12" s="1302"/>
    </row>
    <row r="13" spans="1:6" ht="93" customHeight="1">
      <c r="A13" s="1302"/>
    </row>
    <row r="14" spans="1:6" ht="6.6" customHeight="1">
      <c r="A14" s="1302"/>
    </row>
    <row r="15" spans="1:6" ht="93" customHeight="1">
      <c r="A15" s="1302"/>
    </row>
    <row r="16" spans="1:6" ht="6.6" customHeight="1">
      <c r="A16" s="1302"/>
    </row>
    <row r="17" spans="1:1" ht="93" customHeight="1">
      <c r="A17" s="1302"/>
    </row>
    <row r="18" spans="1:1" ht="6.6" customHeight="1">
      <c r="A18" s="1302"/>
    </row>
    <row r="19" spans="1:1" ht="93" customHeight="1">
      <c r="A19" s="1302"/>
    </row>
    <row r="20" spans="1:1" ht="6.6" customHeight="1">
      <c r="A20" s="1302"/>
    </row>
    <row r="21" spans="1:1" ht="93" customHeight="1">
      <c r="A21" s="1302"/>
    </row>
    <row r="22" spans="1:1" ht="6.6" customHeight="1">
      <c r="A22" s="1302"/>
    </row>
    <row r="23" spans="1:1" ht="93" customHeight="1">
      <c r="A23" s="1302"/>
    </row>
  </sheetData>
  <sheetProtection password="BD88"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tabSelected="1" zoomScaleNormal="100" workbookViewId="0">
      <selection activeCell="A37" sqref="A1:XFD1048576"/>
    </sheetView>
  </sheetViews>
  <sheetFormatPr defaultColWidth="9.140625" defaultRowHeight="12" customHeight="1"/>
  <cols>
    <col min="1" max="1" width="3.28515625" style="406" customWidth="1"/>
    <col min="2" max="2" width="2.28515625" style="430" customWidth="1"/>
    <col min="3" max="16" width="8.85546875" style="406" customWidth="1"/>
    <col min="17" max="16384" width="9.140625" style="406"/>
  </cols>
  <sheetData>
    <row r="1" spans="1:16" s="386" customFormat="1" ht="13.9" customHeight="1">
      <c r="A1" s="835" t="str">
        <f>CONCATENATE("PART ONE - PROJECT INFORMATION"," - ",$O$4," ",$F$23,", ",'Part I-Project Information'!F26,", ",'Part I-Project Information'!J27," County")</f>
        <v>PART ONE - PROJECT INFORMATION - 2013-007 Country Grove Apartments, Monroe, Walton County</v>
      </c>
      <c r="B1" s="836"/>
      <c r="C1" s="836"/>
      <c r="D1" s="836"/>
      <c r="E1" s="836"/>
      <c r="F1" s="836"/>
      <c r="G1" s="836"/>
      <c r="H1" s="836"/>
      <c r="I1" s="836"/>
      <c r="J1" s="836"/>
      <c r="K1" s="836"/>
      <c r="L1" s="836"/>
      <c r="M1" s="836"/>
      <c r="N1" s="836"/>
      <c r="O1" s="836"/>
      <c r="P1" s="837"/>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3118</v>
      </c>
      <c r="F3" s="388"/>
      <c r="G3" s="352" t="s">
        <v>568</v>
      </c>
      <c r="L3" s="387"/>
      <c r="O3" s="844" t="s">
        <v>3548</v>
      </c>
      <c r="P3" s="844"/>
    </row>
    <row r="4" spans="1:16" s="386" customFormat="1" ht="12" customHeight="1" thickBot="1">
      <c r="A4" s="687"/>
      <c r="B4" s="389"/>
      <c r="C4" s="389"/>
      <c r="F4" s="390"/>
      <c r="G4" s="352" t="s">
        <v>569</v>
      </c>
      <c r="H4" s="799"/>
      <c r="I4" s="799"/>
      <c r="J4" s="799"/>
      <c r="O4" s="1303" t="s">
        <v>4204</v>
      </c>
      <c r="P4" s="1304"/>
    </row>
    <row r="5" spans="1:16" s="386" customFormat="1" ht="9" customHeight="1">
      <c r="A5" s="687"/>
      <c r="B5" s="389"/>
      <c r="C5" s="389"/>
      <c r="D5" s="389"/>
      <c r="E5" s="799"/>
      <c r="H5" s="799"/>
      <c r="I5" s="799"/>
      <c r="J5" s="799"/>
      <c r="K5" s="350"/>
      <c r="M5" s="799"/>
    </row>
    <row r="6" spans="1:16" s="386" customFormat="1" ht="13.15" customHeight="1">
      <c r="A6" s="389" t="s">
        <v>795</v>
      </c>
      <c r="C6" s="389" t="s">
        <v>3131</v>
      </c>
      <c r="D6" s="353"/>
      <c r="E6" s="391"/>
      <c r="F6" s="392" t="s">
        <v>2406</v>
      </c>
      <c r="J6" s="840">
        <f>'Part IV-Uses of Funds'!J172</f>
        <v>510306.54315799987</v>
      </c>
      <c r="K6" s="841"/>
      <c r="M6" s="799"/>
    </row>
    <row r="7" spans="1:16" s="1" customFormat="1" ht="13.15" customHeight="1">
      <c r="A7" s="5"/>
      <c r="C7" s="5"/>
      <c r="D7" s="31"/>
      <c r="E7" s="481"/>
      <c r="F7" s="386" t="s">
        <v>1716</v>
      </c>
      <c r="J7" s="842" t="str">
        <f>'Part III-Sources of Funds'!J5</f>
        <v>N/A</v>
      </c>
      <c r="K7" s="843"/>
      <c r="L7" s="386"/>
      <c r="M7" s="799"/>
      <c r="N7" s="386"/>
      <c r="O7" s="386"/>
      <c r="P7" s="386"/>
    </row>
    <row r="8" spans="1:16" s="386" customFormat="1" ht="6" customHeight="1">
      <c r="A8" s="389"/>
      <c r="C8" s="389"/>
      <c r="D8" s="353"/>
      <c r="E8" s="391"/>
      <c r="F8" s="391"/>
      <c r="I8" s="393"/>
      <c r="N8" s="394"/>
    </row>
    <row r="9" spans="1:16" s="386" customFormat="1" ht="13.15" customHeight="1">
      <c r="A9" s="393" t="s">
        <v>1044</v>
      </c>
      <c r="C9" s="389" t="s">
        <v>2753</v>
      </c>
      <c r="F9" s="1305" t="s">
        <v>4064</v>
      </c>
      <c r="G9" s="1306"/>
      <c r="H9" s="1307"/>
      <c r="I9" s="426"/>
      <c r="J9" s="783" t="s">
        <v>3964</v>
      </c>
      <c r="K9" s="398"/>
      <c r="L9" s="799"/>
      <c r="O9" s="1308" t="s">
        <v>4170</v>
      </c>
      <c r="P9" s="1309"/>
    </row>
    <row r="10" spans="1:16" s="386" customFormat="1" ht="12.75" customHeight="1">
      <c r="A10" s="687"/>
      <c r="B10" s="389"/>
      <c r="H10" s="799"/>
      <c r="J10" s="784" t="s">
        <v>3730</v>
      </c>
      <c r="K10" s="350"/>
      <c r="M10" s="799"/>
      <c r="O10" s="1310" t="s">
        <v>4063</v>
      </c>
      <c r="P10" s="1311"/>
    </row>
    <row r="11" spans="1:16" s="386" customFormat="1" ht="7.15" customHeight="1">
      <c r="I11" s="353"/>
      <c r="J11" s="353"/>
      <c r="K11" s="353"/>
      <c r="L11" s="353"/>
      <c r="M11" s="353"/>
      <c r="N11" s="353"/>
      <c r="O11" s="353"/>
      <c r="P11" s="353"/>
    </row>
    <row r="12" spans="1:16" s="386" customFormat="1" ht="13.15" customHeight="1">
      <c r="A12" s="393" t="s">
        <v>1046</v>
      </c>
      <c r="B12" s="391"/>
      <c r="C12" s="389" t="s">
        <v>1920</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15" customHeight="1">
      <c r="C14" s="386" t="s">
        <v>3029</v>
      </c>
      <c r="F14" s="1312" t="s">
        <v>4072</v>
      </c>
      <c r="G14" s="1313"/>
      <c r="H14" s="1313"/>
      <c r="I14" s="1313"/>
      <c r="J14" s="1313"/>
      <c r="K14" s="1313"/>
      <c r="L14" s="1314"/>
      <c r="M14" s="791" t="s">
        <v>2690</v>
      </c>
      <c r="N14" s="1312" t="s">
        <v>4074</v>
      </c>
      <c r="O14" s="1313"/>
      <c r="P14" s="1314"/>
    </row>
    <row r="15" spans="1:16" s="386" customFormat="1" ht="13.15" customHeight="1">
      <c r="C15" s="392" t="s">
        <v>2691</v>
      </c>
      <c r="F15" s="1312" t="s">
        <v>4073</v>
      </c>
      <c r="G15" s="1313"/>
      <c r="H15" s="1313"/>
      <c r="I15" s="1313"/>
      <c r="J15" s="1313"/>
      <c r="K15" s="1313"/>
      <c r="L15" s="1314"/>
      <c r="M15" s="791" t="s">
        <v>2412</v>
      </c>
      <c r="O15" s="1315">
        <v>2293162232</v>
      </c>
      <c r="P15" s="1316"/>
    </row>
    <row r="16" spans="1:16" s="386" customFormat="1" ht="13.15" customHeight="1">
      <c r="C16" s="392" t="s">
        <v>797</v>
      </c>
      <c r="F16" s="1317" t="s">
        <v>2385</v>
      </c>
      <c r="G16" s="1318"/>
      <c r="H16" s="1319"/>
      <c r="M16" s="791" t="s">
        <v>2497</v>
      </c>
      <c r="O16" s="1320">
        <v>2292471899</v>
      </c>
      <c r="P16" s="1321"/>
    </row>
    <row r="17" spans="1:16" s="386" customFormat="1" ht="13.15" customHeight="1">
      <c r="C17" s="392" t="s">
        <v>2494</v>
      </c>
      <c r="F17" s="1322" t="s">
        <v>1241</v>
      </c>
      <c r="I17" s="799" t="s">
        <v>2953</v>
      </c>
      <c r="J17" s="1323">
        <v>316021936</v>
      </c>
      <c r="K17" s="1324"/>
      <c r="M17" s="791" t="s">
        <v>2689</v>
      </c>
      <c r="O17" s="1320">
        <v>2295615959</v>
      </c>
      <c r="P17" s="1321"/>
    </row>
    <row r="18" spans="1:16" s="386" customFormat="1" ht="13.15" customHeight="1">
      <c r="B18" s="796"/>
      <c r="C18" s="392" t="s">
        <v>2411</v>
      </c>
      <c r="F18" s="1320">
        <v>2292427759</v>
      </c>
      <c r="G18" s="1325"/>
      <c r="H18" s="1321"/>
      <c r="I18" s="788" t="s">
        <v>2410</v>
      </c>
      <c r="J18" s="1326">
        <v>232</v>
      </c>
      <c r="K18" s="799" t="s">
        <v>2694</v>
      </c>
      <c r="L18" s="1312" t="s">
        <v>4075</v>
      </c>
      <c r="M18" s="1313"/>
      <c r="N18" s="1313"/>
      <c r="O18" s="1313"/>
      <c r="P18" s="1314"/>
    </row>
    <row r="19" spans="1:16" s="386" customFormat="1" ht="13.15" customHeight="1">
      <c r="A19" s="389"/>
      <c r="B19" s="391"/>
      <c r="C19" s="377" t="s">
        <v>838</v>
      </c>
      <c r="D19" s="391"/>
      <c r="G19" s="391"/>
      <c r="H19" s="391"/>
      <c r="I19" s="395"/>
    </row>
    <row r="20" spans="1:16" s="386" customFormat="1" ht="6" customHeight="1">
      <c r="A20" s="687"/>
      <c r="B20" s="687"/>
      <c r="C20" s="396"/>
      <c r="D20" s="796"/>
      <c r="E20" s="796"/>
      <c r="F20" s="796"/>
      <c r="H20" s="799"/>
      <c r="I20" s="796"/>
      <c r="J20" s="396"/>
      <c r="K20" s="796"/>
      <c r="P20" s="397"/>
    </row>
    <row r="21" spans="1:16" s="386" customFormat="1" ht="13.15" customHeight="1">
      <c r="A21" s="393" t="s">
        <v>2487</v>
      </c>
      <c r="B21" s="389"/>
      <c r="C21" s="389" t="s">
        <v>1921</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15" customHeight="1">
      <c r="A23" s="389"/>
      <c r="B23" s="389"/>
      <c r="C23" s="386" t="s">
        <v>796</v>
      </c>
      <c r="D23" s="398"/>
      <c r="F23" s="1327" t="s">
        <v>4076</v>
      </c>
      <c r="G23" s="1328"/>
      <c r="H23" s="1328"/>
      <c r="I23" s="1328"/>
      <c r="J23" s="1328"/>
      <c r="K23" s="1328"/>
      <c r="L23" s="1329"/>
      <c r="M23" s="791" t="s">
        <v>2910</v>
      </c>
      <c r="O23" s="1312" t="s">
        <v>4063</v>
      </c>
      <c r="P23" s="1314"/>
    </row>
    <row r="24" spans="1:16" s="386" customFormat="1" ht="13.15" customHeight="1">
      <c r="A24" s="399"/>
      <c r="B24" s="389"/>
      <c r="C24" s="386" t="s">
        <v>3601</v>
      </c>
      <c r="D24" s="400"/>
      <c r="F24" s="1312" t="s">
        <v>4169</v>
      </c>
      <c r="G24" s="1313"/>
      <c r="H24" s="1313"/>
      <c r="I24" s="1313"/>
      <c r="J24" s="1313"/>
      <c r="K24" s="1313"/>
      <c r="L24" s="1314"/>
      <c r="M24" s="791" t="s">
        <v>2764</v>
      </c>
      <c r="O24" s="1312" t="s">
        <v>4063</v>
      </c>
      <c r="P24" s="1314"/>
    </row>
    <row r="25" spans="1:16" s="386" customFormat="1" ht="13.15" customHeight="1">
      <c r="A25" s="399"/>
      <c r="B25" s="389"/>
      <c r="C25" s="386" t="s">
        <v>3744</v>
      </c>
      <c r="D25" s="400"/>
      <c r="F25" s="1312" t="s">
        <v>1368</v>
      </c>
      <c r="G25" s="1313"/>
      <c r="H25" s="1313"/>
      <c r="I25" s="1313"/>
      <c r="J25" s="1313"/>
      <c r="K25" s="1313"/>
      <c r="L25" s="1314"/>
      <c r="M25" s="791" t="s">
        <v>3745</v>
      </c>
      <c r="O25" s="1330" t="s">
        <v>1368</v>
      </c>
      <c r="P25" s="1331"/>
    </row>
    <row r="26" spans="1:16" s="386" customFormat="1" ht="13.15" customHeight="1">
      <c r="A26" s="687"/>
      <c r="B26" s="389"/>
      <c r="C26" s="386" t="s">
        <v>797</v>
      </c>
      <c r="F26" s="1312" t="s">
        <v>2237</v>
      </c>
      <c r="G26" s="1313"/>
      <c r="H26" s="1314"/>
      <c r="I26" s="404" t="s">
        <v>3602</v>
      </c>
      <c r="J26" s="1323">
        <v>306553100</v>
      </c>
      <c r="K26" s="1324"/>
      <c r="L26" s="472" t="str">
        <f>IF(AND(NOT(F23=""),NOT(F26="Select from list"),J26=""),"Enter Zip!","")</f>
        <v/>
      </c>
      <c r="M26" s="791" t="s">
        <v>3010</v>
      </c>
      <c r="O26" s="1332">
        <v>4.74</v>
      </c>
      <c r="P26" s="1333"/>
    </row>
    <row r="27" spans="1:16" s="386" customFormat="1" ht="13.15" customHeight="1">
      <c r="A27" s="687"/>
      <c r="B27" s="389"/>
      <c r="C27" s="829" t="s">
        <v>2763</v>
      </c>
      <c r="D27" s="829"/>
      <c r="F27" s="1334" t="s">
        <v>4068</v>
      </c>
      <c r="I27" s="401" t="s">
        <v>798</v>
      </c>
      <c r="J27" s="1335" t="str">
        <f>IF($F$26="","",VLOOKUP($F$26,$N$177:$O$780,2,FALSE))</f>
        <v>Walton</v>
      </c>
      <c r="K27" s="1336"/>
      <c r="M27" s="402" t="s">
        <v>3022</v>
      </c>
      <c r="O27" s="1312">
        <v>1104</v>
      </c>
      <c r="P27" s="1337"/>
    </row>
    <row r="28" spans="1:16" s="386" customFormat="1" ht="13.15" customHeight="1">
      <c r="A28" s="687"/>
      <c r="B28" s="389"/>
      <c r="C28" s="386" t="s">
        <v>2017</v>
      </c>
      <c r="F28" s="1338" t="s">
        <v>4068</v>
      </c>
      <c r="H28" s="394" t="s">
        <v>3410</v>
      </c>
      <c r="I28" s="565" t="str">
        <f>VLOOKUP($J$27,$C$177:$F$336,4)</f>
        <v>MSA</v>
      </c>
      <c r="J28" s="1339" t="str">
        <f>IF($F$26="","",VLOOKUP($J$27,$C$177:$H$336,3,FALSE))</f>
        <v>Atlanta-Sandy Springs-Marietta</v>
      </c>
      <c r="K28" s="1340"/>
      <c r="L28" s="1341"/>
      <c r="M28" s="791" t="s">
        <v>578</v>
      </c>
      <c r="N28" s="1342" t="s">
        <v>4063</v>
      </c>
      <c r="O28" s="394" t="s">
        <v>579</v>
      </c>
      <c r="P28" s="1342" t="s">
        <v>4063</v>
      </c>
    </row>
    <row r="29" spans="1:16" s="386" customFormat="1" ht="3" customHeight="1">
      <c r="A29" s="687"/>
      <c r="B29" s="389"/>
      <c r="C29" s="389"/>
      <c r="I29" s="392"/>
      <c r="J29" s="796"/>
      <c r="L29" s="806"/>
      <c r="M29" s="806"/>
      <c r="N29" s="806"/>
      <c r="O29" s="806"/>
      <c r="P29" s="806"/>
    </row>
    <row r="30" spans="1:16" s="386" customFormat="1" ht="13.15" customHeight="1">
      <c r="A30" s="687"/>
      <c r="B30" s="389"/>
      <c r="C30" s="434" t="s">
        <v>3762</v>
      </c>
      <c r="F30" s="839" t="s">
        <v>3955</v>
      </c>
      <c r="G30" s="839"/>
      <c r="H30" s="838" t="s">
        <v>1040</v>
      </c>
      <c r="I30" s="838"/>
      <c r="J30" s="838" t="s">
        <v>1041</v>
      </c>
      <c r="K30" s="838"/>
      <c r="L30" s="774" t="s">
        <v>3603</v>
      </c>
    </row>
    <row r="31" spans="1:16" s="386" customFormat="1" ht="13.15" customHeight="1">
      <c r="A31" s="687"/>
      <c r="B31" s="389"/>
      <c r="C31" s="386" t="s">
        <v>3954</v>
      </c>
      <c r="D31" s="389"/>
      <c r="F31" s="1343">
        <v>10</v>
      </c>
      <c r="G31" s="1344"/>
      <c r="H31" s="1343">
        <v>46</v>
      </c>
      <c r="I31" s="1344"/>
      <c r="J31" s="1343">
        <v>115</v>
      </c>
      <c r="K31" s="1344"/>
      <c r="L31" s="770" t="s">
        <v>1708</v>
      </c>
      <c r="N31" s="827" t="s">
        <v>1709</v>
      </c>
      <c r="O31" s="827"/>
      <c r="P31" s="827"/>
    </row>
    <row r="32" spans="1:16" s="386" customFormat="1" ht="12.75" customHeight="1">
      <c r="A32" s="687"/>
      <c r="B32" s="389"/>
      <c r="C32" s="392" t="s">
        <v>1042</v>
      </c>
      <c r="F32" s="1343"/>
      <c r="G32" s="1344"/>
      <c r="H32" s="1343"/>
      <c r="I32" s="1344"/>
      <c r="J32" s="1343"/>
      <c r="K32" s="1344"/>
      <c r="L32" s="770" t="s">
        <v>3953</v>
      </c>
      <c r="N32" s="828" t="s">
        <v>3951</v>
      </c>
      <c r="O32" s="828"/>
    </row>
    <row r="33" spans="1:19" s="386" customFormat="1" ht="3" customHeight="1">
      <c r="A33" s="687"/>
      <c r="B33" s="389"/>
      <c r="I33" s="806"/>
      <c r="J33" s="806"/>
      <c r="K33" s="806"/>
      <c r="L33" s="796"/>
      <c r="M33" s="796"/>
      <c r="N33" s="796"/>
      <c r="O33" s="796"/>
      <c r="P33" s="796"/>
    </row>
    <row r="34" spans="1:19" s="386" customFormat="1" ht="13.15" customHeight="1">
      <c r="A34" s="687"/>
      <c r="B34" s="687"/>
      <c r="C34" s="389" t="s">
        <v>816</v>
      </c>
      <c r="F34" s="1345" t="s">
        <v>4077</v>
      </c>
      <c r="G34" s="1346"/>
      <c r="H34" s="1346"/>
      <c r="I34" s="1346"/>
      <c r="J34" s="1347"/>
      <c r="K34" s="1348"/>
      <c r="M34" s="749" t="s">
        <v>3619</v>
      </c>
      <c r="N34" s="1349" t="s">
        <v>4080</v>
      </c>
      <c r="O34" s="1350"/>
      <c r="P34" s="1351"/>
    </row>
    <row r="35" spans="1:19" s="386" customFormat="1" ht="13.15" customHeight="1">
      <c r="A35" s="687"/>
      <c r="B35" s="687"/>
      <c r="C35" s="386" t="s">
        <v>817</v>
      </c>
      <c r="F35" s="1352" t="s">
        <v>4078</v>
      </c>
      <c r="G35" s="1353"/>
      <c r="H35" s="1354"/>
      <c r="I35" s="789" t="s">
        <v>2690</v>
      </c>
      <c r="J35" s="1349" t="s">
        <v>4171</v>
      </c>
      <c r="K35" s="1350"/>
      <c r="L35" s="1351"/>
      <c r="M35" s="392" t="s">
        <v>2495</v>
      </c>
      <c r="N35" s="1352" t="s">
        <v>4081</v>
      </c>
      <c r="O35" s="1353"/>
      <c r="P35" s="1354"/>
    </row>
    <row r="36" spans="1:19" s="386" customFormat="1" ht="13.15" customHeight="1">
      <c r="A36" s="687"/>
      <c r="B36" s="687"/>
      <c r="C36" s="386" t="s">
        <v>2691</v>
      </c>
      <c r="F36" s="1352" t="s">
        <v>4079</v>
      </c>
      <c r="G36" s="1353"/>
      <c r="H36" s="1353"/>
      <c r="I36" s="1353"/>
      <c r="J36" s="1355"/>
      <c r="K36" s="1356"/>
      <c r="M36" s="424" t="s">
        <v>797</v>
      </c>
      <c r="N36" s="1349" t="s">
        <v>2237</v>
      </c>
      <c r="O36" s="1350"/>
      <c r="P36" s="1351"/>
    </row>
    <row r="37" spans="1:19" s="386" customFormat="1" ht="13.15" customHeight="1">
      <c r="A37" s="687"/>
      <c r="B37" s="687"/>
      <c r="C37" s="791" t="s">
        <v>2953</v>
      </c>
      <c r="F37" s="1357">
        <v>306551843</v>
      </c>
      <c r="G37" s="1358"/>
      <c r="H37" s="788" t="s">
        <v>2692</v>
      </c>
      <c r="I37" s="1359">
        <v>7702665120</v>
      </c>
      <c r="J37" s="1360"/>
      <c r="K37" s="1361"/>
      <c r="M37" s="392" t="s">
        <v>2497</v>
      </c>
      <c r="N37" s="1362">
        <v>7702672319</v>
      </c>
      <c r="O37" s="1363"/>
    </row>
    <row r="38" spans="1:19" s="386" customFormat="1" ht="6" customHeight="1">
      <c r="A38" s="687"/>
      <c r="B38" s="687"/>
      <c r="C38" s="403"/>
      <c r="D38" s="404"/>
      <c r="E38" s="404"/>
      <c r="F38" s="799"/>
      <c r="G38" s="799"/>
      <c r="H38" s="799"/>
      <c r="I38" s="799"/>
      <c r="J38" s="404"/>
      <c r="K38" s="799"/>
      <c r="L38" s="799"/>
      <c r="N38" s="796"/>
      <c r="O38" s="796"/>
      <c r="P38" s="397"/>
    </row>
    <row r="39" spans="1:19" s="386" customFormat="1" ht="12" customHeight="1">
      <c r="A39" s="393" t="s">
        <v>2489</v>
      </c>
      <c r="C39" s="389" t="s">
        <v>1922</v>
      </c>
      <c r="F39" s="405"/>
      <c r="I39" s="392"/>
      <c r="K39" s="796"/>
      <c r="L39" s="796"/>
      <c r="M39" s="796"/>
      <c r="N39" s="796"/>
      <c r="O39" s="796"/>
      <c r="P39" s="796"/>
    </row>
    <row r="40" spans="1:19" s="386" customFormat="1" ht="3" customHeight="1">
      <c r="A40" s="687"/>
      <c r="B40" s="389"/>
      <c r="C40" s="389"/>
      <c r="I40" s="392"/>
      <c r="J40" s="514"/>
      <c r="K40" s="796"/>
      <c r="L40" s="796"/>
      <c r="M40" s="796"/>
      <c r="N40" s="796"/>
      <c r="O40" s="796"/>
      <c r="P40" s="796"/>
      <c r="Q40" s="796"/>
    </row>
    <row r="41" spans="1:19" s="386" customFormat="1" ht="12.75">
      <c r="A41" s="687"/>
      <c r="B41" s="687" t="s">
        <v>2693</v>
      </c>
      <c r="C41" s="389" t="s">
        <v>3024</v>
      </c>
      <c r="F41" s="1326" t="s">
        <v>4063</v>
      </c>
      <c r="K41" s="796"/>
      <c r="L41" s="796"/>
      <c r="M41" s="773"/>
      <c r="N41" s="773"/>
      <c r="O41" s="773"/>
      <c r="P41" s="771"/>
      <c r="Q41" s="796"/>
    </row>
    <row r="42" spans="1:19" s="386" customFormat="1" ht="3" customHeight="1">
      <c r="A42" s="687"/>
      <c r="J42" s="770"/>
      <c r="K42" s="772"/>
      <c r="L42" s="771"/>
      <c r="M42" s="772"/>
      <c r="N42" s="772"/>
      <c r="O42" s="772"/>
      <c r="P42" s="772"/>
      <c r="Q42" s="796"/>
    </row>
    <row r="43" spans="1:19" s="386" customFormat="1" ht="13.15" customHeight="1">
      <c r="A43" s="687"/>
      <c r="B43" s="687" t="s">
        <v>2696</v>
      </c>
      <c r="C43" s="389" t="s">
        <v>908</v>
      </c>
      <c r="K43" s="771"/>
      <c r="L43" s="796"/>
      <c r="M43" s="773"/>
      <c r="N43" s="773"/>
      <c r="O43" s="773"/>
      <c r="P43" s="773"/>
      <c r="Q43" s="799"/>
    </row>
    <row r="44" spans="1:19" ht="13.15" customHeight="1">
      <c r="B44" s="687"/>
      <c r="C44" s="386" t="s">
        <v>3023</v>
      </c>
      <c r="D44" s="386"/>
      <c r="E44" s="386"/>
      <c r="F44" s="407">
        <f>'Part VI-Revenues &amp; Expenses'!$M$74</f>
        <v>1</v>
      </c>
      <c r="H44" s="392" t="s">
        <v>399</v>
      </c>
      <c r="J44" s="386"/>
      <c r="M44" s="407">
        <f>'Part VI-Revenues &amp; Expenses'!$M$81</f>
        <v>0</v>
      </c>
      <c r="Q44" s="799"/>
    </row>
    <row r="45" spans="1:19" s="386" customFormat="1" ht="13.15" customHeight="1">
      <c r="A45" s="687"/>
      <c r="B45" s="687"/>
      <c r="C45" s="408" t="s">
        <v>379</v>
      </c>
      <c r="F45" s="407">
        <f>'Part VI-Revenues &amp; Expenses'!$M$80</f>
        <v>0</v>
      </c>
      <c r="H45" s="408" t="s">
        <v>400</v>
      </c>
      <c r="M45" s="407">
        <f>'Part VI-Revenues &amp; Expenses'!$M$82</f>
        <v>0</v>
      </c>
    </row>
    <row r="46" spans="1:19" s="386" customFormat="1" ht="13.15" customHeight="1">
      <c r="A46" s="687"/>
      <c r="B46" s="687"/>
      <c r="C46" s="392" t="s">
        <v>378</v>
      </c>
      <c r="D46" s="796"/>
      <c r="F46" s="407">
        <f>'Part VI-Revenues &amp; Expenses'!$M$77</f>
        <v>48</v>
      </c>
      <c r="G46" s="694" t="s">
        <v>3739</v>
      </c>
      <c r="H46" s="386" t="s">
        <v>380</v>
      </c>
      <c r="M46" s="1364">
        <v>32729</v>
      </c>
      <c r="Q46" s="799"/>
    </row>
    <row r="47" spans="1:19" s="386" customFormat="1" ht="3.6" customHeight="1">
      <c r="A47" s="687"/>
      <c r="P47" s="796"/>
    </row>
    <row r="48" spans="1:19" s="386" customFormat="1" ht="13.15" customHeight="1">
      <c r="A48" s="687"/>
      <c r="B48" s="399" t="s">
        <v>1053</v>
      </c>
      <c r="C48" s="398" t="s">
        <v>3003</v>
      </c>
      <c r="D48" s="796"/>
      <c r="I48" s="850" t="s">
        <v>1858</v>
      </c>
      <c r="J48" s="399" t="s">
        <v>2829</v>
      </c>
      <c r="K48" s="409" t="s">
        <v>3030</v>
      </c>
      <c r="M48" s="796"/>
      <c r="N48" s="796"/>
      <c r="O48" s="796"/>
      <c r="P48" s="799"/>
      <c r="Q48" s="799"/>
      <c r="R48" s="799"/>
      <c r="S48" s="796"/>
    </row>
    <row r="49" spans="1:16" s="386" customFormat="1" ht="13.15" customHeight="1">
      <c r="A49" s="687"/>
      <c r="B49" s="790"/>
      <c r="C49" s="396" t="s">
        <v>3004</v>
      </c>
      <c r="D49" s="796"/>
      <c r="E49" s="796"/>
      <c r="H49" s="410">
        <f>SUM(H50:H51)</f>
        <v>48</v>
      </c>
      <c r="I49" s="851"/>
      <c r="J49" s="687"/>
      <c r="K49" s="396" t="s">
        <v>3031</v>
      </c>
      <c r="M49" s="796"/>
      <c r="N49" s="796"/>
      <c r="O49" s="796"/>
      <c r="P49" s="410">
        <f>'Part VI-Revenues &amp; Expenses'!$M$96</f>
        <v>41968</v>
      </c>
    </row>
    <row r="50" spans="1:16" s="386" customFormat="1" ht="13.15" customHeight="1">
      <c r="A50" s="687"/>
      <c r="B50" s="406"/>
      <c r="D50" s="411" t="s">
        <v>419</v>
      </c>
      <c r="E50" s="411"/>
      <c r="H50" s="410">
        <f>'Part VI-Revenues &amp; Expenses'!$M$57</f>
        <v>8</v>
      </c>
      <c r="I50" s="410">
        <f>'Part VI-Revenues &amp; Expenses'!$M$65</f>
        <v>8</v>
      </c>
      <c r="K50" s="396" t="s">
        <v>277</v>
      </c>
      <c r="M50" s="796"/>
      <c r="N50" s="796"/>
      <c r="O50" s="796"/>
      <c r="P50" s="410">
        <f>'Part VI-Revenues &amp; Expenses'!$M$97</f>
        <v>0</v>
      </c>
    </row>
    <row r="51" spans="1:16" s="386" customFormat="1" ht="13.15" customHeight="1">
      <c r="A51" s="687"/>
      <c r="D51" s="411" t="s">
        <v>2520</v>
      </c>
      <c r="E51" s="411"/>
      <c r="H51" s="410">
        <f>'Part VI-Revenues &amp; Expenses'!$M$56</f>
        <v>40</v>
      </c>
      <c r="I51" s="410">
        <f>'Part VI-Revenues &amp; Expenses'!$M$64</f>
        <v>40</v>
      </c>
      <c r="K51" s="396" t="s">
        <v>3032</v>
      </c>
      <c r="M51" s="796"/>
      <c r="N51" s="796"/>
      <c r="O51" s="796"/>
      <c r="P51" s="410">
        <f>+P49+P50</f>
        <v>41968</v>
      </c>
    </row>
    <row r="52" spans="1:16" s="386" customFormat="1" ht="13.15" customHeight="1">
      <c r="A52" s="687"/>
      <c r="C52" s="396" t="s">
        <v>278</v>
      </c>
      <c r="D52" s="796"/>
      <c r="E52" s="796"/>
      <c r="H52" s="410">
        <f>'Part VI-Revenues &amp; Expenses'!$M$59</f>
        <v>0</v>
      </c>
      <c r="J52" s="687"/>
      <c r="K52" s="396" t="s">
        <v>1861</v>
      </c>
      <c r="M52" s="796"/>
      <c r="N52" s="796"/>
      <c r="O52" s="796"/>
      <c r="P52" s="410">
        <f>'Part VI-Revenues &amp; Expenses'!$M$99</f>
        <v>990</v>
      </c>
    </row>
    <row r="53" spans="1:16" s="386" customFormat="1" ht="13.15" customHeight="1">
      <c r="A53" s="687"/>
      <c r="C53" s="396" t="s">
        <v>3171</v>
      </c>
      <c r="D53" s="796"/>
      <c r="E53" s="796"/>
      <c r="H53" s="410">
        <f>+H49+H52</f>
        <v>48</v>
      </c>
      <c r="J53" s="687"/>
      <c r="K53" s="396" t="s">
        <v>1860</v>
      </c>
      <c r="M53" s="796"/>
      <c r="N53" s="796"/>
      <c r="O53" s="796"/>
      <c r="P53" s="410">
        <f>+P51+P52</f>
        <v>42958</v>
      </c>
    </row>
    <row r="54" spans="1:16" s="386" customFormat="1" ht="13.15" customHeight="1">
      <c r="A54" s="687"/>
      <c r="C54" s="396" t="s">
        <v>3172</v>
      </c>
      <c r="D54" s="796"/>
      <c r="E54" s="796"/>
      <c r="H54" s="410">
        <f>'Part VI-Revenues &amp; Expenses'!$M$61</f>
        <v>1</v>
      </c>
      <c r="J54" s="687"/>
    </row>
    <row r="55" spans="1:16" s="386" customFormat="1" ht="13.15" customHeight="1">
      <c r="A55" s="687"/>
      <c r="C55" s="396" t="s">
        <v>2488</v>
      </c>
      <c r="D55" s="796"/>
      <c r="E55" s="796"/>
      <c r="H55" s="410">
        <f>+H53+H54</f>
        <v>49</v>
      </c>
      <c r="J55" s="796"/>
    </row>
    <row r="56" spans="1:16" s="386" customFormat="1" ht="3" customHeight="1">
      <c r="A56" s="687"/>
      <c r="I56" s="799"/>
      <c r="L56" s="799"/>
      <c r="M56" s="799"/>
      <c r="N56" s="796"/>
      <c r="P56" s="397"/>
    </row>
    <row r="57" spans="1:16" s="386" customFormat="1" ht="13.15" customHeight="1">
      <c r="A57" s="687"/>
      <c r="B57" s="687" t="s">
        <v>2427</v>
      </c>
      <c r="C57" s="398" t="s">
        <v>3025</v>
      </c>
      <c r="D57" s="411" t="s">
        <v>2707</v>
      </c>
      <c r="G57" s="796"/>
      <c r="H57" s="1365">
        <v>8</v>
      </c>
      <c r="K57" s="396" t="s">
        <v>1535</v>
      </c>
      <c r="O57" s="796"/>
      <c r="P57" s="1365">
        <v>1320</v>
      </c>
    </row>
    <row r="58" spans="1:16" s="386" customFormat="1" ht="13.15" customHeight="1">
      <c r="A58" s="687"/>
      <c r="B58" s="687"/>
      <c r="D58" s="790" t="s">
        <v>2708</v>
      </c>
      <c r="H58" s="1365">
        <v>1</v>
      </c>
      <c r="I58" s="796"/>
      <c r="K58" s="396" t="s">
        <v>276</v>
      </c>
      <c r="O58" s="796"/>
      <c r="P58" s="410">
        <f>+P53+P57</f>
        <v>44278</v>
      </c>
    </row>
    <row r="59" spans="1:16" s="386" customFormat="1" ht="13.15" customHeight="1">
      <c r="A59" s="687"/>
      <c r="B59" s="687"/>
      <c r="D59" s="790" t="s">
        <v>2709</v>
      </c>
      <c r="H59" s="410">
        <f>+H57+H58</f>
        <v>9</v>
      </c>
      <c r="I59" s="796"/>
    </row>
    <row r="60" spans="1:16" s="386" customFormat="1" ht="3" customHeight="1">
      <c r="A60" s="687"/>
      <c r="B60" s="687"/>
      <c r="C60" s="796"/>
      <c r="D60" s="796"/>
      <c r="E60" s="796"/>
      <c r="F60" s="796"/>
      <c r="G60" s="799"/>
      <c r="I60" s="396"/>
      <c r="J60" s="796"/>
      <c r="P60" s="397"/>
    </row>
    <row r="61" spans="1:16" s="386" customFormat="1" ht="13.15" customHeight="1">
      <c r="A61" s="687"/>
      <c r="B61" s="687" t="s">
        <v>2428</v>
      </c>
      <c r="C61" s="398" t="s">
        <v>909</v>
      </c>
      <c r="D61" s="796"/>
      <c r="E61" s="796"/>
      <c r="F61" s="796"/>
      <c r="G61" s="796"/>
      <c r="H61" s="1365">
        <v>105</v>
      </c>
    </row>
    <row r="62" spans="1:16" s="386" customFormat="1" ht="9" customHeight="1">
      <c r="A62" s="687"/>
      <c r="B62" s="687"/>
      <c r="C62" s="396"/>
      <c r="D62" s="796"/>
      <c r="E62" s="796"/>
      <c r="F62" s="796"/>
      <c r="G62" s="799"/>
      <c r="H62" s="796"/>
      <c r="I62" s="396"/>
      <c r="J62" s="396"/>
      <c r="K62" s="796"/>
      <c r="P62" s="397"/>
    </row>
    <row r="63" spans="1:16" s="386" customFormat="1" ht="13.15" customHeight="1">
      <c r="A63" s="687" t="s">
        <v>696</v>
      </c>
      <c r="C63" s="412" t="s">
        <v>1605</v>
      </c>
      <c r="D63" s="412"/>
      <c r="E63" s="412"/>
      <c r="F63" s="796"/>
      <c r="G63" s="799"/>
      <c r="K63" s="796"/>
      <c r="P63" s="397"/>
    </row>
    <row r="64" spans="1:16" s="386" customFormat="1" ht="3" customHeight="1">
      <c r="A64" s="687"/>
      <c r="C64" s="793"/>
      <c r="D64" s="793"/>
      <c r="E64" s="793"/>
      <c r="F64" s="796"/>
      <c r="G64" s="799"/>
      <c r="K64" s="796"/>
      <c r="P64" s="397"/>
    </row>
    <row r="65" spans="1:16" s="386" customFormat="1" ht="13.15" customHeight="1">
      <c r="A65" s="687"/>
      <c r="B65" s="687" t="s">
        <v>2693</v>
      </c>
      <c r="C65" s="350" t="s">
        <v>3593</v>
      </c>
      <c r="D65" s="793"/>
      <c r="E65" s="793"/>
      <c r="F65" s="796"/>
      <c r="G65" s="799"/>
      <c r="H65" s="1366" t="s">
        <v>4082</v>
      </c>
      <c r="I65" s="1367"/>
      <c r="K65" s="829" t="s">
        <v>2466</v>
      </c>
      <c r="L65" s="829"/>
      <c r="N65" s="1312"/>
      <c r="O65" s="1313"/>
      <c r="P65" s="1314"/>
    </row>
    <row r="66" spans="1:16" s="386" customFormat="1" ht="3" customHeight="1">
      <c r="A66" s="687"/>
      <c r="B66" s="687"/>
      <c r="D66" s="790"/>
      <c r="E66" s="790"/>
      <c r="F66" s="790"/>
      <c r="G66" s="790"/>
      <c r="I66" s="799"/>
      <c r="K66" s="791"/>
      <c r="L66" s="791"/>
      <c r="M66" s="799"/>
      <c r="N66" s="796"/>
      <c r="P66" s="397"/>
    </row>
    <row r="67" spans="1:16" s="386" customFormat="1" ht="13.15" customHeight="1">
      <c r="A67" s="687"/>
      <c r="B67" s="687" t="s">
        <v>2696</v>
      </c>
      <c r="C67" s="398" t="s">
        <v>1850</v>
      </c>
      <c r="D67" s="796"/>
      <c r="E67" s="411"/>
      <c r="F67" s="790" t="s">
        <v>1188</v>
      </c>
      <c r="H67" s="1365">
        <v>3</v>
      </c>
      <c r="K67" s="829" t="s">
        <v>686</v>
      </c>
      <c r="L67" s="829"/>
      <c r="P67" s="414">
        <f>IF('Part VI-Revenues &amp; Expenses'!$M$62=0,0,$H67/'Part VI-Revenues &amp; Expenses'!$M$62)</f>
        <v>6.1224489795918366E-2</v>
      </c>
    </row>
    <row r="68" spans="1:16" s="386" customFormat="1" ht="3" customHeight="1">
      <c r="A68" s="687"/>
      <c r="B68" s="687"/>
      <c r="D68" s="790"/>
      <c r="E68" s="790"/>
      <c r="F68" s="790"/>
      <c r="I68" s="799"/>
      <c r="K68" s="791"/>
      <c r="L68" s="791"/>
      <c r="M68" s="799"/>
      <c r="P68" s="799"/>
    </row>
    <row r="69" spans="1:16" s="386" customFormat="1" ht="13.15" customHeight="1">
      <c r="A69" s="687"/>
      <c r="B69" s="687" t="s">
        <v>1053</v>
      </c>
      <c r="C69" s="398" t="s">
        <v>2543</v>
      </c>
      <c r="D69" s="411"/>
      <c r="E69" s="411"/>
      <c r="F69" s="790" t="s">
        <v>1188</v>
      </c>
      <c r="H69" s="1365">
        <v>1</v>
      </c>
      <c r="K69" s="829" t="s">
        <v>686</v>
      </c>
      <c r="L69" s="829"/>
      <c r="P69" s="414">
        <f>IF('Part VI-Revenues &amp; Expenses'!$M$62=0,0,$H69/'Part VI-Revenues &amp; Expenses'!$M$62)</f>
        <v>2.0408163265306121E-2</v>
      </c>
    </row>
    <row r="70" spans="1:16" s="386" customFormat="1" ht="3" customHeight="1">
      <c r="A70" s="687"/>
      <c r="B70" s="687"/>
      <c r="D70" s="790"/>
      <c r="E70" s="790"/>
      <c r="F70" s="790"/>
      <c r="I70" s="799"/>
      <c r="K70" s="791"/>
      <c r="L70" s="791"/>
      <c r="M70" s="799"/>
      <c r="P70" s="799"/>
    </row>
    <row r="71" spans="1:16" s="386" customFormat="1" ht="13.15" customHeight="1">
      <c r="A71" s="687"/>
      <c r="B71" s="687" t="s">
        <v>2829</v>
      </c>
      <c r="C71" s="398" t="s">
        <v>1713</v>
      </c>
      <c r="D71" s="411"/>
      <c r="E71" s="411"/>
      <c r="F71" s="790" t="s">
        <v>1714</v>
      </c>
      <c r="H71" s="1365">
        <v>0</v>
      </c>
      <c r="K71" s="829" t="s">
        <v>686</v>
      </c>
      <c r="L71" s="829"/>
      <c r="P71" s="414">
        <f>IF('Part VI-Revenues &amp; Expenses'!$M$62=0,0,$H71/'Part VI-Revenues &amp; Expenses'!$M$62)</f>
        <v>0</v>
      </c>
    </row>
    <row r="72" spans="1:16" s="386" customFormat="1" ht="9" customHeight="1">
      <c r="A72" s="687"/>
      <c r="B72" s="687"/>
      <c r="D72" s="790"/>
      <c r="E72" s="790"/>
      <c r="F72" s="790"/>
      <c r="G72" s="790"/>
      <c r="I72" s="799"/>
      <c r="J72" s="799"/>
      <c r="K72" s="799"/>
      <c r="L72" s="799"/>
      <c r="M72" s="799"/>
      <c r="N72" s="796"/>
      <c r="P72" s="397"/>
    </row>
    <row r="73" spans="1:16" s="386" customFormat="1" ht="13.15" customHeight="1">
      <c r="A73" s="415" t="s">
        <v>1159</v>
      </c>
      <c r="B73" s="687"/>
      <c r="C73" s="793" t="s">
        <v>3133</v>
      </c>
      <c r="D73" s="790"/>
      <c r="E73" s="790"/>
      <c r="F73" s="790"/>
      <c r="G73" s="790"/>
      <c r="H73" s="790"/>
      <c r="I73" s="799"/>
      <c r="M73" s="799"/>
      <c r="N73" s="796"/>
      <c r="P73" s="397"/>
    </row>
    <row r="74" spans="1:16" s="386" customFormat="1" ht="3" customHeight="1">
      <c r="A74" s="687"/>
      <c r="B74" s="687"/>
      <c r="C74" s="793"/>
      <c r="D74" s="790"/>
      <c r="E74" s="790"/>
      <c r="F74" s="790"/>
      <c r="L74" s="799"/>
      <c r="M74" s="799"/>
      <c r="N74" s="796"/>
      <c r="P74" s="397"/>
    </row>
    <row r="75" spans="1:16" s="386" customFormat="1" ht="13.15" customHeight="1">
      <c r="A75" s="687"/>
      <c r="B75" s="687" t="s">
        <v>2693</v>
      </c>
      <c r="C75" s="350" t="s">
        <v>3132</v>
      </c>
      <c r="D75" s="790"/>
      <c r="E75" s="790"/>
      <c r="F75" s="790"/>
      <c r="H75" s="1368" t="s">
        <v>1263</v>
      </c>
      <c r="I75" s="1369"/>
      <c r="J75" s="1370"/>
      <c r="M75" s="799"/>
      <c r="N75" s="796"/>
      <c r="P75" s="397"/>
    </row>
    <row r="76" spans="1:16" s="386" customFormat="1" ht="3" customHeight="1">
      <c r="A76" s="687"/>
      <c r="B76" s="687"/>
      <c r="D76" s="790"/>
      <c r="E76" s="790"/>
      <c r="F76" s="790"/>
      <c r="G76" s="790"/>
      <c r="I76" s="799"/>
      <c r="J76" s="799"/>
      <c r="K76" s="799"/>
      <c r="L76" s="799"/>
      <c r="M76" s="799"/>
      <c r="N76" s="796"/>
      <c r="P76" s="397"/>
    </row>
    <row r="77" spans="1:16" s="386" customFormat="1" ht="13.15" customHeight="1">
      <c r="B77" s="687" t="s">
        <v>2696</v>
      </c>
      <c r="C77" s="389" t="s">
        <v>1990</v>
      </c>
      <c r="K77" s="392" t="s">
        <v>1262</v>
      </c>
      <c r="N77" s="416"/>
      <c r="P77" s="1326" t="s">
        <v>4063</v>
      </c>
    </row>
    <row r="78" spans="1:16" s="386" customFormat="1" ht="9" customHeight="1">
      <c r="A78" s="687"/>
      <c r="B78" s="687"/>
      <c r="C78" s="389"/>
      <c r="D78" s="790"/>
      <c r="E78" s="790"/>
      <c r="F78" s="790"/>
      <c r="G78" s="790"/>
      <c r="I78" s="799"/>
      <c r="J78" s="799"/>
      <c r="K78" s="799"/>
      <c r="L78" s="799"/>
      <c r="M78" s="799"/>
      <c r="N78" s="796"/>
      <c r="P78" s="397"/>
    </row>
    <row r="79" spans="1:16" s="386" customFormat="1" ht="13.15" customHeight="1">
      <c r="A79" s="415" t="s">
        <v>322</v>
      </c>
      <c r="B79" s="687"/>
      <c r="C79" s="793" t="s">
        <v>2754</v>
      </c>
      <c r="D79" s="790"/>
    </row>
    <row r="80" spans="1:16" s="386" customFormat="1" ht="3" customHeight="1">
      <c r="A80" s="687"/>
      <c r="B80" s="687"/>
      <c r="D80" s="790"/>
      <c r="N80" s="796"/>
      <c r="P80" s="397"/>
    </row>
    <row r="81" spans="1:16" s="386" customFormat="1" ht="13.15" customHeight="1">
      <c r="A81" s="415"/>
      <c r="B81" s="687" t="s">
        <v>2693</v>
      </c>
      <c r="C81" s="389" t="s">
        <v>3636</v>
      </c>
      <c r="F81" s="411" t="s">
        <v>3397</v>
      </c>
      <c r="H81" s="1326" t="s">
        <v>4063</v>
      </c>
      <c r="I81" s="394" t="s">
        <v>3396</v>
      </c>
      <c r="J81" s="1326" t="s">
        <v>4068</v>
      </c>
      <c r="L81" s="394" t="s">
        <v>565</v>
      </c>
      <c r="M81" s="1326" t="s">
        <v>4068</v>
      </c>
    </row>
    <row r="82" spans="1:16" s="386" customFormat="1" ht="3" customHeight="1">
      <c r="A82" s="687"/>
      <c r="B82" s="687"/>
      <c r="C82" s="793"/>
      <c r="F82" s="790"/>
      <c r="H82" s="790"/>
      <c r="J82" s="799"/>
      <c r="K82" s="799"/>
      <c r="L82" s="799"/>
      <c r="M82" s="799"/>
      <c r="N82" s="799"/>
      <c r="P82" s="397"/>
    </row>
    <row r="83" spans="1:16" s="386" customFormat="1" ht="13.15" customHeight="1">
      <c r="A83" s="415"/>
      <c r="B83" s="687" t="s">
        <v>2696</v>
      </c>
      <c r="C83" s="389" t="s">
        <v>3637</v>
      </c>
      <c r="F83" s="791" t="s">
        <v>3533</v>
      </c>
      <c r="H83" s="1326" t="s">
        <v>4063</v>
      </c>
      <c r="I83" s="672" t="s">
        <v>3638</v>
      </c>
      <c r="J83" s="799"/>
      <c r="K83" s="799"/>
      <c r="L83" s="799"/>
      <c r="M83" s="799"/>
      <c r="N83" s="799"/>
      <c r="O83" s="799"/>
    </row>
    <row r="84" spans="1:16" s="386" customFormat="1" ht="3" customHeight="1">
      <c r="A84" s="687"/>
      <c r="B84" s="687"/>
      <c r="D84" s="790"/>
      <c r="E84" s="790"/>
      <c r="F84" s="790"/>
      <c r="G84" s="790"/>
      <c r="I84" s="799"/>
      <c r="J84" s="799"/>
      <c r="K84" s="799"/>
      <c r="L84" s="799"/>
      <c r="M84" s="799"/>
      <c r="N84" s="796"/>
      <c r="P84" s="397"/>
    </row>
    <row r="85" spans="1:16" s="386" customFormat="1" ht="9" customHeight="1">
      <c r="A85" s="687"/>
      <c r="B85" s="687"/>
      <c r="D85" s="404"/>
      <c r="E85" s="796"/>
      <c r="I85" s="404"/>
      <c r="J85" s="396"/>
      <c r="K85" s="796"/>
      <c r="P85" s="397"/>
    </row>
    <row r="86" spans="1:16" s="386" customFormat="1" ht="13.15" customHeight="1">
      <c r="A86" s="415" t="s">
        <v>463</v>
      </c>
      <c r="B86" s="687"/>
      <c r="C86" s="409" t="s">
        <v>1603</v>
      </c>
      <c r="D86" s="796"/>
      <c r="E86" s="796"/>
      <c r="F86" s="796"/>
      <c r="G86" s="796"/>
      <c r="H86" s="796"/>
      <c r="I86" s="404"/>
      <c r="J86" s="396"/>
      <c r="K86" s="796"/>
      <c r="P86" s="397"/>
    </row>
    <row r="87" spans="1:16" s="386" customFormat="1" ht="3" customHeight="1">
      <c r="A87" s="415"/>
      <c r="B87" s="687"/>
      <c r="C87" s="409"/>
      <c r="D87" s="796"/>
      <c r="E87" s="796"/>
      <c r="F87" s="796"/>
      <c r="G87" s="796"/>
      <c r="H87" s="796"/>
      <c r="I87" s="404"/>
      <c r="J87" s="396"/>
      <c r="K87" s="796"/>
    </row>
    <row r="88" spans="1:16" s="386" customFormat="1" ht="13.15" customHeight="1">
      <c r="A88" s="687"/>
      <c r="B88" s="687"/>
      <c r="C88" s="396" t="s">
        <v>718</v>
      </c>
      <c r="D88" s="796"/>
      <c r="E88" s="1312"/>
      <c r="F88" s="1313"/>
      <c r="G88" s="1313"/>
      <c r="H88" s="1313"/>
      <c r="I88" s="1313"/>
      <c r="J88" s="1313"/>
      <c r="K88" s="1313"/>
      <c r="L88" s="1314"/>
      <c r="M88" s="853" t="s">
        <v>719</v>
      </c>
      <c r="N88" s="853"/>
      <c r="O88" s="1371" t="s">
        <v>1368</v>
      </c>
      <c r="P88" s="1372"/>
    </row>
    <row r="89" spans="1:16" s="386" customFormat="1" ht="13.15" customHeight="1">
      <c r="C89" s="392" t="s">
        <v>1423</v>
      </c>
      <c r="D89" s="400"/>
      <c r="E89" s="1312" t="s">
        <v>1368</v>
      </c>
      <c r="F89" s="1313"/>
      <c r="G89" s="1313"/>
      <c r="H89" s="1313"/>
      <c r="I89" s="1313"/>
      <c r="J89" s="1313"/>
      <c r="K89" s="1313"/>
      <c r="L89" s="1314"/>
      <c r="M89" s="853" t="s">
        <v>1200</v>
      </c>
      <c r="N89" s="853"/>
      <c r="O89" s="1327" t="s">
        <v>1368</v>
      </c>
      <c r="P89" s="1329"/>
    </row>
    <row r="90" spans="1:16" s="386" customFormat="1" ht="13.15" customHeight="1">
      <c r="C90" s="392" t="s">
        <v>797</v>
      </c>
      <c r="E90" s="1312" t="s">
        <v>1368</v>
      </c>
      <c r="F90" s="1373"/>
      <c r="G90" s="1374"/>
      <c r="H90" s="788" t="s">
        <v>2494</v>
      </c>
      <c r="I90" s="1326" t="s">
        <v>1368</v>
      </c>
      <c r="J90" s="417" t="s">
        <v>2953</v>
      </c>
      <c r="K90" s="1323"/>
      <c r="L90" s="1374"/>
      <c r="M90" s="353"/>
      <c r="N90" s="353"/>
      <c r="O90" s="353"/>
      <c r="P90" s="353"/>
    </row>
    <row r="91" spans="1:16" s="386" customFormat="1" ht="13.15" customHeight="1">
      <c r="C91" s="386" t="s">
        <v>2912</v>
      </c>
      <c r="E91" s="1312" t="s">
        <v>1368</v>
      </c>
      <c r="F91" s="1373"/>
      <c r="G91" s="1374"/>
      <c r="H91" s="799" t="s">
        <v>2690</v>
      </c>
      <c r="I91" s="1312" t="s">
        <v>1368</v>
      </c>
      <c r="J91" s="1373"/>
      <c r="K91" s="1374"/>
      <c r="L91" s="807" t="s">
        <v>2694</v>
      </c>
      <c r="M91" s="1312" t="s">
        <v>1368</v>
      </c>
      <c r="N91" s="1373"/>
      <c r="O91" s="1373"/>
      <c r="P91" s="1374"/>
    </row>
    <row r="92" spans="1:16" s="386" customFormat="1" ht="13.15" customHeight="1">
      <c r="C92" s="392" t="s">
        <v>2911</v>
      </c>
      <c r="E92" s="1320"/>
      <c r="F92" s="1325"/>
      <c r="G92" s="1321"/>
      <c r="H92" s="799" t="s">
        <v>2497</v>
      </c>
      <c r="I92" s="1359"/>
      <c r="J92" s="1374"/>
      <c r="K92" s="417" t="s">
        <v>2498</v>
      </c>
      <c r="L92" s="1359"/>
      <c r="M92" s="1374"/>
      <c r="N92" s="417" t="s">
        <v>2689</v>
      </c>
      <c r="O92" s="1359"/>
      <c r="P92" s="1374"/>
    </row>
    <row r="93" spans="1:16" s="386" customFormat="1" ht="3" customHeight="1">
      <c r="A93" s="687"/>
      <c r="B93" s="687"/>
      <c r="G93" s="404"/>
      <c r="H93" s="799"/>
      <c r="I93" s="799"/>
      <c r="M93" s="397"/>
    </row>
    <row r="94" spans="1:16" s="386" customFormat="1" ht="13.15" customHeight="1">
      <c r="A94" s="415" t="s">
        <v>396</v>
      </c>
      <c r="B94" s="687"/>
      <c r="C94" s="793" t="s">
        <v>2349</v>
      </c>
      <c r="D94" s="404"/>
      <c r="E94" s="404"/>
      <c r="F94" s="799"/>
      <c r="G94" s="799"/>
      <c r="H94" s="799"/>
      <c r="I94" s="799"/>
      <c r="J94" s="404"/>
      <c r="K94" s="799"/>
      <c r="L94" s="799"/>
      <c r="N94" s="796"/>
      <c r="O94" s="796"/>
      <c r="P94" s="397"/>
    </row>
    <row r="95" spans="1:16" s="386" customFormat="1" ht="3.6" customHeight="1">
      <c r="A95" s="415"/>
      <c r="B95" s="687"/>
      <c r="C95" s="793"/>
      <c r="D95" s="404"/>
      <c r="E95" s="404"/>
      <c r="F95" s="799"/>
      <c r="G95" s="799"/>
      <c r="H95" s="799"/>
      <c r="I95" s="799"/>
      <c r="J95" s="404"/>
      <c r="K95" s="799"/>
      <c r="L95" s="799"/>
      <c r="N95" s="796"/>
      <c r="O95" s="796"/>
      <c r="P95" s="397"/>
    </row>
    <row r="96" spans="1:16" s="386" customFormat="1" ht="13.15" customHeight="1">
      <c r="C96" s="411" t="s">
        <v>2869</v>
      </c>
      <c r="D96" s="418"/>
      <c r="E96" s="418"/>
      <c r="F96" s="418"/>
      <c r="G96" s="418"/>
      <c r="H96" s="418"/>
      <c r="I96" s="418"/>
      <c r="J96" s="418"/>
      <c r="K96" s="418"/>
      <c r="L96" s="418"/>
      <c r="M96" s="418"/>
      <c r="N96" s="418"/>
      <c r="O96" s="418"/>
      <c r="P96" s="418"/>
    </row>
    <row r="97" spans="1:16" s="386" customFormat="1" ht="4.9000000000000004" customHeight="1">
      <c r="A97" s="687"/>
      <c r="B97" s="687"/>
      <c r="C97" s="419"/>
      <c r="D97" s="419"/>
      <c r="E97" s="419"/>
      <c r="F97" s="419"/>
      <c r="G97" s="419"/>
      <c r="H97" s="419"/>
      <c r="I97" s="419"/>
      <c r="J97" s="419"/>
      <c r="K97" s="419"/>
      <c r="L97" s="419"/>
      <c r="M97" s="419"/>
      <c r="N97" s="419"/>
      <c r="O97" s="419"/>
      <c r="P97" s="419"/>
    </row>
    <row r="98" spans="1:16" s="386" customFormat="1" ht="13.15" customHeight="1">
      <c r="A98" s="687"/>
      <c r="B98" s="687" t="s">
        <v>2693</v>
      </c>
      <c r="C98" s="793" t="s">
        <v>1851</v>
      </c>
      <c r="D98" s="790"/>
      <c r="E98" s="790"/>
      <c r="F98" s="799"/>
      <c r="G98" s="799"/>
      <c r="H98" s="1375">
        <v>2</v>
      </c>
      <c r="N98" s="796"/>
      <c r="O98" s="796"/>
    </row>
    <row r="99" spans="1:16" s="386" customFormat="1" ht="3.6" customHeight="1">
      <c r="A99" s="687"/>
      <c r="B99" s="687"/>
      <c r="C99" s="419"/>
      <c r="D99" s="419"/>
      <c r="E99" s="419"/>
      <c r="F99" s="419"/>
      <c r="G99" s="419"/>
      <c r="H99" s="419"/>
      <c r="J99" s="419"/>
      <c r="M99" s="419"/>
      <c r="N99" s="419"/>
      <c r="O99" s="419"/>
    </row>
    <row r="100" spans="1:16" s="386" customFormat="1" ht="13.15" customHeight="1">
      <c r="A100" s="687"/>
      <c r="B100" s="687" t="s">
        <v>2696</v>
      </c>
      <c r="C100" s="793" t="s">
        <v>451</v>
      </c>
      <c r="D100" s="790"/>
      <c r="E100" s="790"/>
      <c r="F100" s="799"/>
      <c r="G100" s="799"/>
      <c r="H100" s="1376">
        <f>'Part IV-Uses of Funds'!J170+'[3]Part IV-Uses of Funds'!$J$170</f>
        <v>1357022.6076617497</v>
      </c>
      <c r="J100" s="404"/>
      <c r="K100" s="791"/>
      <c r="N100" s="796"/>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15" customHeight="1">
      <c r="B102" s="687" t="s">
        <v>1053</v>
      </c>
      <c r="C102" s="793" t="s">
        <v>332</v>
      </c>
      <c r="D102" s="790"/>
      <c r="E102" s="790"/>
      <c r="F102" s="799"/>
      <c r="G102" s="799"/>
      <c r="H102" s="799"/>
      <c r="I102" s="799"/>
      <c r="J102" s="404"/>
      <c r="K102" s="799"/>
      <c r="L102" s="799"/>
      <c r="N102" s="796"/>
      <c r="O102" s="796"/>
    </row>
    <row r="103" spans="1:16" s="386" customFormat="1" ht="13.15" customHeight="1">
      <c r="B103" s="687"/>
      <c r="C103" s="790" t="s">
        <v>2850</v>
      </c>
      <c r="D103" s="790"/>
      <c r="F103" s="790" t="s">
        <v>1545</v>
      </c>
      <c r="G103" s="799"/>
      <c r="H103" s="799"/>
      <c r="I103" s="799"/>
      <c r="J103" s="790" t="s">
        <v>2850</v>
      </c>
      <c r="K103" s="790"/>
      <c r="M103" s="790" t="s">
        <v>1545</v>
      </c>
      <c r="N103" s="799"/>
      <c r="O103" s="799"/>
      <c r="P103" s="799"/>
    </row>
    <row r="104" spans="1:16" s="386" customFormat="1" ht="13.15" customHeight="1">
      <c r="A104" s="687"/>
      <c r="B104" s="687"/>
      <c r="C104" s="1377" t="s">
        <v>4083</v>
      </c>
      <c r="D104" s="1378"/>
      <c r="E104" s="1378"/>
      <c r="F104" s="1378" t="s">
        <v>4076</v>
      </c>
      <c r="G104" s="1378"/>
      <c r="H104" s="1378"/>
      <c r="I104" s="1379"/>
      <c r="J104" s="1377">
        <v>6</v>
      </c>
      <c r="K104" s="1378"/>
      <c r="L104" s="1378"/>
      <c r="M104" s="1378"/>
      <c r="N104" s="1378"/>
      <c r="O104" s="1378"/>
      <c r="P104" s="1379"/>
    </row>
    <row r="105" spans="1:16" s="386" customFormat="1" ht="13.15" customHeight="1">
      <c r="A105" s="687"/>
      <c r="B105" s="687"/>
      <c r="C105" s="1380" t="s">
        <v>4084</v>
      </c>
      <c r="D105" s="1381"/>
      <c r="E105" s="1381"/>
      <c r="F105" s="1381" t="s">
        <v>4085</v>
      </c>
      <c r="G105" s="1381"/>
      <c r="H105" s="1381"/>
      <c r="I105" s="1382"/>
      <c r="J105" s="1380">
        <v>7</v>
      </c>
      <c r="K105" s="1381"/>
      <c r="L105" s="1381"/>
      <c r="M105" s="1381"/>
      <c r="N105" s="1381"/>
      <c r="O105" s="1381"/>
      <c r="P105" s="1382"/>
    </row>
    <row r="106" spans="1:16" s="386" customFormat="1" ht="13.15" customHeight="1">
      <c r="A106" s="687"/>
      <c r="B106" s="687"/>
      <c r="C106" s="1380">
        <v>3</v>
      </c>
      <c r="D106" s="1381"/>
      <c r="E106" s="1381"/>
      <c r="F106" s="1381"/>
      <c r="G106" s="1381"/>
      <c r="H106" s="1381"/>
      <c r="I106" s="1382"/>
      <c r="J106" s="1380">
        <v>8</v>
      </c>
      <c r="K106" s="1381"/>
      <c r="L106" s="1381"/>
      <c r="M106" s="1381"/>
      <c r="N106" s="1381"/>
      <c r="O106" s="1381"/>
      <c r="P106" s="1382"/>
    </row>
    <row r="107" spans="1:16" s="386" customFormat="1" ht="13.15" customHeight="1">
      <c r="A107" s="687"/>
      <c r="B107" s="687"/>
      <c r="C107" s="1380">
        <v>4</v>
      </c>
      <c r="D107" s="1381"/>
      <c r="E107" s="1381"/>
      <c r="F107" s="1381"/>
      <c r="G107" s="1381"/>
      <c r="H107" s="1381"/>
      <c r="I107" s="1382"/>
      <c r="J107" s="1380">
        <v>9</v>
      </c>
      <c r="K107" s="1381"/>
      <c r="L107" s="1381"/>
      <c r="M107" s="1381"/>
      <c r="N107" s="1381"/>
      <c r="O107" s="1381"/>
      <c r="P107" s="1382"/>
    </row>
    <row r="108" spans="1:16" s="386" customFormat="1" ht="13.15" customHeight="1">
      <c r="A108" s="687"/>
      <c r="B108" s="687"/>
      <c r="C108" s="1383">
        <v>5</v>
      </c>
      <c r="D108" s="1384"/>
      <c r="E108" s="1384"/>
      <c r="F108" s="1384"/>
      <c r="G108" s="1384"/>
      <c r="H108" s="1384"/>
      <c r="I108" s="1385"/>
      <c r="J108" s="1383">
        <v>10</v>
      </c>
      <c r="K108" s="1384"/>
      <c r="L108" s="1384"/>
      <c r="M108" s="1384"/>
      <c r="N108" s="1384"/>
      <c r="O108" s="1384"/>
      <c r="P108" s="1385"/>
    </row>
    <row r="109" spans="1:16" s="386" customFormat="1" ht="4.9000000000000004" customHeight="1">
      <c r="A109" s="687"/>
      <c r="B109" s="687"/>
      <c r="C109" s="419"/>
      <c r="D109" s="419"/>
      <c r="E109" s="419"/>
      <c r="F109" s="419"/>
      <c r="G109" s="419"/>
      <c r="H109" s="419"/>
      <c r="I109" s="419"/>
      <c r="J109" s="419"/>
      <c r="K109" s="419"/>
      <c r="L109" s="419"/>
      <c r="M109" s="419"/>
      <c r="N109" s="419"/>
      <c r="O109" s="419"/>
      <c r="P109" s="419"/>
    </row>
    <row r="110" spans="1:16" s="386" customFormat="1" ht="13.15" customHeight="1">
      <c r="A110" s="687"/>
      <c r="B110" s="687" t="s">
        <v>2829</v>
      </c>
      <c r="C110" s="852" t="s">
        <v>2550</v>
      </c>
      <c r="D110" s="852"/>
      <c r="E110" s="852"/>
      <c r="F110" s="852"/>
      <c r="G110" s="852"/>
      <c r="H110" s="852"/>
      <c r="I110" s="852"/>
      <c r="J110" s="852"/>
      <c r="K110" s="852"/>
      <c r="L110" s="852"/>
      <c r="M110" s="852"/>
      <c r="N110" s="852"/>
      <c r="O110" s="852"/>
      <c r="P110" s="852"/>
    </row>
    <row r="111" spans="1:16" s="386" customFormat="1" ht="13.15" customHeight="1">
      <c r="A111" s="687"/>
      <c r="B111" s="687"/>
      <c r="C111" s="852"/>
      <c r="D111" s="852"/>
      <c r="E111" s="852"/>
      <c r="F111" s="852"/>
      <c r="G111" s="852"/>
      <c r="H111" s="852"/>
      <c r="I111" s="852"/>
      <c r="J111" s="852"/>
      <c r="K111" s="852"/>
      <c r="L111" s="852"/>
      <c r="M111" s="852"/>
      <c r="N111" s="852"/>
      <c r="O111" s="852"/>
      <c r="P111" s="852"/>
    </row>
    <row r="112" spans="1:16" s="386" customFormat="1" ht="13.15" customHeight="1">
      <c r="B112" s="687"/>
      <c r="C112" s="790" t="s">
        <v>2850</v>
      </c>
      <c r="D112" s="790"/>
      <c r="F112" s="790" t="s">
        <v>1545</v>
      </c>
      <c r="G112" s="799"/>
      <c r="H112" s="799"/>
      <c r="I112" s="799"/>
      <c r="J112" s="790" t="s">
        <v>2850</v>
      </c>
      <c r="K112" s="790"/>
      <c r="M112" s="790" t="s">
        <v>1545</v>
      </c>
      <c r="N112" s="799"/>
      <c r="O112" s="799"/>
      <c r="P112" s="799"/>
    </row>
    <row r="113" spans="1:16" s="386" customFormat="1" ht="13.15" customHeight="1">
      <c r="A113" s="687"/>
      <c r="B113" s="687"/>
      <c r="C113" s="1377" t="s">
        <v>4124</v>
      </c>
      <c r="D113" s="1378"/>
      <c r="E113" s="1378"/>
      <c r="F113" s="1378"/>
      <c r="G113" s="1378"/>
      <c r="H113" s="1378"/>
      <c r="I113" s="1379"/>
      <c r="J113" s="1377">
        <v>6</v>
      </c>
      <c r="K113" s="1378"/>
      <c r="L113" s="1378"/>
      <c r="M113" s="1378"/>
      <c r="N113" s="1378"/>
      <c r="O113" s="1378"/>
      <c r="P113" s="1379"/>
    </row>
    <row r="114" spans="1:16" s="386" customFormat="1" ht="13.15" customHeight="1">
      <c r="A114" s="687"/>
      <c r="B114" s="687"/>
      <c r="C114" s="1380">
        <v>2</v>
      </c>
      <c r="D114" s="1381"/>
      <c r="E114" s="1381"/>
      <c r="F114" s="1381"/>
      <c r="G114" s="1381"/>
      <c r="H114" s="1381"/>
      <c r="I114" s="1382"/>
      <c r="J114" s="1380">
        <v>7</v>
      </c>
      <c r="K114" s="1381"/>
      <c r="L114" s="1381"/>
      <c r="M114" s="1381"/>
      <c r="N114" s="1381"/>
      <c r="O114" s="1381"/>
      <c r="P114" s="1382"/>
    </row>
    <row r="115" spans="1:16" s="386" customFormat="1" ht="13.15" customHeight="1">
      <c r="A115" s="687"/>
      <c r="B115" s="687"/>
      <c r="C115" s="1380">
        <v>3</v>
      </c>
      <c r="D115" s="1381"/>
      <c r="E115" s="1381"/>
      <c r="F115" s="1381"/>
      <c r="G115" s="1381"/>
      <c r="H115" s="1381"/>
      <c r="I115" s="1382"/>
      <c r="J115" s="1380">
        <v>8</v>
      </c>
      <c r="K115" s="1381"/>
      <c r="L115" s="1381"/>
      <c r="M115" s="1381"/>
      <c r="N115" s="1381"/>
      <c r="O115" s="1381"/>
      <c r="P115" s="1382"/>
    </row>
    <row r="116" spans="1:16" s="386" customFormat="1" ht="13.15" customHeight="1">
      <c r="A116" s="687"/>
      <c r="B116" s="687"/>
      <c r="C116" s="1380">
        <v>4</v>
      </c>
      <c r="D116" s="1381"/>
      <c r="E116" s="1381"/>
      <c r="F116" s="1381"/>
      <c r="G116" s="1381"/>
      <c r="H116" s="1381"/>
      <c r="I116" s="1382"/>
      <c r="J116" s="1380">
        <v>9</v>
      </c>
      <c r="K116" s="1381"/>
      <c r="L116" s="1381"/>
      <c r="M116" s="1381"/>
      <c r="N116" s="1381"/>
      <c r="O116" s="1381"/>
      <c r="P116" s="1382"/>
    </row>
    <row r="117" spans="1:16" s="386" customFormat="1" ht="13.15" customHeight="1">
      <c r="A117" s="687"/>
      <c r="B117" s="687"/>
      <c r="C117" s="1383">
        <v>5</v>
      </c>
      <c r="D117" s="1384"/>
      <c r="E117" s="1384"/>
      <c r="F117" s="1384"/>
      <c r="G117" s="1384"/>
      <c r="H117" s="1384"/>
      <c r="I117" s="1385"/>
      <c r="J117" s="1383">
        <v>10</v>
      </c>
      <c r="K117" s="1384"/>
      <c r="L117" s="1384"/>
      <c r="M117" s="1384"/>
      <c r="N117" s="1384"/>
      <c r="O117" s="1384"/>
      <c r="P117" s="1385"/>
    </row>
    <row r="118" spans="1:16" s="386" customFormat="1" ht="6.6" customHeight="1">
      <c r="A118" s="687"/>
      <c r="B118" s="687"/>
      <c r="C118" s="790"/>
      <c r="D118" s="790"/>
      <c r="E118" s="790"/>
      <c r="F118" s="799"/>
      <c r="G118" s="799"/>
      <c r="H118" s="799"/>
      <c r="I118" s="799"/>
      <c r="J118" s="404"/>
      <c r="K118" s="799"/>
      <c r="L118" s="799"/>
      <c r="N118" s="796"/>
      <c r="O118" s="796"/>
      <c r="P118" s="397"/>
    </row>
    <row r="119" spans="1:16" s="386" customFormat="1" ht="13.15" customHeight="1">
      <c r="A119" s="415" t="s">
        <v>397</v>
      </c>
      <c r="B119" s="687"/>
      <c r="C119" s="412" t="s">
        <v>3184</v>
      </c>
      <c r="D119" s="412"/>
      <c r="E119" s="412"/>
      <c r="F119" s="412"/>
      <c r="H119" s="1326" t="s">
        <v>4068</v>
      </c>
      <c r="M119" s="799"/>
      <c r="N119" s="796"/>
      <c r="O119" s="796"/>
      <c r="P119" s="397"/>
    </row>
    <row r="120" spans="1:16" s="386" customFormat="1" ht="3" customHeight="1">
      <c r="A120" s="415"/>
      <c r="B120" s="687"/>
      <c r="C120" s="793"/>
      <c r="D120" s="793"/>
      <c r="E120" s="793"/>
      <c r="F120" s="793"/>
      <c r="G120" s="799"/>
      <c r="M120" s="799"/>
      <c r="N120" s="796"/>
      <c r="O120" s="796"/>
    </row>
    <row r="121" spans="1:16" s="386" customFormat="1" ht="13.15" customHeight="1">
      <c r="A121" s="687"/>
      <c r="B121" s="687" t="s">
        <v>2693</v>
      </c>
      <c r="C121" s="393" t="s">
        <v>2402</v>
      </c>
      <c r="H121" s="1326" t="s">
        <v>4068</v>
      </c>
      <c r="M121" s="799"/>
      <c r="N121" s="796"/>
      <c r="O121" s="796"/>
      <c r="P121" s="397"/>
    </row>
    <row r="122" spans="1:16" s="386" customFormat="1" ht="13.15" customHeight="1">
      <c r="A122" s="687"/>
      <c r="B122" s="687"/>
      <c r="C122" s="790" t="s">
        <v>3186</v>
      </c>
      <c r="D122" s="790"/>
      <c r="E122" s="790"/>
      <c r="F122" s="799"/>
      <c r="H122" s="1386">
        <v>1989</v>
      </c>
      <c r="N122" s="796"/>
      <c r="O122" s="796"/>
      <c r="P122" s="397"/>
    </row>
    <row r="123" spans="1:16" s="386" customFormat="1" ht="13.15" customHeight="1">
      <c r="A123" s="687"/>
      <c r="B123" s="687"/>
      <c r="C123" s="420" t="s">
        <v>2401</v>
      </c>
      <c r="D123" s="392"/>
      <c r="H123" s="1312" t="s">
        <v>4086</v>
      </c>
      <c r="I123" s="1314"/>
      <c r="P123" s="397"/>
    </row>
    <row r="124" spans="1:16" s="386" customFormat="1" ht="13.15" customHeight="1">
      <c r="A124" s="687"/>
      <c r="B124" s="687"/>
      <c r="C124" s="790" t="s">
        <v>3187</v>
      </c>
      <c r="D124" s="790"/>
      <c r="E124" s="790"/>
      <c r="F124" s="799"/>
      <c r="H124" s="1386">
        <v>1989</v>
      </c>
      <c r="K124" s="353" t="s">
        <v>2972</v>
      </c>
      <c r="O124" s="1312" t="s">
        <v>4087</v>
      </c>
      <c r="P124" s="1314"/>
    </row>
    <row r="125" spans="1:16" s="386" customFormat="1" ht="13.15" customHeight="1">
      <c r="A125" s="687"/>
      <c r="B125" s="687"/>
      <c r="C125" s="790" t="s">
        <v>3185</v>
      </c>
      <c r="F125" s="799"/>
      <c r="H125" s="1375" t="s">
        <v>4068</v>
      </c>
      <c r="K125" s="353" t="s">
        <v>2973</v>
      </c>
      <c r="O125" s="1312" t="s">
        <v>4088</v>
      </c>
      <c r="P125" s="1314"/>
    </row>
    <row r="126" spans="1:16" s="386" customFormat="1" ht="13.15" customHeight="1">
      <c r="A126" s="687"/>
      <c r="B126" s="687"/>
      <c r="C126" s="790" t="s">
        <v>2883</v>
      </c>
      <c r="D126" s="790"/>
      <c r="E126" s="790"/>
      <c r="F126" s="799"/>
      <c r="H126" s="1371" t="s">
        <v>4172</v>
      </c>
      <c r="I126" s="1372"/>
      <c r="N126" s="796"/>
      <c r="O126" s="796"/>
      <c r="P126" s="397"/>
    </row>
    <row r="127" spans="1:16" s="386" customFormat="1" ht="3" customHeight="1">
      <c r="A127" s="687"/>
      <c r="B127" s="687"/>
      <c r="C127" s="790"/>
      <c r="D127" s="790"/>
      <c r="E127" s="790"/>
      <c r="F127" s="799"/>
      <c r="N127" s="796"/>
      <c r="O127" s="796"/>
      <c r="P127" s="397"/>
    </row>
    <row r="128" spans="1:16" s="386" customFormat="1" ht="13.15" customHeight="1">
      <c r="A128" s="687"/>
      <c r="B128" s="687" t="s">
        <v>2696</v>
      </c>
      <c r="C128" s="793" t="s">
        <v>3271</v>
      </c>
      <c r="D128" s="790"/>
      <c r="E128" s="790"/>
      <c r="F128" s="799"/>
      <c r="H128" s="1375" t="s">
        <v>4063</v>
      </c>
      <c r="N128" s="796"/>
      <c r="O128" s="796"/>
      <c r="P128" s="397"/>
    </row>
    <row r="129" spans="1:16" s="386" customFormat="1" ht="3" customHeight="1">
      <c r="A129" s="687"/>
      <c r="B129" s="687"/>
      <c r="C129" s="790"/>
      <c r="D129" s="790"/>
      <c r="E129" s="790"/>
      <c r="F129" s="799"/>
      <c r="G129" s="799"/>
      <c r="M129" s="799"/>
      <c r="N129" s="796"/>
      <c r="O129" s="796"/>
      <c r="P129" s="397"/>
    </row>
    <row r="130" spans="1:16" s="386" customFormat="1" ht="13.15" customHeight="1">
      <c r="A130" s="687"/>
      <c r="B130" s="687" t="s">
        <v>1053</v>
      </c>
      <c r="C130" s="793" t="s">
        <v>3604</v>
      </c>
      <c r="D130" s="790"/>
      <c r="E130" s="790"/>
      <c r="F130" s="799"/>
      <c r="G130" s="799"/>
      <c r="N130" s="796"/>
      <c r="O130" s="796"/>
      <c r="P130" s="397"/>
    </row>
    <row r="131" spans="1:16" s="386" customFormat="1" ht="13.15" customHeight="1">
      <c r="A131" s="687"/>
      <c r="B131" s="687"/>
      <c r="C131" s="790" t="s">
        <v>910</v>
      </c>
      <c r="D131" s="790"/>
      <c r="E131" s="790"/>
      <c r="F131" s="799"/>
      <c r="G131" s="799"/>
      <c r="H131" s="1375" t="s">
        <v>4063</v>
      </c>
      <c r="K131" s="790" t="s">
        <v>1991</v>
      </c>
      <c r="L131" s="790"/>
      <c r="M131" s="799"/>
      <c r="N131" s="799"/>
      <c r="O131" s="1375" t="s">
        <v>4063</v>
      </c>
      <c r="P131" s="397"/>
    </row>
    <row r="132" spans="1:16" s="386" customFormat="1" ht="6" customHeight="1">
      <c r="A132" s="687"/>
      <c r="B132" s="687"/>
      <c r="C132" s="790"/>
      <c r="D132" s="790"/>
      <c r="E132" s="790"/>
      <c r="F132" s="799"/>
      <c r="G132" s="799"/>
      <c r="H132" s="799"/>
      <c r="I132" s="799"/>
      <c r="J132" s="404"/>
      <c r="K132" s="799"/>
      <c r="L132" s="799"/>
      <c r="N132" s="796"/>
      <c r="O132" s="796"/>
      <c r="P132" s="397"/>
    </row>
    <row r="133" spans="1:16" s="386" customFormat="1" ht="13.15" customHeight="1">
      <c r="A133" s="415" t="s">
        <v>398</v>
      </c>
      <c r="B133" s="687"/>
      <c r="C133" s="412" t="s">
        <v>1604</v>
      </c>
      <c r="D133" s="412"/>
      <c r="E133" s="412"/>
      <c r="F133" s="412"/>
      <c r="G133" s="799"/>
      <c r="H133" s="799"/>
      <c r="I133" s="799"/>
      <c r="J133" s="404"/>
      <c r="K133" s="799"/>
      <c r="L133" s="799"/>
      <c r="N133" s="796"/>
      <c r="O133" s="796"/>
      <c r="P133" s="397"/>
    </row>
    <row r="134" spans="1:16" s="386" customFormat="1" ht="1.9" customHeight="1">
      <c r="A134" s="415"/>
      <c r="B134" s="687"/>
      <c r="C134" s="793"/>
      <c r="D134" s="793"/>
      <c r="E134" s="793"/>
      <c r="F134" s="793"/>
      <c r="G134" s="799"/>
      <c r="H134" s="799"/>
      <c r="I134" s="799"/>
      <c r="J134" s="404"/>
      <c r="K134" s="799"/>
      <c r="L134" s="799"/>
      <c r="N134" s="796"/>
      <c r="O134" s="796"/>
    </row>
    <row r="135" spans="1:16" s="386" customFormat="1" ht="13.15" customHeight="1">
      <c r="A135" s="687"/>
      <c r="B135" s="687" t="s">
        <v>2693</v>
      </c>
      <c r="C135" s="403" t="s">
        <v>2521</v>
      </c>
      <c r="F135" s="799"/>
      <c r="G135" s="799"/>
      <c r="H135" s="799"/>
      <c r="I135" s="799"/>
      <c r="J135" s="404"/>
      <c r="K135" s="799"/>
      <c r="L135" s="799"/>
      <c r="N135" s="796"/>
      <c r="O135" s="796"/>
      <c r="P135" s="397"/>
    </row>
    <row r="136" spans="1:16" s="386" customFormat="1" ht="12.6" customHeight="1">
      <c r="A136" s="687"/>
      <c r="B136" s="687"/>
      <c r="C136" s="411" t="s">
        <v>1983</v>
      </c>
      <c r="D136" s="404"/>
      <c r="E136" s="404"/>
      <c r="F136" s="799"/>
      <c r="G136" s="799"/>
      <c r="H136" s="799"/>
      <c r="I136" s="799"/>
      <c r="K136" s="1375" t="s">
        <v>4063</v>
      </c>
      <c r="N136" s="796"/>
      <c r="O136" s="796"/>
      <c r="P136" s="397"/>
    </row>
    <row r="137" spans="1:16" s="386" customFormat="1" ht="12.6" customHeight="1">
      <c r="A137" s="687"/>
      <c r="B137" s="687"/>
      <c r="C137" s="386" t="s">
        <v>794</v>
      </c>
      <c r="K137" s="1365" t="s">
        <v>1368</v>
      </c>
      <c r="L137" s="392" t="s">
        <v>2490</v>
      </c>
      <c r="P137" s="421" t="e">
        <f>IF('Part VI-Revenues &amp; Expenses'!$M$60=0,0,$K137/'Part VI-Revenues &amp; Expenses'!$M$60)</f>
        <v>#VALUE!</v>
      </c>
    </row>
    <row r="138" spans="1:16" s="386" customFormat="1" ht="12.6" customHeight="1">
      <c r="A138" s="687"/>
      <c r="B138" s="687"/>
      <c r="C138" s="386" t="s">
        <v>2884</v>
      </c>
      <c r="K138" s="1365" t="s">
        <v>1368</v>
      </c>
      <c r="L138" s="392" t="s">
        <v>2490</v>
      </c>
      <c r="P138" s="421" t="e">
        <f>IF('Part VI-Revenues &amp; Expenses'!$M$60=0,0,$K138/'Part VI-Revenues &amp; Expenses'!$M$60)</f>
        <v>#VALUE!</v>
      </c>
    </row>
    <row r="139" spans="1:16" s="386" customFormat="1" ht="12.6" customHeight="1">
      <c r="A139" s="687"/>
      <c r="B139" s="687"/>
      <c r="C139" s="386" t="s">
        <v>2491</v>
      </c>
      <c r="E139" s="1312" t="s">
        <v>1368</v>
      </c>
      <c r="F139" s="1313"/>
      <c r="G139" s="1313"/>
      <c r="H139" s="1313"/>
      <c r="I139" s="1313"/>
      <c r="J139" s="1313"/>
      <c r="K139" s="1314"/>
      <c r="L139" s="422" t="s">
        <v>2492</v>
      </c>
      <c r="M139" s="1312" t="s">
        <v>1368</v>
      </c>
      <c r="N139" s="1313"/>
      <c r="O139" s="1313"/>
      <c r="P139" s="1314"/>
    </row>
    <row r="140" spans="1:16" s="386" customFormat="1" ht="12.6" customHeight="1">
      <c r="A140" s="687"/>
      <c r="B140" s="687"/>
      <c r="C140" s="392" t="s">
        <v>2493</v>
      </c>
      <c r="D140" s="400"/>
      <c r="E140" s="1312" t="s">
        <v>1368</v>
      </c>
      <c r="F140" s="1313"/>
      <c r="G140" s="1313"/>
      <c r="H140" s="1313"/>
      <c r="I140" s="1313"/>
      <c r="J140" s="1313"/>
      <c r="K140" s="1387"/>
      <c r="L140" s="791" t="s">
        <v>2495</v>
      </c>
      <c r="M140" s="1327" t="s">
        <v>1368</v>
      </c>
      <c r="N140" s="1328"/>
      <c r="O140" s="1328"/>
      <c r="P140" s="1329"/>
    </row>
    <row r="141" spans="1:16" s="386" customFormat="1" ht="12.6" customHeight="1">
      <c r="A141" s="687"/>
      <c r="B141" s="687"/>
      <c r="C141" s="392" t="s">
        <v>797</v>
      </c>
      <c r="E141" s="1312" t="s">
        <v>1368</v>
      </c>
      <c r="F141" s="1313"/>
      <c r="G141" s="1313"/>
      <c r="H141" s="1314"/>
      <c r="I141" s="417" t="s">
        <v>2953</v>
      </c>
      <c r="J141" s="1323"/>
      <c r="K141" s="1324"/>
      <c r="L141" s="422" t="s">
        <v>2498</v>
      </c>
      <c r="M141" s="1320"/>
      <c r="N141" s="1325"/>
      <c r="O141" s="1321"/>
    </row>
    <row r="142" spans="1:16" s="386" customFormat="1" ht="12.6" customHeight="1">
      <c r="A142" s="687"/>
      <c r="B142" s="687"/>
      <c r="C142" s="392" t="s">
        <v>2496</v>
      </c>
      <c r="E142" s="1320"/>
      <c r="F142" s="1325"/>
      <c r="G142" s="1321"/>
      <c r="H142" s="423" t="s">
        <v>2497</v>
      </c>
      <c r="I142" s="1320"/>
      <c r="J142" s="1325"/>
      <c r="K142" s="1321"/>
      <c r="L142" s="424" t="s">
        <v>2689</v>
      </c>
      <c r="M142" s="1320"/>
      <c r="N142" s="1325"/>
      <c r="O142" s="1321"/>
    </row>
    <row r="143" spans="1:16" s="386" customFormat="1" ht="6" customHeight="1">
      <c r="A143" s="687"/>
      <c r="B143" s="687"/>
      <c r="C143" s="392"/>
      <c r="E143" s="425"/>
      <c r="F143" s="425"/>
      <c r="G143" s="425"/>
      <c r="H143" s="799"/>
      <c r="I143" s="425"/>
      <c r="J143" s="425"/>
      <c r="K143" s="799"/>
      <c r="L143" s="425"/>
      <c r="M143" s="425"/>
      <c r="N143" s="799"/>
      <c r="O143" s="425"/>
      <c r="P143" s="425"/>
    </row>
    <row r="144" spans="1:16" s="386" customFormat="1" ht="12.6" customHeight="1">
      <c r="A144" s="687"/>
      <c r="B144" s="687" t="s">
        <v>2696</v>
      </c>
      <c r="C144" s="793" t="s">
        <v>3617</v>
      </c>
      <c r="D144" s="793"/>
      <c r="E144" s="793"/>
      <c r="F144" s="793"/>
      <c r="G144" s="793"/>
      <c r="I144" s="1375" t="s">
        <v>4068</v>
      </c>
      <c r="J144" s="848" t="s">
        <v>1066</v>
      </c>
      <c r="K144" s="849"/>
      <c r="L144" s="1375">
        <v>2030</v>
      </c>
      <c r="M144" s="845" t="s">
        <v>3056</v>
      </c>
      <c r="N144" s="846"/>
      <c r="O144" s="847"/>
      <c r="P144" s="1386">
        <v>5</v>
      </c>
    </row>
    <row r="145" spans="1:16" s="386" customFormat="1" ht="6" customHeight="1">
      <c r="A145" s="687"/>
      <c r="B145" s="687"/>
      <c r="C145" s="793"/>
      <c r="D145" s="793"/>
      <c r="E145" s="389"/>
      <c r="F145" s="793"/>
      <c r="G145" s="793"/>
      <c r="J145" s="396"/>
      <c r="K145" s="426"/>
      <c r="M145" s="796"/>
      <c r="O145" s="799"/>
      <c r="P145" s="397"/>
    </row>
    <row r="146" spans="1:16" s="386" customFormat="1" ht="12.6" customHeight="1">
      <c r="A146" s="687"/>
      <c r="B146" s="687"/>
      <c r="C146" s="793" t="s">
        <v>3618</v>
      </c>
      <c r="D146" s="793"/>
      <c r="E146" s="793"/>
      <c r="F146" s="793"/>
      <c r="G146" s="793"/>
      <c r="I146" s="1375"/>
      <c r="J146" s="848" t="s">
        <v>1066</v>
      </c>
      <c r="K146" s="849"/>
      <c r="L146" s="1375" t="s">
        <v>1368</v>
      </c>
      <c r="M146" s="845" t="s">
        <v>3056</v>
      </c>
      <c r="N146" s="846"/>
      <c r="O146" s="847"/>
      <c r="P146" s="1386" t="s">
        <v>1368</v>
      </c>
    </row>
    <row r="147" spans="1:16" s="386" customFormat="1" ht="6" customHeight="1">
      <c r="A147" s="687"/>
      <c r="B147" s="687"/>
      <c r="C147" s="793"/>
      <c r="D147" s="793"/>
      <c r="E147" s="389"/>
      <c r="F147" s="793"/>
      <c r="G147" s="793"/>
      <c r="J147" s="396"/>
      <c r="K147" s="426"/>
      <c r="M147" s="796"/>
      <c r="O147" s="799"/>
      <c r="P147" s="397"/>
    </row>
    <row r="148" spans="1:16" s="386" customFormat="1" ht="12.6" customHeight="1">
      <c r="A148" s="687"/>
      <c r="B148" s="687" t="s">
        <v>1053</v>
      </c>
      <c r="C148" s="793" t="s">
        <v>2450</v>
      </c>
      <c r="D148" s="793"/>
      <c r="E148" s="793"/>
      <c r="F148" s="793"/>
      <c r="G148" s="793"/>
      <c r="I148" s="1375" t="s">
        <v>4063</v>
      </c>
      <c r="L148" s="353"/>
      <c r="M148" s="353"/>
      <c r="P148" s="397"/>
    </row>
    <row r="149" spans="1:16" s="386" customFormat="1" ht="6" customHeight="1">
      <c r="A149" s="687"/>
      <c r="B149" s="687"/>
      <c r="C149" s="392"/>
      <c r="E149" s="425"/>
      <c r="F149" s="425"/>
      <c r="G149" s="425"/>
      <c r="I149" s="425"/>
      <c r="J149" s="425"/>
      <c r="K149" s="799"/>
      <c r="L149" s="425"/>
      <c r="M149" s="425"/>
      <c r="N149" s="799"/>
      <c r="O149" s="425"/>
      <c r="P149" s="425"/>
    </row>
    <row r="150" spans="1:16" s="386" customFormat="1" ht="12.6" customHeight="1">
      <c r="A150" s="687"/>
      <c r="B150" s="687" t="s">
        <v>2829</v>
      </c>
      <c r="C150" s="834" t="s">
        <v>2688</v>
      </c>
      <c r="D150" s="834"/>
      <c r="E150" s="834"/>
      <c r="F150" s="834"/>
      <c r="G150" s="793"/>
      <c r="I150" s="1375" t="s">
        <v>4068</v>
      </c>
      <c r="J150" s="428" t="s">
        <v>3936</v>
      </c>
      <c r="L150" s="833" t="s">
        <v>1923</v>
      </c>
      <c r="M150" s="833"/>
      <c r="N150" s="793"/>
      <c r="O150" s="793"/>
      <c r="P150" s="1388">
        <v>48</v>
      </c>
    </row>
    <row r="151" spans="1:16" s="386" customFormat="1" ht="12.6" customHeight="1">
      <c r="B151" s="687"/>
      <c r="L151" s="829" t="s">
        <v>1189</v>
      </c>
      <c r="M151" s="829"/>
      <c r="N151" s="793"/>
      <c r="O151" s="793"/>
      <c r="P151" s="1388">
        <v>47</v>
      </c>
    </row>
    <row r="152" spans="1:16" s="386" customFormat="1" ht="12.6" customHeight="1">
      <c r="A152" s="687"/>
      <c r="B152" s="687"/>
      <c r="L152" s="829" t="s">
        <v>2486</v>
      </c>
      <c r="M152" s="829"/>
      <c r="N152" s="793"/>
      <c r="O152" s="793"/>
      <c r="P152" s="427">
        <f>IF(P150="","",P151/P150)</f>
        <v>0.97916666666666663</v>
      </c>
    </row>
    <row r="153" spans="1:16" s="386" customFormat="1" ht="13.15" customHeight="1">
      <c r="A153" s="687"/>
      <c r="B153" s="687" t="s">
        <v>2427</v>
      </c>
      <c r="C153" s="350" t="s">
        <v>2074</v>
      </c>
      <c r="D153" s="790"/>
      <c r="E153" s="790"/>
      <c r="F153" s="790"/>
      <c r="G153" s="790"/>
      <c r="H153" s="799"/>
      <c r="J153" s="396"/>
      <c r="K153" s="404"/>
      <c r="M153" s="796"/>
      <c r="O153" s="799"/>
      <c r="P153" s="397"/>
    </row>
    <row r="154" spans="1:16" s="386" customFormat="1" ht="12.6" customHeight="1">
      <c r="A154" s="687"/>
      <c r="B154" s="687"/>
      <c r="C154" s="796" t="s">
        <v>2933</v>
      </c>
      <c r="D154" s="398"/>
      <c r="E154" s="796"/>
      <c r="F154" s="796"/>
      <c r="I154" s="1375" t="s">
        <v>4063</v>
      </c>
      <c r="L154" s="796" t="s">
        <v>3670</v>
      </c>
      <c r="M154" s="796"/>
      <c r="P154" s="1375" t="s">
        <v>4063</v>
      </c>
    </row>
    <row r="155" spans="1:16" s="386" customFormat="1" ht="12.6" customHeight="1">
      <c r="A155" s="687"/>
      <c r="B155" s="687"/>
      <c r="C155" s="796" t="s">
        <v>2935</v>
      </c>
      <c r="I155" s="1375" t="s">
        <v>4068</v>
      </c>
      <c r="L155" s="796" t="s">
        <v>2075</v>
      </c>
      <c r="M155" s="796"/>
      <c r="N155" s="796"/>
      <c r="P155" s="1375" t="s">
        <v>4068</v>
      </c>
    </row>
    <row r="156" spans="1:16" s="386" customFormat="1" ht="12.6" customHeight="1">
      <c r="A156" s="687"/>
      <c r="C156" s="796" t="s">
        <v>3669</v>
      </c>
      <c r="I156" s="1375" t="s">
        <v>4063</v>
      </c>
      <c r="L156" s="796" t="s">
        <v>1994</v>
      </c>
      <c r="M156" s="796"/>
      <c r="N156" s="796"/>
      <c r="P156" s="1375" t="s">
        <v>4063</v>
      </c>
    </row>
    <row r="157" spans="1:16" s="386" customFormat="1" ht="12.6" customHeight="1">
      <c r="A157" s="687"/>
      <c r="B157" s="687"/>
      <c r="C157" s="796" t="s">
        <v>1715</v>
      </c>
      <c r="D157" s="429"/>
      <c r="I157" s="1375" t="s">
        <v>4063</v>
      </c>
      <c r="K157" s="398"/>
      <c r="L157" s="796" t="s">
        <v>3590</v>
      </c>
      <c r="N157" s="1389" t="s">
        <v>1368</v>
      </c>
      <c r="O157" s="1390"/>
      <c r="P157" s="1375" t="s">
        <v>4063</v>
      </c>
    </row>
    <row r="158" spans="1:16" s="386" customFormat="1" ht="12.6" customHeight="1">
      <c r="A158" s="687"/>
      <c r="B158" s="389"/>
      <c r="C158" s="796" t="s">
        <v>2505</v>
      </c>
      <c r="I158" s="1375" t="s">
        <v>4063</v>
      </c>
      <c r="J158" s="428" t="s">
        <v>3937</v>
      </c>
      <c r="O158" s="1391" t="s">
        <v>1368</v>
      </c>
      <c r="P158" s="1392"/>
    </row>
    <row r="159" spans="1:16" s="386" customFormat="1" ht="12.6" customHeight="1">
      <c r="A159" s="687"/>
      <c r="B159" s="687"/>
      <c r="C159" s="796" t="s">
        <v>3668</v>
      </c>
      <c r="I159" s="1375" t="s">
        <v>4063</v>
      </c>
      <c r="J159" s="428" t="s">
        <v>3937</v>
      </c>
      <c r="O159" s="1391" t="s">
        <v>1368</v>
      </c>
      <c r="P159" s="1392"/>
    </row>
    <row r="160" spans="1:16" s="386" customFormat="1" ht="3" customHeight="1">
      <c r="A160" s="687"/>
      <c r="B160" s="687"/>
      <c r="P160" s="396"/>
    </row>
    <row r="161" spans="1:21" s="386" customFormat="1" ht="13.15" customHeight="1">
      <c r="B161" s="687" t="s">
        <v>2428</v>
      </c>
      <c r="C161" s="393" t="s">
        <v>1043</v>
      </c>
    </row>
    <row r="162" spans="1:21" s="386" customFormat="1" ht="12.6" customHeight="1">
      <c r="A162" s="687"/>
      <c r="B162" s="687"/>
      <c r="C162" s="392" t="s">
        <v>818</v>
      </c>
      <c r="D162" s="790"/>
      <c r="E162" s="790"/>
      <c r="F162" s="799"/>
      <c r="G162" s="799"/>
      <c r="H162" s="1371">
        <v>41791</v>
      </c>
      <c r="I162" s="1372"/>
      <c r="N162" s="796"/>
      <c r="O162" s="796"/>
      <c r="P162" s="397"/>
    </row>
    <row r="163" spans="1:21" s="386" customFormat="1" ht="12.6" customHeight="1">
      <c r="A163" s="687"/>
      <c r="B163" s="687"/>
      <c r="C163" s="392" t="s">
        <v>305</v>
      </c>
      <c r="D163" s="790"/>
      <c r="E163" s="790"/>
      <c r="F163" s="799"/>
      <c r="G163" s="799"/>
      <c r="H163" s="1371">
        <v>42369</v>
      </c>
      <c r="I163" s="1372"/>
      <c r="N163" s="796"/>
      <c r="O163" s="796"/>
      <c r="P163" s="397"/>
    </row>
    <row r="164" spans="1:21" s="386" customFormat="1" ht="12.6" customHeight="1">
      <c r="A164" s="687"/>
      <c r="B164" s="687"/>
      <c r="C164" s="392" t="s">
        <v>3023</v>
      </c>
      <c r="D164" s="790"/>
      <c r="E164" s="790"/>
      <c r="F164" s="799"/>
      <c r="G164" s="799"/>
      <c r="H164" s="1371">
        <v>42369</v>
      </c>
      <c r="I164" s="1372"/>
      <c r="N164" s="796"/>
      <c r="O164" s="796"/>
      <c r="P164" s="397"/>
    </row>
    <row r="165" spans="1:21" s="386" customFormat="1" ht="6" customHeight="1">
      <c r="B165" s="389"/>
      <c r="C165" s="796"/>
      <c r="H165" s="796"/>
      <c r="L165" s="406"/>
      <c r="M165" s="406"/>
      <c r="N165" s="406"/>
      <c r="O165" s="406"/>
      <c r="P165" s="394"/>
    </row>
    <row r="166" spans="1:21" ht="12" customHeight="1">
      <c r="A166" s="415" t="s">
        <v>2417</v>
      </c>
      <c r="C166" s="415" t="s">
        <v>743</v>
      </c>
      <c r="K166" s="415" t="s">
        <v>2978</v>
      </c>
      <c r="L166" s="415" t="s">
        <v>83</v>
      </c>
    </row>
    <row r="167" spans="1:21" ht="147" customHeight="1">
      <c r="A167" s="1393" t="s">
        <v>4173</v>
      </c>
      <c r="B167" s="1394"/>
      <c r="C167" s="1394"/>
      <c r="D167" s="1394"/>
      <c r="E167" s="1394"/>
      <c r="F167" s="1394"/>
      <c r="G167" s="1394"/>
      <c r="H167" s="1394"/>
      <c r="I167" s="1394"/>
      <c r="J167" s="1395"/>
      <c r="K167" s="1396"/>
      <c r="L167" s="1397"/>
      <c r="M167" s="1397"/>
      <c r="N167" s="1397"/>
      <c r="O167" s="1397"/>
      <c r="P167" s="1398"/>
      <c r="Q167" s="826" t="s">
        <v>3594</v>
      </c>
      <c r="R167" s="826"/>
      <c r="S167" s="826"/>
      <c r="T167" s="826"/>
      <c r="U167" s="826"/>
    </row>
    <row r="168" spans="1:21" ht="12" customHeight="1">
      <c r="Q168" s="826"/>
      <c r="R168" s="826"/>
      <c r="S168" s="826"/>
      <c r="T168" s="826"/>
      <c r="U168" s="826"/>
    </row>
    <row r="175" spans="1:21" s="723" customFormat="1" ht="12" customHeight="1">
      <c r="B175" s="722"/>
    </row>
    <row r="176" spans="1:21" s="723" customFormat="1" ht="22.9" customHeight="1">
      <c r="B176" s="724" t="s">
        <v>2494</v>
      </c>
      <c r="C176" s="724" t="s">
        <v>1627</v>
      </c>
      <c r="D176" s="724" t="s">
        <v>1628</v>
      </c>
      <c r="E176" s="724" t="s">
        <v>1629</v>
      </c>
      <c r="F176" s="724" t="s">
        <v>1562</v>
      </c>
      <c r="G176" s="724" t="s">
        <v>460</v>
      </c>
      <c r="H176" s="725" t="s">
        <v>1570</v>
      </c>
      <c r="I176" s="726"/>
      <c r="J176" s="724" t="s">
        <v>3161</v>
      </c>
      <c r="K176" s="724"/>
      <c r="L176" s="727"/>
      <c r="M176" s="728"/>
      <c r="N176" s="728" t="s">
        <v>797</v>
      </c>
      <c r="O176" s="729" t="s">
        <v>798</v>
      </c>
      <c r="P176" s="728" t="s">
        <v>2857</v>
      </c>
      <c r="T176" s="730" t="s">
        <v>545</v>
      </c>
      <c r="U176" s="729" t="s">
        <v>798</v>
      </c>
    </row>
    <row r="177" spans="2:21" s="723" customFormat="1" ht="12" customHeight="1">
      <c r="B177" s="626" t="s">
        <v>1231</v>
      </c>
      <c r="C177" s="626" t="s">
        <v>1630</v>
      </c>
      <c r="D177" s="626" t="s">
        <v>1631</v>
      </c>
      <c r="E177" s="731" t="s">
        <v>1632</v>
      </c>
      <c r="F177" s="731" t="s">
        <v>3411</v>
      </c>
      <c r="G177" s="732" t="s">
        <v>1571</v>
      </c>
      <c r="H177" s="733" t="s">
        <v>458</v>
      </c>
      <c r="I177" s="734"/>
      <c r="J177" s="735" t="s">
        <v>1978</v>
      </c>
      <c r="K177" s="736"/>
      <c r="L177" s="727"/>
      <c r="M177" s="728"/>
      <c r="N177" s="737" t="s">
        <v>3162</v>
      </c>
      <c r="O177" s="737" t="s">
        <v>2660</v>
      </c>
      <c r="P177" s="626" t="s">
        <v>2077</v>
      </c>
      <c r="T177" s="737" t="s">
        <v>1652</v>
      </c>
      <c r="U177" s="737" t="s">
        <v>1514</v>
      </c>
    </row>
    <row r="178" spans="2:21" s="723" customFormat="1" ht="12" customHeight="1">
      <c r="B178" s="626" t="s">
        <v>1232</v>
      </c>
      <c r="C178" s="626" t="s">
        <v>2471</v>
      </c>
      <c r="D178" s="626" t="s">
        <v>1631</v>
      </c>
      <c r="E178" s="731" t="s">
        <v>2472</v>
      </c>
      <c r="F178" s="731" t="s">
        <v>3411</v>
      </c>
      <c r="G178" s="732" t="s">
        <v>1572</v>
      </c>
      <c r="H178" s="733" t="s">
        <v>458</v>
      </c>
      <c r="I178" s="734"/>
      <c r="J178" s="735" t="s">
        <v>1980</v>
      </c>
      <c r="K178" s="736"/>
      <c r="L178" s="727"/>
      <c r="M178" s="728"/>
      <c r="N178" s="737" t="s">
        <v>1979</v>
      </c>
      <c r="O178" s="737" t="s">
        <v>3267</v>
      </c>
      <c r="P178" s="626" t="s">
        <v>2078</v>
      </c>
      <c r="T178" s="737" t="s">
        <v>714</v>
      </c>
      <c r="U178" s="737" t="s">
        <v>176</v>
      </c>
    </row>
    <row r="179" spans="2:21" s="723" customFormat="1" ht="12" customHeight="1">
      <c r="B179" s="626" t="s">
        <v>1233</v>
      </c>
      <c r="C179" s="626" t="s">
        <v>2473</v>
      </c>
      <c r="D179" s="626" t="s">
        <v>1631</v>
      </c>
      <c r="E179" s="731" t="s">
        <v>2474</v>
      </c>
      <c r="F179" s="731" t="s">
        <v>3411</v>
      </c>
      <c r="G179" s="732" t="s">
        <v>1573</v>
      </c>
      <c r="H179" s="733" t="s">
        <v>458</v>
      </c>
      <c r="I179" s="734"/>
      <c r="J179" s="735" t="s">
        <v>589</v>
      </c>
      <c r="K179" s="736"/>
      <c r="L179" s="727"/>
      <c r="M179" s="728"/>
      <c r="N179" s="737" t="s">
        <v>1340</v>
      </c>
      <c r="O179" s="737" t="s">
        <v>1747</v>
      </c>
      <c r="P179" s="626" t="s">
        <v>2079</v>
      </c>
      <c r="T179" s="737" t="s">
        <v>1299</v>
      </c>
      <c r="U179" s="737" t="s">
        <v>1510</v>
      </c>
    </row>
    <row r="180" spans="2:21" s="723" customFormat="1" ht="12" customHeight="1">
      <c r="B180" s="626" t="s">
        <v>1234</v>
      </c>
      <c r="C180" s="626" t="s">
        <v>2475</v>
      </c>
      <c r="D180" s="626" t="s">
        <v>1631</v>
      </c>
      <c r="E180" s="738" t="s">
        <v>2476</v>
      </c>
      <c r="F180" s="738" t="s">
        <v>3412</v>
      </c>
      <c r="G180" s="732" t="s">
        <v>1574</v>
      </c>
      <c r="H180" s="733" t="s">
        <v>459</v>
      </c>
      <c r="I180" s="739"/>
      <c r="J180" s="735" t="s">
        <v>2794</v>
      </c>
      <c r="K180" s="736"/>
      <c r="L180" s="727"/>
      <c r="M180" s="728"/>
      <c r="N180" s="737" t="s">
        <v>590</v>
      </c>
      <c r="O180" s="737" t="s">
        <v>3317</v>
      </c>
      <c r="P180" s="626" t="s">
        <v>2080</v>
      </c>
      <c r="T180" s="737" t="s">
        <v>2071</v>
      </c>
      <c r="U180" s="737" t="s">
        <v>3316</v>
      </c>
    </row>
    <row r="181" spans="2:21" s="723" customFormat="1" ht="12" customHeight="1">
      <c r="B181" s="626" t="s">
        <v>1235</v>
      </c>
      <c r="C181" s="626" t="s">
        <v>2477</v>
      </c>
      <c r="D181" s="626" t="s">
        <v>1768</v>
      </c>
      <c r="E181" s="738" t="s">
        <v>172</v>
      </c>
      <c r="F181" s="738" t="s">
        <v>3411</v>
      </c>
      <c r="G181" s="732" t="s">
        <v>1575</v>
      </c>
      <c r="H181" s="733" t="s">
        <v>458</v>
      </c>
      <c r="I181" s="739"/>
      <c r="J181" s="735" t="s">
        <v>2796</v>
      </c>
      <c r="K181" s="736"/>
      <c r="L181" s="727"/>
      <c r="M181" s="728"/>
      <c r="N181" s="737" t="s">
        <v>2795</v>
      </c>
      <c r="O181" s="737" t="s">
        <v>364</v>
      </c>
      <c r="P181" s="626" t="s">
        <v>2081</v>
      </c>
      <c r="T181" s="737" t="s">
        <v>2513</v>
      </c>
      <c r="U181" s="737" t="s">
        <v>116</v>
      </c>
    </row>
    <row r="182" spans="2:21" s="723" customFormat="1" ht="12" customHeight="1">
      <c r="B182" s="626" t="s">
        <v>1236</v>
      </c>
      <c r="C182" s="626" t="s">
        <v>1743</v>
      </c>
      <c r="D182" s="626" t="s">
        <v>1744</v>
      </c>
      <c r="E182" s="731" t="s">
        <v>1745</v>
      </c>
      <c r="F182" s="731" t="s">
        <v>3411</v>
      </c>
      <c r="G182" s="732" t="s">
        <v>2522</v>
      </c>
      <c r="H182" s="733" t="s">
        <v>458</v>
      </c>
      <c r="I182" s="734"/>
      <c r="J182" s="735" t="s">
        <v>2798</v>
      </c>
      <c r="K182" s="736"/>
      <c r="L182" s="727"/>
      <c r="M182" s="728"/>
      <c r="N182" s="737" t="s">
        <v>2797</v>
      </c>
      <c r="O182" s="737" t="s">
        <v>201</v>
      </c>
      <c r="P182" s="626" t="s">
        <v>2082</v>
      </c>
      <c r="T182" s="737" t="s">
        <v>2839</v>
      </c>
      <c r="U182" s="737" t="s">
        <v>112</v>
      </c>
    </row>
    <row r="183" spans="2:21" s="723" customFormat="1" ht="12" customHeight="1">
      <c r="B183" s="626" t="s">
        <v>1237</v>
      </c>
      <c r="C183" s="626" t="s">
        <v>1746</v>
      </c>
      <c r="D183" s="626" t="s">
        <v>1768</v>
      </c>
      <c r="E183" s="738" t="s">
        <v>1151</v>
      </c>
      <c r="F183" s="738" t="s">
        <v>3412</v>
      </c>
      <c r="G183" s="732" t="s">
        <v>3373</v>
      </c>
      <c r="H183" s="733" t="s">
        <v>459</v>
      </c>
      <c r="I183" s="739"/>
      <c r="J183" s="735" t="s">
        <v>2800</v>
      </c>
      <c r="K183" s="736"/>
      <c r="L183" s="727"/>
      <c r="M183" s="728"/>
      <c r="N183" s="737" t="s">
        <v>2799</v>
      </c>
      <c r="O183" s="737" t="s">
        <v>118</v>
      </c>
      <c r="P183" s="626" t="s">
        <v>2083</v>
      </c>
      <c r="T183" s="737" t="s">
        <v>329</v>
      </c>
      <c r="U183" s="737" t="s">
        <v>116</v>
      </c>
    </row>
    <row r="184" spans="2:21" s="723" customFormat="1" ht="12" customHeight="1">
      <c r="B184" s="626" t="s">
        <v>1238</v>
      </c>
      <c r="C184" s="626" t="s">
        <v>1747</v>
      </c>
      <c r="D184" s="626" t="s">
        <v>1744</v>
      </c>
      <c r="E184" s="738" t="s">
        <v>1151</v>
      </c>
      <c r="F184" s="738" t="s">
        <v>3412</v>
      </c>
      <c r="G184" s="732" t="s">
        <v>3373</v>
      </c>
      <c r="H184" s="733" t="s">
        <v>459</v>
      </c>
      <c r="I184" s="739"/>
      <c r="J184" s="735" t="s">
        <v>2802</v>
      </c>
      <c r="K184" s="736"/>
      <c r="L184" s="727"/>
      <c r="M184" s="728"/>
      <c r="N184" s="737" t="s">
        <v>2801</v>
      </c>
      <c r="O184" s="737" t="s">
        <v>1750</v>
      </c>
      <c r="P184" s="626" t="s">
        <v>2084</v>
      </c>
      <c r="Q184" s="732"/>
    </row>
    <row r="185" spans="2:21" s="723" customFormat="1" ht="12" customHeight="1">
      <c r="B185" s="626" t="s">
        <v>1239</v>
      </c>
      <c r="C185" s="626" t="s">
        <v>1748</v>
      </c>
      <c r="D185" s="626" t="s">
        <v>1631</v>
      </c>
      <c r="E185" s="731" t="s">
        <v>1749</v>
      </c>
      <c r="F185" s="731" t="s">
        <v>3411</v>
      </c>
      <c r="G185" s="732" t="s">
        <v>3374</v>
      </c>
      <c r="H185" s="733" t="s">
        <v>458</v>
      </c>
      <c r="I185" s="734"/>
      <c r="J185" s="735" t="s">
        <v>2672</v>
      </c>
      <c r="K185" s="627"/>
      <c r="L185" s="727"/>
      <c r="M185" s="728"/>
      <c r="N185" s="737" t="s">
        <v>2476</v>
      </c>
      <c r="O185" s="737" t="s">
        <v>1351</v>
      </c>
      <c r="P185" s="626" t="s">
        <v>2085</v>
      </c>
      <c r="Q185" s="732"/>
    </row>
    <row r="186" spans="2:21" s="723" customFormat="1" ht="12" customHeight="1">
      <c r="B186" s="626" t="s">
        <v>1240</v>
      </c>
      <c r="C186" s="626" t="s">
        <v>1750</v>
      </c>
      <c r="D186" s="626" t="s">
        <v>1631</v>
      </c>
      <c r="E186" s="731" t="s">
        <v>1751</v>
      </c>
      <c r="F186" s="731" t="s">
        <v>3411</v>
      </c>
      <c r="G186" s="732" t="s">
        <v>3375</v>
      </c>
      <c r="H186" s="733" t="s">
        <v>458</v>
      </c>
      <c r="I186" s="734"/>
      <c r="J186" s="735" t="s">
        <v>197</v>
      </c>
      <c r="K186" s="627"/>
      <c r="L186" s="626"/>
      <c r="M186" s="728"/>
      <c r="N186" s="737" t="s">
        <v>2673</v>
      </c>
      <c r="O186" s="737" t="s">
        <v>550</v>
      </c>
      <c r="P186" s="626" t="s">
        <v>2086</v>
      </c>
      <c r="Q186" s="732"/>
    </row>
    <row r="187" spans="2:21" s="723" customFormat="1" ht="12" customHeight="1">
      <c r="B187" s="626" t="s">
        <v>1241</v>
      </c>
      <c r="C187" s="626" t="s">
        <v>1752</v>
      </c>
      <c r="D187" s="626" t="s">
        <v>1768</v>
      </c>
      <c r="E187" s="738" t="s">
        <v>1753</v>
      </c>
      <c r="F187" s="738" t="s">
        <v>3412</v>
      </c>
      <c r="G187" s="732" t="s">
        <v>3376</v>
      </c>
      <c r="H187" s="733" t="s">
        <v>459</v>
      </c>
      <c r="I187" s="739"/>
      <c r="J187" s="735" t="s">
        <v>199</v>
      </c>
      <c r="K187" s="627"/>
      <c r="L187" s="727"/>
      <c r="M187" s="728"/>
      <c r="N187" s="737" t="s">
        <v>198</v>
      </c>
      <c r="O187" s="737" t="s">
        <v>1901</v>
      </c>
      <c r="P187" s="626" t="s">
        <v>2087</v>
      </c>
      <c r="Q187" s="732"/>
    </row>
    <row r="188" spans="2:21" s="723" customFormat="1" ht="12" customHeight="1">
      <c r="B188" s="626" t="s">
        <v>1242</v>
      </c>
      <c r="C188" s="626" t="s">
        <v>1754</v>
      </c>
      <c r="D188" s="626" t="s">
        <v>1631</v>
      </c>
      <c r="E188" s="738" t="s">
        <v>1755</v>
      </c>
      <c r="F188" s="738" t="s">
        <v>3411</v>
      </c>
      <c r="G188" s="732" t="s">
        <v>3377</v>
      </c>
      <c r="H188" s="733" t="s">
        <v>458</v>
      </c>
      <c r="I188" s="739"/>
      <c r="J188" s="735" t="s">
        <v>570</v>
      </c>
      <c r="K188" s="736"/>
      <c r="L188" s="727"/>
      <c r="M188" s="728"/>
      <c r="N188" s="737" t="s">
        <v>200</v>
      </c>
      <c r="O188" s="737" t="s">
        <v>3158</v>
      </c>
      <c r="P188" s="626" t="s">
        <v>2088</v>
      </c>
      <c r="Q188" s="732"/>
    </row>
    <row r="189" spans="2:21" s="723" customFormat="1" ht="12" customHeight="1">
      <c r="B189" s="626" t="s">
        <v>1243</v>
      </c>
      <c r="C189" s="626" t="s">
        <v>1756</v>
      </c>
      <c r="D189" s="626" t="s">
        <v>1631</v>
      </c>
      <c r="E189" s="731" t="s">
        <v>12</v>
      </c>
      <c r="F189" s="731" t="s">
        <v>3412</v>
      </c>
      <c r="G189" s="732" t="s">
        <v>3378</v>
      </c>
      <c r="H189" s="733" t="s">
        <v>459</v>
      </c>
      <c r="I189" s="734"/>
      <c r="J189" s="735" t="s">
        <v>572</v>
      </c>
      <c r="K189" s="736"/>
      <c r="L189" s="727"/>
      <c r="M189" s="728"/>
      <c r="N189" s="737" t="s">
        <v>571</v>
      </c>
      <c r="O189" s="737" t="s">
        <v>2473</v>
      </c>
      <c r="P189" s="626" t="s">
        <v>2089</v>
      </c>
      <c r="Q189" s="732"/>
    </row>
    <row r="190" spans="2:21" s="723" customFormat="1" ht="12" customHeight="1">
      <c r="B190" s="626" t="s">
        <v>1244</v>
      </c>
      <c r="C190" s="626" t="s">
        <v>1757</v>
      </c>
      <c r="D190" s="626" t="s">
        <v>1631</v>
      </c>
      <c r="E190" s="731" t="s">
        <v>2385</v>
      </c>
      <c r="F190" s="731" t="s">
        <v>3412</v>
      </c>
      <c r="G190" s="732" t="s">
        <v>3379</v>
      </c>
      <c r="H190" s="733" t="s">
        <v>459</v>
      </c>
      <c r="I190" s="734"/>
      <c r="J190" s="735" t="s">
        <v>574</v>
      </c>
      <c r="K190" s="736"/>
      <c r="L190" s="727"/>
      <c r="M190" s="728"/>
      <c r="N190" s="737" t="s">
        <v>573</v>
      </c>
      <c r="O190" s="737" t="s">
        <v>1626</v>
      </c>
      <c r="P190" s="626" t="s">
        <v>2090</v>
      </c>
      <c r="Q190" s="732"/>
    </row>
    <row r="191" spans="2:21" s="723" customFormat="1" ht="12" customHeight="1">
      <c r="B191" s="626" t="s">
        <v>1245</v>
      </c>
      <c r="C191" s="626" t="s">
        <v>1758</v>
      </c>
      <c r="D191" s="626" t="s">
        <v>1631</v>
      </c>
      <c r="E191" s="738" t="s">
        <v>1759</v>
      </c>
      <c r="F191" s="738" t="s">
        <v>3412</v>
      </c>
      <c r="G191" s="732" t="s">
        <v>1908</v>
      </c>
      <c r="H191" s="733" t="s">
        <v>459</v>
      </c>
      <c r="I191" s="739"/>
      <c r="J191" s="735" t="s">
        <v>576</v>
      </c>
      <c r="K191" s="736"/>
      <c r="L191" s="727"/>
      <c r="M191" s="728"/>
      <c r="N191" s="737" t="s">
        <v>575</v>
      </c>
      <c r="O191" s="737" t="s">
        <v>201</v>
      </c>
      <c r="P191" s="626" t="s">
        <v>2091</v>
      </c>
      <c r="Q191" s="732"/>
    </row>
    <row r="192" spans="2:21" s="723" customFormat="1" ht="12" customHeight="1">
      <c r="B192" s="626" t="s">
        <v>1246</v>
      </c>
      <c r="C192" s="626" t="s">
        <v>1760</v>
      </c>
      <c r="D192" s="626" t="s">
        <v>1631</v>
      </c>
      <c r="E192" s="738" t="s">
        <v>1761</v>
      </c>
      <c r="F192" s="738" t="s">
        <v>3411</v>
      </c>
      <c r="G192" s="732" t="s">
        <v>3394</v>
      </c>
      <c r="H192" s="733" t="s">
        <v>458</v>
      </c>
      <c r="I192" s="739"/>
      <c r="J192" s="735" t="s">
        <v>2989</v>
      </c>
      <c r="K192" s="736"/>
      <c r="L192" s="727"/>
      <c r="M192" s="728"/>
      <c r="N192" s="737" t="s">
        <v>577</v>
      </c>
      <c r="O192" s="737" t="s">
        <v>128</v>
      </c>
      <c r="P192" s="626" t="s">
        <v>2092</v>
      </c>
      <c r="Q192" s="732"/>
    </row>
    <row r="193" spans="2:17" s="723" customFormat="1" ht="12" customHeight="1">
      <c r="B193" s="626" t="s">
        <v>1247</v>
      </c>
      <c r="C193" s="626" t="s">
        <v>1762</v>
      </c>
      <c r="D193" s="626" t="s">
        <v>1768</v>
      </c>
      <c r="E193" s="738" t="s">
        <v>1152</v>
      </c>
      <c r="F193" s="738" t="s">
        <v>3412</v>
      </c>
      <c r="G193" s="732" t="s">
        <v>3395</v>
      </c>
      <c r="H193" s="733" t="s">
        <v>459</v>
      </c>
      <c r="I193" s="739"/>
      <c r="J193" s="735" t="s">
        <v>2991</v>
      </c>
      <c r="K193" s="736"/>
      <c r="L193" s="727"/>
      <c r="M193" s="728"/>
      <c r="N193" s="737" t="s">
        <v>2990</v>
      </c>
      <c r="O193" s="737" t="s">
        <v>3268</v>
      </c>
      <c r="P193" s="626" t="s">
        <v>2093</v>
      </c>
      <c r="Q193" s="732"/>
    </row>
    <row r="194" spans="2:17" s="723" customFormat="1" ht="12" customHeight="1">
      <c r="B194" s="626" t="s">
        <v>1248</v>
      </c>
      <c r="C194" s="626" t="s">
        <v>1764</v>
      </c>
      <c r="D194" s="626" t="s">
        <v>1768</v>
      </c>
      <c r="E194" s="738" t="s">
        <v>1440</v>
      </c>
      <c r="F194" s="738" t="s">
        <v>3412</v>
      </c>
      <c r="G194" s="732" t="s">
        <v>1681</v>
      </c>
      <c r="H194" s="733" t="s">
        <v>459</v>
      </c>
      <c r="I194" s="739"/>
      <c r="J194" s="735" t="s">
        <v>402</v>
      </c>
      <c r="K194" s="736"/>
      <c r="L194" s="727"/>
      <c r="M194" s="728"/>
      <c r="N194" s="737" t="s">
        <v>2551</v>
      </c>
      <c r="O194" s="737" t="s">
        <v>2895</v>
      </c>
      <c r="P194" s="626" t="s">
        <v>2094</v>
      </c>
      <c r="Q194" s="732"/>
    </row>
    <row r="195" spans="2:17" s="723" customFormat="1" ht="12" customHeight="1">
      <c r="B195" s="626" t="s">
        <v>1249</v>
      </c>
      <c r="C195" s="626" t="s">
        <v>1765</v>
      </c>
      <c r="D195" s="626" t="s">
        <v>1631</v>
      </c>
      <c r="E195" s="731" t="s">
        <v>1766</v>
      </c>
      <c r="F195" s="731" t="s">
        <v>3411</v>
      </c>
      <c r="G195" s="732" t="s">
        <v>1682</v>
      </c>
      <c r="H195" s="733" t="s">
        <v>458</v>
      </c>
      <c r="I195" s="734"/>
      <c r="J195" s="735" t="s">
        <v>404</v>
      </c>
      <c r="K195" s="736"/>
      <c r="L195" s="727"/>
      <c r="M195" s="728"/>
      <c r="N195" s="737" t="s">
        <v>403</v>
      </c>
      <c r="O195" s="737" t="s">
        <v>2895</v>
      </c>
      <c r="P195" s="626" t="s">
        <v>2095</v>
      </c>
      <c r="Q195" s="732"/>
    </row>
    <row r="196" spans="2:17" s="723" customFormat="1" ht="12" customHeight="1">
      <c r="B196" s="626" t="s">
        <v>1250</v>
      </c>
      <c r="C196" s="626" t="s">
        <v>1767</v>
      </c>
      <c r="D196" s="626" t="s">
        <v>1631</v>
      </c>
      <c r="E196" s="738" t="s">
        <v>1034</v>
      </c>
      <c r="F196" s="738" t="s">
        <v>3411</v>
      </c>
      <c r="G196" s="732" t="s">
        <v>1683</v>
      </c>
      <c r="H196" s="733" t="s">
        <v>458</v>
      </c>
      <c r="I196" s="739"/>
      <c r="J196" s="735" t="s">
        <v>3342</v>
      </c>
      <c r="K196" s="736"/>
      <c r="L196" s="727"/>
      <c r="M196" s="728"/>
      <c r="N196" s="737" t="s">
        <v>3343</v>
      </c>
      <c r="O196" s="737" t="s">
        <v>3321</v>
      </c>
      <c r="P196" s="626" t="s">
        <v>2096</v>
      </c>
      <c r="Q196" s="732"/>
    </row>
    <row r="197" spans="2:17" s="723" customFormat="1" ht="12" customHeight="1">
      <c r="B197" s="626" t="s">
        <v>1251</v>
      </c>
      <c r="C197" s="626" t="s">
        <v>1035</v>
      </c>
      <c r="D197" s="626" t="s">
        <v>1631</v>
      </c>
      <c r="E197" s="731" t="s">
        <v>1036</v>
      </c>
      <c r="F197" s="731" t="s">
        <v>3411</v>
      </c>
      <c r="G197" s="732" t="s">
        <v>2400</v>
      </c>
      <c r="H197" s="733" t="s">
        <v>458</v>
      </c>
      <c r="I197" s="734"/>
      <c r="J197" s="735" t="s">
        <v>3344</v>
      </c>
      <c r="K197" s="736"/>
      <c r="L197" s="727"/>
      <c r="M197" s="728"/>
      <c r="N197" s="737" t="s">
        <v>3345</v>
      </c>
      <c r="O197" s="737" t="s">
        <v>1504</v>
      </c>
      <c r="P197" s="626" t="s">
        <v>2097</v>
      </c>
      <c r="Q197" s="732"/>
    </row>
    <row r="198" spans="2:17" s="723" customFormat="1" ht="12" customHeight="1">
      <c r="B198" s="626" t="s">
        <v>1252</v>
      </c>
      <c r="C198" s="626" t="s">
        <v>1037</v>
      </c>
      <c r="D198" s="626" t="s">
        <v>1768</v>
      </c>
      <c r="E198" s="738" t="s">
        <v>1151</v>
      </c>
      <c r="F198" s="738" t="s">
        <v>3412</v>
      </c>
      <c r="G198" s="732" t="s">
        <v>3373</v>
      </c>
      <c r="H198" s="733" t="s">
        <v>459</v>
      </c>
      <c r="I198" s="739"/>
      <c r="J198" s="735" t="s">
        <v>3346</v>
      </c>
      <c r="K198" s="736"/>
      <c r="L198" s="727"/>
      <c r="M198" s="728"/>
      <c r="N198" s="737" t="s">
        <v>3347</v>
      </c>
      <c r="O198" s="737" t="s">
        <v>355</v>
      </c>
      <c r="P198" s="626" t="s">
        <v>2098</v>
      </c>
      <c r="Q198" s="732"/>
    </row>
    <row r="199" spans="2:17" s="723" customFormat="1" ht="12" customHeight="1">
      <c r="B199" s="626" t="s">
        <v>1253</v>
      </c>
      <c r="C199" s="626" t="s">
        <v>1976</v>
      </c>
      <c r="D199" s="626" t="s">
        <v>1744</v>
      </c>
      <c r="E199" s="738" t="s">
        <v>1977</v>
      </c>
      <c r="F199" s="738" t="s">
        <v>3412</v>
      </c>
      <c r="G199" s="732" t="s">
        <v>2369</v>
      </c>
      <c r="H199" s="733" t="s">
        <v>459</v>
      </c>
      <c r="I199" s="739"/>
      <c r="J199" s="735" t="s">
        <v>3348</v>
      </c>
      <c r="K199" s="736"/>
      <c r="L199" s="727"/>
      <c r="M199" s="728"/>
      <c r="N199" s="737" t="s">
        <v>3349</v>
      </c>
      <c r="O199" s="737" t="s">
        <v>3265</v>
      </c>
      <c r="P199" s="626" t="s">
        <v>2099</v>
      </c>
      <c r="Q199" s="732"/>
    </row>
    <row r="200" spans="2:17" s="723" customFormat="1" ht="12" customHeight="1">
      <c r="B200" s="626" t="s">
        <v>1254</v>
      </c>
      <c r="C200" s="626" t="s">
        <v>173</v>
      </c>
      <c r="D200" s="626" t="s">
        <v>1631</v>
      </c>
      <c r="E200" s="731" t="s">
        <v>174</v>
      </c>
      <c r="F200" s="731" t="s">
        <v>3411</v>
      </c>
      <c r="G200" s="732" t="s">
        <v>2370</v>
      </c>
      <c r="H200" s="733" t="s">
        <v>458</v>
      </c>
      <c r="I200" s="734"/>
      <c r="J200" s="735" t="s">
        <v>3350</v>
      </c>
      <c r="K200" s="736"/>
      <c r="L200" s="727"/>
      <c r="M200" s="728"/>
      <c r="N200" s="737" t="s">
        <v>3351</v>
      </c>
      <c r="O200" s="737" t="s">
        <v>1765</v>
      </c>
      <c r="P200" s="626" t="s">
        <v>2100</v>
      </c>
      <c r="Q200" s="732"/>
    </row>
    <row r="201" spans="2:17" s="723" customFormat="1" ht="12" customHeight="1">
      <c r="B201" s="626" t="s">
        <v>1255</v>
      </c>
      <c r="C201" s="626" t="s">
        <v>175</v>
      </c>
      <c r="D201" s="626" t="s">
        <v>1631</v>
      </c>
      <c r="E201" s="738" t="s">
        <v>1759</v>
      </c>
      <c r="F201" s="738" t="s">
        <v>3412</v>
      </c>
      <c r="G201" s="732" t="s">
        <v>1908</v>
      </c>
      <c r="H201" s="733" t="s">
        <v>459</v>
      </c>
      <c r="I201" s="739"/>
      <c r="J201" s="735" t="s">
        <v>3352</v>
      </c>
      <c r="K201" s="736"/>
      <c r="L201" s="727"/>
      <c r="M201" s="728"/>
      <c r="N201" s="737" t="s">
        <v>3354</v>
      </c>
      <c r="O201" s="737" t="s">
        <v>3388</v>
      </c>
      <c r="P201" s="626" t="s">
        <v>2101</v>
      </c>
      <c r="Q201" s="732"/>
    </row>
    <row r="202" spans="2:17" s="723" customFormat="1" ht="12" customHeight="1">
      <c r="B202" s="626" t="s">
        <v>1775</v>
      </c>
      <c r="C202" s="626" t="s">
        <v>176</v>
      </c>
      <c r="D202" s="626" t="s">
        <v>1768</v>
      </c>
      <c r="E202" s="738" t="s">
        <v>177</v>
      </c>
      <c r="F202" s="738" t="s">
        <v>3412</v>
      </c>
      <c r="G202" s="732" t="s">
        <v>2371</v>
      </c>
      <c r="H202" s="733" t="s">
        <v>459</v>
      </c>
      <c r="I202" s="739"/>
      <c r="J202" s="735" t="s">
        <v>3353</v>
      </c>
      <c r="K202" s="736"/>
      <c r="L202" s="727"/>
      <c r="M202" s="728"/>
      <c r="N202" s="737" t="s">
        <v>3356</v>
      </c>
      <c r="O202" s="737" t="s">
        <v>2625</v>
      </c>
      <c r="P202" s="626" t="s">
        <v>2102</v>
      </c>
      <c r="Q202" s="732"/>
    </row>
    <row r="203" spans="2:17" s="723" customFormat="1" ht="12" customHeight="1">
      <c r="B203" s="626" t="s">
        <v>1776</v>
      </c>
      <c r="C203" s="626" t="s">
        <v>178</v>
      </c>
      <c r="D203" s="626" t="s">
        <v>1744</v>
      </c>
      <c r="E203" s="731" t="s">
        <v>179</v>
      </c>
      <c r="F203" s="731" t="s">
        <v>3411</v>
      </c>
      <c r="G203" s="732" t="s">
        <v>2372</v>
      </c>
      <c r="H203" s="733" t="s">
        <v>458</v>
      </c>
      <c r="I203" s="734"/>
      <c r="J203" s="735" t="s">
        <v>3355</v>
      </c>
      <c r="K203" s="736"/>
      <c r="L203" s="727"/>
      <c r="M203" s="728"/>
      <c r="N203" s="737" t="s">
        <v>182</v>
      </c>
      <c r="O203" s="737" t="s">
        <v>181</v>
      </c>
      <c r="P203" s="1399" t="s">
        <v>1217</v>
      </c>
    </row>
    <row r="204" spans="2:17" s="723" customFormat="1" ht="12" customHeight="1">
      <c r="B204" s="626" t="s">
        <v>1777</v>
      </c>
      <c r="C204" s="626" t="s">
        <v>180</v>
      </c>
      <c r="D204" s="626" t="s">
        <v>1744</v>
      </c>
      <c r="E204" s="738" t="s">
        <v>1151</v>
      </c>
      <c r="F204" s="738" t="s">
        <v>3412</v>
      </c>
      <c r="G204" s="732" t="s">
        <v>3373</v>
      </c>
      <c r="H204" s="733" t="s">
        <v>459</v>
      </c>
      <c r="I204" s="739"/>
      <c r="J204" s="735" t="s">
        <v>452</v>
      </c>
      <c r="K204" s="736"/>
      <c r="L204" s="727"/>
      <c r="M204" s="728"/>
      <c r="N204" s="737" t="s">
        <v>1625</v>
      </c>
      <c r="O204" s="737" t="s">
        <v>1626</v>
      </c>
      <c r="P204" s="626" t="s">
        <v>2103</v>
      </c>
      <c r="Q204" s="732"/>
    </row>
    <row r="205" spans="2:17" s="723" customFormat="1" ht="12" customHeight="1">
      <c r="B205" s="626" t="s">
        <v>1778</v>
      </c>
      <c r="C205" s="626" t="s">
        <v>181</v>
      </c>
      <c r="D205" s="626" t="s">
        <v>1768</v>
      </c>
      <c r="E205" s="731" t="s">
        <v>2756</v>
      </c>
      <c r="F205" s="731" t="s">
        <v>3412</v>
      </c>
      <c r="G205" s="732" t="s">
        <v>799</v>
      </c>
      <c r="H205" s="733" t="s">
        <v>459</v>
      </c>
      <c r="I205" s="734"/>
      <c r="J205" s="735" t="s">
        <v>453</v>
      </c>
      <c r="K205" s="736"/>
      <c r="L205" s="626"/>
      <c r="M205" s="728"/>
      <c r="N205" s="737" t="s">
        <v>1169</v>
      </c>
      <c r="O205" s="737" t="s">
        <v>214</v>
      </c>
      <c r="P205" s="626" t="s">
        <v>2104</v>
      </c>
      <c r="Q205" s="732"/>
    </row>
    <row r="206" spans="2:17" s="723" customFormat="1" ht="12" customHeight="1">
      <c r="B206" s="626" t="s">
        <v>1779</v>
      </c>
      <c r="C206" s="626" t="s">
        <v>3262</v>
      </c>
      <c r="D206" s="626" t="s">
        <v>1631</v>
      </c>
      <c r="E206" s="731" t="s">
        <v>3263</v>
      </c>
      <c r="F206" s="731" t="s">
        <v>3411</v>
      </c>
      <c r="G206" s="732" t="s">
        <v>800</v>
      </c>
      <c r="H206" s="733" t="s">
        <v>458</v>
      </c>
      <c r="I206" s="734"/>
      <c r="J206" s="735" t="s">
        <v>1168</v>
      </c>
      <c r="K206" s="627"/>
      <c r="L206" s="727"/>
      <c r="M206" s="728"/>
      <c r="N206" s="737" t="s">
        <v>2785</v>
      </c>
      <c r="O206" s="737" t="s">
        <v>1746</v>
      </c>
      <c r="P206" s="626" t="s">
        <v>2105</v>
      </c>
      <c r="Q206" s="732"/>
    </row>
    <row r="207" spans="2:17" s="723" customFormat="1" ht="12" customHeight="1">
      <c r="B207" s="626" t="s">
        <v>1780</v>
      </c>
      <c r="C207" s="626" t="s">
        <v>3264</v>
      </c>
      <c r="D207" s="626" t="s">
        <v>1768</v>
      </c>
      <c r="E207" s="738" t="s">
        <v>1151</v>
      </c>
      <c r="F207" s="738" t="s">
        <v>3412</v>
      </c>
      <c r="G207" s="732" t="s">
        <v>3373</v>
      </c>
      <c r="H207" s="733" t="s">
        <v>459</v>
      </c>
      <c r="I207" s="739"/>
      <c r="J207" s="735" t="s">
        <v>1170</v>
      </c>
      <c r="K207" s="627"/>
      <c r="L207" s="727"/>
      <c r="M207" s="728"/>
      <c r="N207" s="737" t="s">
        <v>1763</v>
      </c>
      <c r="O207" s="737" t="s">
        <v>1516</v>
      </c>
      <c r="P207" s="1399" t="s">
        <v>1217</v>
      </c>
    </row>
    <row r="208" spans="2:17" s="723" customFormat="1" ht="12" customHeight="1">
      <c r="B208" s="626" t="s">
        <v>1781</v>
      </c>
      <c r="C208" s="626" t="s">
        <v>3265</v>
      </c>
      <c r="D208" s="626" t="s">
        <v>1631</v>
      </c>
      <c r="E208" s="731" t="s">
        <v>3266</v>
      </c>
      <c r="F208" s="731" t="s">
        <v>3411</v>
      </c>
      <c r="G208" s="732" t="s">
        <v>801</v>
      </c>
      <c r="H208" s="733" t="s">
        <v>458</v>
      </c>
      <c r="I208" s="734"/>
      <c r="J208" s="735" t="s">
        <v>2786</v>
      </c>
      <c r="K208" s="627"/>
      <c r="L208" s="727"/>
      <c r="M208" s="728"/>
      <c r="N208" s="737" t="s">
        <v>2788</v>
      </c>
      <c r="O208" s="737" t="s">
        <v>3267</v>
      </c>
      <c r="P208" s="626" t="s">
        <v>2106</v>
      </c>
      <c r="Q208" s="732"/>
    </row>
    <row r="209" spans="2:19" s="723" customFormat="1" ht="12" customHeight="1">
      <c r="B209" s="626" t="s">
        <v>1782</v>
      </c>
      <c r="C209" s="626" t="s">
        <v>3267</v>
      </c>
      <c r="D209" s="626" t="s">
        <v>1744</v>
      </c>
      <c r="E209" s="738" t="s">
        <v>1151</v>
      </c>
      <c r="F209" s="738" t="s">
        <v>3412</v>
      </c>
      <c r="G209" s="732" t="s">
        <v>3373</v>
      </c>
      <c r="H209" s="733" t="s">
        <v>459</v>
      </c>
      <c r="I209" s="739"/>
      <c r="J209" s="735" t="s">
        <v>2787</v>
      </c>
      <c r="K209" s="627"/>
      <c r="L209" s="727"/>
      <c r="M209" s="728"/>
      <c r="N209" s="737" t="s">
        <v>2710</v>
      </c>
      <c r="O209" s="737" t="s">
        <v>2891</v>
      </c>
      <c r="P209" s="626" t="s">
        <v>2107</v>
      </c>
      <c r="Q209" s="732"/>
    </row>
    <row r="210" spans="2:19" s="723" customFormat="1" ht="12" customHeight="1">
      <c r="B210" s="626" t="s">
        <v>1783</v>
      </c>
      <c r="C210" s="626" t="s">
        <v>3268</v>
      </c>
      <c r="D210" s="626" t="s">
        <v>1631</v>
      </c>
      <c r="E210" s="731" t="s">
        <v>3269</v>
      </c>
      <c r="F210" s="731" t="s">
        <v>3411</v>
      </c>
      <c r="G210" s="732" t="s">
        <v>802</v>
      </c>
      <c r="H210" s="733" t="s">
        <v>458</v>
      </c>
      <c r="I210" s="734"/>
      <c r="J210" s="735" t="s">
        <v>2789</v>
      </c>
      <c r="K210" s="627"/>
      <c r="L210" s="727"/>
      <c r="M210" s="728"/>
      <c r="N210" s="737" t="s">
        <v>2790</v>
      </c>
      <c r="O210" s="737" t="s">
        <v>360</v>
      </c>
      <c r="P210" s="626" t="s">
        <v>2108</v>
      </c>
      <c r="Q210" s="732"/>
    </row>
    <row r="211" spans="2:19" s="723" customFormat="1" ht="12" customHeight="1">
      <c r="B211" s="626" t="s">
        <v>1784</v>
      </c>
      <c r="C211" s="626" t="s">
        <v>3270</v>
      </c>
      <c r="D211" s="626" t="s">
        <v>1631</v>
      </c>
      <c r="E211" s="731" t="s">
        <v>3315</v>
      </c>
      <c r="F211" s="731" t="s">
        <v>3411</v>
      </c>
      <c r="G211" s="732" t="s">
        <v>803</v>
      </c>
      <c r="H211" s="733" t="s">
        <v>458</v>
      </c>
      <c r="I211" s="734"/>
      <c r="J211" s="735" t="s">
        <v>2820</v>
      </c>
      <c r="K211" s="627"/>
      <c r="L211" s="727"/>
      <c r="M211" s="728"/>
      <c r="N211" s="737" t="s">
        <v>2821</v>
      </c>
      <c r="O211" s="737" t="s">
        <v>807</v>
      </c>
      <c r="P211" s="626" t="s">
        <v>2109</v>
      </c>
      <c r="Q211" s="732"/>
    </row>
    <row r="212" spans="2:19" s="723" customFormat="1" ht="12" customHeight="1">
      <c r="B212" s="626" t="s">
        <v>1785</v>
      </c>
      <c r="C212" s="626" t="s">
        <v>3316</v>
      </c>
      <c r="D212" s="626" t="s">
        <v>1768</v>
      </c>
      <c r="E212" s="738" t="s">
        <v>1152</v>
      </c>
      <c r="F212" s="738" t="s">
        <v>3412</v>
      </c>
      <c r="G212" s="732" t="s">
        <v>3395</v>
      </c>
      <c r="H212" s="733" t="s">
        <v>459</v>
      </c>
      <c r="I212" s="739"/>
      <c r="J212" s="735" t="s">
        <v>2822</v>
      </c>
      <c r="K212" s="627"/>
      <c r="L212" s="727"/>
      <c r="M212" s="728"/>
      <c r="N212" s="737" t="s">
        <v>2823</v>
      </c>
      <c r="O212" s="737" t="s">
        <v>2235</v>
      </c>
      <c r="P212" s="626" t="s">
        <v>2110</v>
      </c>
      <c r="Q212" s="732"/>
    </row>
    <row r="213" spans="2:19" s="723" customFormat="1" ht="12" customHeight="1">
      <c r="B213" s="626" t="s">
        <v>1786</v>
      </c>
      <c r="C213" s="626" t="s">
        <v>3317</v>
      </c>
      <c r="D213" s="626" t="s">
        <v>1631</v>
      </c>
      <c r="E213" s="731" t="s">
        <v>3318</v>
      </c>
      <c r="F213" s="731" t="s">
        <v>3411</v>
      </c>
      <c r="G213" s="732" t="s">
        <v>804</v>
      </c>
      <c r="H213" s="733" t="s">
        <v>458</v>
      </c>
      <c r="I213" s="734"/>
      <c r="J213" s="735" t="s">
        <v>2824</v>
      </c>
      <c r="K213" s="627"/>
      <c r="L213" s="727"/>
      <c r="M213" s="728"/>
      <c r="N213" s="737" t="s">
        <v>2825</v>
      </c>
      <c r="O213" s="737" t="s">
        <v>214</v>
      </c>
      <c r="P213" s="626" t="s">
        <v>2111</v>
      </c>
      <c r="Q213" s="732"/>
    </row>
    <row r="214" spans="2:19" s="723" customFormat="1" ht="12" customHeight="1">
      <c r="B214" s="626" t="s">
        <v>1787</v>
      </c>
      <c r="C214" s="626" t="s">
        <v>3319</v>
      </c>
      <c r="D214" s="626" t="s">
        <v>1768</v>
      </c>
      <c r="E214" s="738" t="s">
        <v>1151</v>
      </c>
      <c r="F214" s="738" t="s">
        <v>3412</v>
      </c>
      <c r="G214" s="732" t="s">
        <v>3373</v>
      </c>
      <c r="H214" s="733" t="s">
        <v>459</v>
      </c>
      <c r="I214" s="739"/>
      <c r="J214" s="735" t="s">
        <v>2826</v>
      </c>
      <c r="K214" s="627"/>
      <c r="L214" s="727"/>
      <c r="M214" s="728"/>
      <c r="N214" s="737" t="s">
        <v>2477</v>
      </c>
      <c r="O214" s="737" t="s">
        <v>128</v>
      </c>
      <c r="P214" s="626" t="s">
        <v>2112</v>
      </c>
      <c r="Q214" s="732"/>
    </row>
    <row r="215" spans="2:19" s="723" customFormat="1" ht="12" customHeight="1">
      <c r="B215" s="626" t="s">
        <v>1788</v>
      </c>
      <c r="C215" s="626" t="s">
        <v>3320</v>
      </c>
      <c r="D215" s="626" t="s">
        <v>1768</v>
      </c>
      <c r="E215" s="738" t="s">
        <v>1753</v>
      </c>
      <c r="F215" s="738" t="s">
        <v>3412</v>
      </c>
      <c r="G215" s="732" t="s">
        <v>3376</v>
      </c>
      <c r="H215" s="733" t="s">
        <v>459</v>
      </c>
      <c r="I215" s="739"/>
      <c r="J215" s="735" t="s">
        <v>3336</v>
      </c>
      <c r="K215" s="627"/>
      <c r="L215" s="727"/>
      <c r="M215" s="728"/>
      <c r="N215" s="737" t="s">
        <v>3337</v>
      </c>
      <c r="O215" s="737" t="s">
        <v>180</v>
      </c>
      <c r="P215" s="626" t="s">
        <v>2113</v>
      </c>
      <c r="Q215" s="732"/>
    </row>
    <row r="216" spans="2:19" s="723" customFormat="1" ht="12" customHeight="1">
      <c r="B216" s="626" t="s">
        <v>1789</v>
      </c>
      <c r="C216" s="626" t="s">
        <v>3321</v>
      </c>
      <c r="D216" s="626" t="s">
        <v>1631</v>
      </c>
      <c r="E216" s="731" t="s">
        <v>211</v>
      </c>
      <c r="F216" s="731" t="s">
        <v>3411</v>
      </c>
      <c r="G216" s="732" t="s">
        <v>805</v>
      </c>
      <c r="H216" s="733" t="s">
        <v>458</v>
      </c>
      <c r="I216" s="734"/>
      <c r="J216" s="735" t="s">
        <v>1405</v>
      </c>
      <c r="K216" s="627"/>
      <c r="L216" s="727"/>
      <c r="M216" s="728"/>
      <c r="N216" s="737" t="s">
        <v>1406</v>
      </c>
      <c r="O216" s="737" t="s">
        <v>550</v>
      </c>
      <c r="P216" s="626" t="s">
        <v>2114</v>
      </c>
      <c r="Q216" s="732"/>
    </row>
    <row r="217" spans="2:19" s="723" customFormat="1" ht="12" customHeight="1">
      <c r="B217" s="626" t="s">
        <v>1790</v>
      </c>
      <c r="C217" s="626" t="s">
        <v>212</v>
      </c>
      <c r="D217" s="626" t="s">
        <v>1744</v>
      </c>
      <c r="E217" s="738" t="s">
        <v>1977</v>
      </c>
      <c r="F217" s="738" t="s">
        <v>3412</v>
      </c>
      <c r="G217" s="732" t="s">
        <v>2369</v>
      </c>
      <c r="H217" s="733" t="s">
        <v>459</v>
      </c>
      <c r="I217" s="739"/>
      <c r="J217" s="735" t="s">
        <v>2713</v>
      </c>
      <c r="K217" s="627"/>
      <c r="L217" s="727"/>
      <c r="M217" s="728"/>
      <c r="N217" s="737" t="s">
        <v>1747</v>
      </c>
      <c r="O217" s="737" t="s">
        <v>360</v>
      </c>
      <c r="P217" s="626" t="s">
        <v>2115</v>
      </c>
      <c r="Q217" s="732"/>
    </row>
    <row r="218" spans="2:19" s="723" customFormat="1" ht="12" customHeight="1">
      <c r="B218" s="626" t="s">
        <v>1791</v>
      </c>
      <c r="C218" s="626" t="s">
        <v>213</v>
      </c>
      <c r="D218" s="626" t="s">
        <v>1744</v>
      </c>
      <c r="E218" s="738" t="s">
        <v>1151</v>
      </c>
      <c r="F218" s="738" t="s">
        <v>3412</v>
      </c>
      <c r="G218" s="732" t="s">
        <v>3373</v>
      </c>
      <c r="H218" s="733" t="s">
        <v>459</v>
      </c>
      <c r="I218" s="739"/>
      <c r="J218" s="735" t="s">
        <v>16</v>
      </c>
      <c r="K218" s="627"/>
      <c r="L218" s="727"/>
      <c r="M218" s="728"/>
      <c r="N218" s="737" t="s">
        <v>17</v>
      </c>
      <c r="O218" s="737" t="s">
        <v>2346</v>
      </c>
      <c r="P218" s="626" t="s">
        <v>2116</v>
      </c>
      <c r="Q218" s="732"/>
    </row>
    <row r="219" spans="2:19" s="723" customFormat="1" ht="12" customHeight="1">
      <c r="B219" s="626" t="s">
        <v>1792</v>
      </c>
      <c r="C219" s="626" t="s">
        <v>214</v>
      </c>
      <c r="D219" s="626" t="s">
        <v>1631</v>
      </c>
      <c r="E219" s="731" t="s">
        <v>215</v>
      </c>
      <c r="F219" s="731" t="s">
        <v>3411</v>
      </c>
      <c r="G219" s="732" t="s">
        <v>806</v>
      </c>
      <c r="H219" s="733" t="s">
        <v>458</v>
      </c>
      <c r="I219" s="734"/>
      <c r="J219" s="735" t="s">
        <v>2962</v>
      </c>
      <c r="K219" s="627"/>
      <c r="L219" s="727"/>
      <c r="M219" s="728"/>
      <c r="N219" s="737" t="s">
        <v>2963</v>
      </c>
      <c r="O219" s="737" t="s">
        <v>1630</v>
      </c>
      <c r="P219" s="626" t="s">
        <v>2117</v>
      </c>
      <c r="Q219" s="732"/>
    </row>
    <row r="220" spans="2:19" s="723" customFormat="1" ht="12" customHeight="1">
      <c r="B220" s="626" t="s">
        <v>1793</v>
      </c>
      <c r="C220" s="626" t="s">
        <v>216</v>
      </c>
      <c r="D220" s="626" t="s">
        <v>1768</v>
      </c>
      <c r="E220" s="738" t="s">
        <v>1151</v>
      </c>
      <c r="F220" s="738" t="s">
        <v>3412</v>
      </c>
      <c r="G220" s="732" t="s">
        <v>3373</v>
      </c>
      <c r="H220" s="733" t="s">
        <v>459</v>
      </c>
      <c r="I220" s="739"/>
      <c r="J220" s="735" t="s">
        <v>2964</v>
      </c>
      <c r="K220" s="627"/>
      <c r="L220" s="727"/>
      <c r="M220" s="728"/>
      <c r="N220" s="737" t="s">
        <v>2965</v>
      </c>
      <c r="O220" s="737" t="s">
        <v>2971</v>
      </c>
      <c r="P220" s="626" t="s">
        <v>2118</v>
      </c>
      <c r="Q220" s="732"/>
    </row>
    <row r="221" spans="2:19" s="723" customFormat="1" ht="12" customHeight="1">
      <c r="B221" s="626" t="s">
        <v>1794</v>
      </c>
      <c r="C221" s="626" t="s">
        <v>217</v>
      </c>
      <c r="D221" s="626" t="s">
        <v>1631</v>
      </c>
      <c r="E221" s="731" t="s">
        <v>1348</v>
      </c>
      <c r="F221" s="731" t="s">
        <v>3411</v>
      </c>
      <c r="G221" s="732" t="s">
        <v>2668</v>
      </c>
      <c r="H221" s="733" t="s">
        <v>458</v>
      </c>
      <c r="I221" s="734"/>
      <c r="J221" s="735" t="s">
        <v>2966</v>
      </c>
      <c r="K221" s="627"/>
      <c r="L221" s="727"/>
      <c r="M221" s="728"/>
      <c r="N221" s="626" t="s">
        <v>3358</v>
      </c>
      <c r="O221" s="626" t="s">
        <v>807</v>
      </c>
      <c r="P221" s="1400" t="s">
        <v>2856</v>
      </c>
      <c r="Q221" s="732"/>
      <c r="R221" s="626"/>
      <c r="S221" s="626"/>
    </row>
    <row r="222" spans="2:19" s="723" customFormat="1" ht="12" customHeight="1">
      <c r="B222" s="626" t="s">
        <v>1795</v>
      </c>
      <c r="C222" s="626" t="s">
        <v>1349</v>
      </c>
      <c r="D222" s="626" t="s">
        <v>1631</v>
      </c>
      <c r="E222" s="731" t="s">
        <v>1350</v>
      </c>
      <c r="F222" s="731" t="s">
        <v>3411</v>
      </c>
      <c r="G222" s="732" t="s">
        <v>2669</v>
      </c>
      <c r="H222" s="733" t="s">
        <v>458</v>
      </c>
      <c r="I222" s="734"/>
      <c r="J222" s="735" t="s">
        <v>2996</v>
      </c>
      <c r="K222" s="627"/>
      <c r="L222" s="727"/>
      <c r="M222" s="728"/>
      <c r="N222" s="737" t="s">
        <v>2967</v>
      </c>
      <c r="O222" s="737" t="s">
        <v>127</v>
      </c>
      <c r="P222" s="626" t="s">
        <v>2119</v>
      </c>
      <c r="Q222" s="732"/>
      <c r="R222" s="626"/>
      <c r="S222" s="626"/>
    </row>
    <row r="223" spans="2:19" s="723" customFormat="1" ht="12" customHeight="1">
      <c r="B223" s="626" t="s">
        <v>1796</v>
      </c>
      <c r="C223" s="626" t="s">
        <v>1351</v>
      </c>
      <c r="D223" s="626" t="s">
        <v>1631</v>
      </c>
      <c r="E223" s="738" t="s">
        <v>2476</v>
      </c>
      <c r="F223" s="738" t="s">
        <v>3412</v>
      </c>
      <c r="G223" s="732" t="s">
        <v>1574</v>
      </c>
      <c r="H223" s="733" t="s">
        <v>459</v>
      </c>
      <c r="I223" s="739"/>
      <c r="J223" s="735" t="s">
        <v>2467</v>
      </c>
      <c r="K223" s="627"/>
      <c r="L223" s="727"/>
      <c r="M223" s="728"/>
      <c r="N223" s="737" t="s">
        <v>2442</v>
      </c>
      <c r="O223" s="737" t="s">
        <v>3270</v>
      </c>
      <c r="P223" s="626" t="s">
        <v>2120</v>
      </c>
      <c r="Q223" s="732"/>
      <c r="R223" s="626"/>
      <c r="S223" s="626"/>
    </row>
    <row r="224" spans="2:19" s="723" customFormat="1" ht="12" customHeight="1">
      <c r="B224" s="626" t="s">
        <v>1797</v>
      </c>
      <c r="C224" s="626" t="s">
        <v>1267</v>
      </c>
      <c r="D224" s="626" t="s">
        <v>1768</v>
      </c>
      <c r="E224" s="738" t="s">
        <v>1151</v>
      </c>
      <c r="F224" s="738" t="s">
        <v>3412</v>
      </c>
      <c r="G224" s="732" t="s">
        <v>3373</v>
      </c>
      <c r="H224" s="733" t="s">
        <v>459</v>
      </c>
      <c r="I224" s="739"/>
      <c r="J224" s="735" t="s">
        <v>2469</v>
      </c>
      <c r="K224" s="627"/>
      <c r="L224" s="727"/>
      <c r="M224" s="728"/>
      <c r="N224" s="737" t="s">
        <v>2468</v>
      </c>
      <c r="O224" s="737" t="s">
        <v>1746</v>
      </c>
      <c r="P224" s="626" t="s">
        <v>2121</v>
      </c>
      <c r="Q224" s="732"/>
      <c r="R224" s="626"/>
      <c r="S224" s="626"/>
    </row>
    <row r="225" spans="2:17" s="723" customFormat="1" ht="12" customHeight="1">
      <c r="B225" s="626" t="s">
        <v>1798</v>
      </c>
      <c r="C225" s="626" t="s">
        <v>1268</v>
      </c>
      <c r="D225" s="626" t="s">
        <v>1631</v>
      </c>
      <c r="E225" s="731" t="s">
        <v>1269</v>
      </c>
      <c r="F225" s="731" t="s">
        <v>3411</v>
      </c>
      <c r="G225" s="732" t="s">
        <v>2670</v>
      </c>
      <c r="H225" s="733" t="s">
        <v>458</v>
      </c>
      <c r="I225" s="734"/>
      <c r="J225" s="735" t="s">
        <v>2875</v>
      </c>
      <c r="K225" s="627"/>
      <c r="L225" s="727"/>
      <c r="M225" s="728"/>
      <c r="N225" s="737" t="s">
        <v>2470</v>
      </c>
      <c r="O225" s="737" t="s">
        <v>2719</v>
      </c>
      <c r="P225" s="626" t="s">
        <v>2122</v>
      </c>
    </row>
    <row r="226" spans="2:17" s="723" customFormat="1" ht="12" customHeight="1">
      <c r="B226" s="626" t="s">
        <v>1799</v>
      </c>
      <c r="C226" s="626" t="s">
        <v>1270</v>
      </c>
      <c r="D226" s="626" t="s">
        <v>1631</v>
      </c>
      <c r="E226" s="731" t="s">
        <v>2385</v>
      </c>
      <c r="F226" s="731" t="s">
        <v>3412</v>
      </c>
      <c r="G226" s="732" t="s">
        <v>3379</v>
      </c>
      <c r="H226" s="733" t="s">
        <v>459</v>
      </c>
      <c r="I226" s="734"/>
      <c r="J226" s="735" t="s">
        <v>2876</v>
      </c>
      <c r="K226" s="627"/>
      <c r="L226" s="727"/>
      <c r="M226" s="728"/>
      <c r="N226" s="737" t="s">
        <v>1218</v>
      </c>
      <c r="O226" s="737" t="s">
        <v>3385</v>
      </c>
      <c r="P226" s="1399" t="s">
        <v>1217</v>
      </c>
    </row>
    <row r="227" spans="2:17" s="723" customFormat="1" ht="12" customHeight="1">
      <c r="B227" s="626" t="s">
        <v>1800</v>
      </c>
      <c r="C227" s="626" t="s">
        <v>1271</v>
      </c>
      <c r="D227" s="626" t="s">
        <v>1631</v>
      </c>
      <c r="E227" s="738" t="s">
        <v>1759</v>
      </c>
      <c r="F227" s="738" t="s">
        <v>3412</v>
      </c>
      <c r="G227" s="732" t="s">
        <v>1908</v>
      </c>
      <c r="H227" s="733" t="s">
        <v>459</v>
      </c>
      <c r="I227" s="739"/>
      <c r="J227" s="735" t="s">
        <v>3210</v>
      </c>
      <c r="K227" s="736"/>
      <c r="L227" s="727"/>
      <c r="M227" s="728"/>
      <c r="N227" s="737" t="s">
        <v>2877</v>
      </c>
      <c r="O227" s="737" t="s">
        <v>3387</v>
      </c>
      <c r="P227" s="626" t="s">
        <v>2123</v>
      </c>
      <c r="Q227" s="732"/>
    </row>
    <row r="228" spans="2:17" s="723" customFormat="1" ht="12" customHeight="1">
      <c r="B228" s="740"/>
      <c r="C228" s="626" t="s">
        <v>1272</v>
      </c>
      <c r="D228" s="626" t="s">
        <v>1768</v>
      </c>
      <c r="E228" s="731" t="s">
        <v>1273</v>
      </c>
      <c r="F228" s="731" t="s">
        <v>3411</v>
      </c>
      <c r="G228" s="732" t="s">
        <v>1769</v>
      </c>
      <c r="H228" s="733" t="s">
        <v>458</v>
      </c>
      <c r="I228" s="734"/>
      <c r="J228" s="735" t="s">
        <v>3212</v>
      </c>
      <c r="K228" s="736"/>
      <c r="L228" s="727"/>
      <c r="M228" s="728"/>
      <c r="N228" s="737" t="s">
        <v>3211</v>
      </c>
      <c r="O228" s="737" t="s">
        <v>1501</v>
      </c>
      <c r="P228" s="626" t="s">
        <v>2124</v>
      </c>
      <c r="Q228" s="732"/>
    </row>
    <row r="229" spans="2:17" s="723" customFormat="1" ht="12" customHeight="1">
      <c r="B229" s="740"/>
      <c r="C229" s="626" t="s">
        <v>2969</v>
      </c>
      <c r="D229" s="626" t="s">
        <v>1631</v>
      </c>
      <c r="E229" s="731" t="s">
        <v>2970</v>
      </c>
      <c r="F229" s="731" t="s">
        <v>3411</v>
      </c>
      <c r="G229" s="732" t="s">
        <v>1770</v>
      </c>
      <c r="H229" s="733" t="s">
        <v>458</v>
      </c>
      <c r="I229" s="734"/>
      <c r="J229" s="735" t="s">
        <v>3214</v>
      </c>
      <c r="K229" s="736"/>
      <c r="L229" s="727"/>
      <c r="M229" s="728"/>
      <c r="N229" s="626" t="s">
        <v>3359</v>
      </c>
      <c r="O229" s="626" t="s">
        <v>351</v>
      </c>
      <c r="P229" s="1400" t="s">
        <v>2856</v>
      </c>
      <c r="Q229" s="732"/>
    </row>
    <row r="230" spans="2:17" s="723" customFormat="1" ht="12" customHeight="1">
      <c r="B230" s="740"/>
      <c r="C230" s="626" t="s">
        <v>2971</v>
      </c>
      <c r="D230" s="626" t="s">
        <v>1631</v>
      </c>
      <c r="E230" s="731" t="s">
        <v>839</v>
      </c>
      <c r="F230" s="731" t="s">
        <v>3411</v>
      </c>
      <c r="G230" s="732" t="s">
        <v>1771</v>
      </c>
      <c r="H230" s="733" t="s">
        <v>458</v>
      </c>
      <c r="I230" s="734"/>
      <c r="J230" s="735" t="s">
        <v>3216</v>
      </c>
      <c r="K230" s="736"/>
      <c r="L230" s="727"/>
      <c r="M230" s="728"/>
      <c r="N230" s="737" t="s">
        <v>3213</v>
      </c>
      <c r="O230" s="737" t="s">
        <v>2628</v>
      </c>
      <c r="P230" s="626" t="s">
        <v>2125</v>
      </c>
      <c r="Q230" s="732"/>
    </row>
    <row r="231" spans="2:17" s="723" customFormat="1" ht="12" customHeight="1">
      <c r="B231" s="740"/>
      <c r="C231" s="626" t="s">
        <v>840</v>
      </c>
      <c r="D231" s="626" t="s">
        <v>1744</v>
      </c>
      <c r="E231" s="731" t="s">
        <v>841</v>
      </c>
      <c r="F231" s="731" t="s">
        <v>3411</v>
      </c>
      <c r="G231" s="732" t="s">
        <v>1772</v>
      </c>
      <c r="H231" s="733" t="s">
        <v>458</v>
      </c>
      <c r="I231" s="734"/>
      <c r="J231" s="735" t="s">
        <v>3217</v>
      </c>
      <c r="K231" s="736"/>
      <c r="L231" s="727"/>
      <c r="M231" s="728"/>
      <c r="N231" s="737" t="s">
        <v>3215</v>
      </c>
      <c r="O231" s="737" t="s">
        <v>1268</v>
      </c>
      <c r="P231" s="626" t="s">
        <v>2126</v>
      </c>
      <c r="Q231" s="732"/>
    </row>
    <row r="232" spans="2:17" s="723" customFormat="1" ht="12" customHeight="1">
      <c r="B232" s="740"/>
      <c r="C232" s="626" t="s">
        <v>842</v>
      </c>
      <c r="D232" s="626" t="s">
        <v>1768</v>
      </c>
      <c r="E232" s="738" t="s">
        <v>1151</v>
      </c>
      <c r="F232" s="738" t="s">
        <v>3412</v>
      </c>
      <c r="G232" s="732" t="s">
        <v>3373</v>
      </c>
      <c r="H232" s="733" t="s">
        <v>459</v>
      </c>
      <c r="I232" s="739"/>
      <c r="J232" s="735" t="s">
        <v>2954</v>
      </c>
      <c r="K232" s="736"/>
      <c r="L232" s="727"/>
      <c r="M232" s="728"/>
      <c r="N232" s="737" t="s">
        <v>3218</v>
      </c>
      <c r="O232" s="737" t="s">
        <v>175</v>
      </c>
      <c r="P232" s="626" t="s">
        <v>2127</v>
      </c>
      <c r="Q232" s="732"/>
    </row>
    <row r="233" spans="2:17" s="723" customFormat="1" ht="12" customHeight="1">
      <c r="B233" s="740"/>
      <c r="C233" s="626" t="s">
        <v>843</v>
      </c>
      <c r="D233" s="626" t="s">
        <v>1744</v>
      </c>
      <c r="E233" s="738" t="s">
        <v>2995</v>
      </c>
      <c r="F233" s="738" t="s">
        <v>3412</v>
      </c>
      <c r="G233" s="732" t="s">
        <v>1773</v>
      </c>
      <c r="H233" s="733" t="s">
        <v>459</v>
      </c>
      <c r="I233" s="739"/>
      <c r="J233" s="735" t="s">
        <v>896</v>
      </c>
      <c r="K233" s="736"/>
      <c r="L233" s="727"/>
      <c r="M233" s="728"/>
      <c r="N233" s="737" t="s">
        <v>2955</v>
      </c>
      <c r="O233" s="737" t="s">
        <v>840</v>
      </c>
      <c r="P233" s="626" t="s">
        <v>2128</v>
      </c>
      <c r="Q233" s="732"/>
    </row>
    <row r="234" spans="2:17" s="723" customFormat="1" ht="12" customHeight="1">
      <c r="B234" s="740"/>
      <c r="C234" s="626" t="s">
        <v>844</v>
      </c>
      <c r="D234" s="626" t="s">
        <v>1744</v>
      </c>
      <c r="E234" s="738" t="s">
        <v>1151</v>
      </c>
      <c r="F234" s="738" t="s">
        <v>3412</v>
      </c>
      <c r="G234" s="732" t="s">
        <v>3373</v>
      </c>
      <c r="H234" s="733" t="s">
        <v>459</v>
      </c>
      <c r="I234" s="739"/>
      <c r="J234" s="735" t="s">
        <v>898</v>
      </c>
      <c r="K234" s="736"/>
      <c r="L234" s="727"/>
      <c r="M234" s="728"/>
      <c r="N234" s="737" t="s">
        <v>897</v>
      </c>
      <c r="O234" s="737" t="s">
        <v>3262</v>
      </c>
      <c r="P234" s="626" t="s">
        <v>2129</v>
      </c>
      <c r="Q234" s="732"/>
    </row>
    <row r="235" spans="2:17" s="723" customFormat="1" ht="12" customHeight="1">
      <c r="B235" s="740"/>
      <c r="C235" s="626" t="s">
        <v>845</v>
      </c>
      <c r="D235" s="626" t="s">
        <v>1744</v>
      </c>
      <c r="E235" s="738" t="s">
        <v>846</v>
      </c>
      <c r="F235" s="738" t="s">
        <v>3411</v>
      </c>
      <c r="G235" s="732" t="s">
        <v>1774</v>
      </c>
      <c r="H235" s="733" t="s">
        <v>458</v>
      </c>
      <c r="I235" s="739"/>
      <c r="J235" s="735" t="s">
        <v>900</v>
      </c>
      <c r="K235" s="736"/>
      <c r="L235" s="727"/>
      <c r="M235" s="728"/>
      <c r="N235" s="737" t="s">
        <v>899</v>
      </c>
      <c r="O235" s="737" t="s">
        <v>1516</v>
      </c>
      <c r="P235" s="626" t="s">
        <v>2130</v>
      </c>
      <c r="Q235" s="732"/>
    </row>
    <row r="236" spans="2:17" s="723" customFormat="1" ht="12" customHeight="1">
      <c r="B236" s="740"/>
      <c r="C236" s="626" t="s">
        <v>1626</v>
      </c>
      <c r="D236" s="626" t="s">
        <v>1768</v>
      </c>
      <c r="E236" s="738" t="s">
        <v>1151</v>
      </c>
      <c r="F236" s="738" t="s">
        <v>3412</v>
      </c>
      <c r="G236" s="732" t="s">
        <v>3373</v>
      </c>
      <c r="H236" s="733" t="s">
        <v>459</v>
      </c>
      <c r="I236" s="739"/>
      <c r="J236" s="735" t="s">
        <v>902</v>
      </c>
      <c r="K236" s="736"/>
      <c r="L236" s="727"/>
      <c r="M236" s="728"/>
      <c r="N236" s="737" t="s">
        <v>901</v>
      </c>
      <c r="O236" s="737" t="s">
        <v>3387</v>
      </c>
      <c r="P236" s="626" t="s">
        <v>2131</v>
      </c>
      <c r="Q236" s="732"/>
    </row>
    <row r="237" spans="2:17" s="723" customFormat="1" ht="12" customHeight="1">
      <c r="B237" s="740"/>
      <c r="C237" s="626" t="s">
        <v>847</v>
      </c>
      <c r="D237" s="626" t="s">
        <v>1744</v>
      </c>
      <c r="E237" s="731" t="s">
        <v>848</v>
      </c>
      <c r="F237" s="731" t="s">
        <v>3411</v>
      </c>
      <c r="G237" s="732" t="s">
        <v>262</v>
      </c>
      <c r="H237" s="733" t="s">
        <v>458</v>
      </c>
      <c r="I237" s="734"/>
      <c r="J237" s="735" t="s">
        <v>2945</v>
      </c>
      <c r="K237" s="736"/>
      <c r="L237" s="727"/>
      <c r="M237" s="728"/>
      <c r="N237" s="626" t="s">
        <v>3360</v>
      </c>
      <c r="O237" s="626" t="s">
        <v>3264</v>
      </c>
      <c r="P237" s="1400" t="s">
        <v>2856</v>
      </c>
      <c r="Q237" s="732"/>
    </row>
    <row r="238" spans="2:17" s="723" customFormat="1" ht="12" customHeight="1">
      <c r="B238" s="740"/>
      <c r="C238" s="626" t="s">
        <v>849</v>
      </c>
      <c r="D238" s="626" t="s">
        <v>1768</v>
      </c>
      <c r="E238" s="738" t="s">
        <v>850</v>
      </c>
      <c r="F238" s="738" t="s">
        <v>3411</v>
      </c>
      <c r="G238" s="732" t="s">
        <v>263</v>
      </c>
      <c r="H238" s="733" t="s">
        <v>458</v>
      </c>
      <c r="I238" s="739"/>
      <c r="J238" s="735" t="s">
        <v>2946</v>
      </c>
      <c r="K238" s="736"/>
      <c r="L238" s="727"/>
      <c r="M238" s="728"/>
      <c r="N238" s="737" t="s">
        <v>2947</v>
      </c>
      <c r="O238" s="737" t="s">
        <v>2346</v>
      </c>
      <c r="P238" s="626" t="s">
        <v>2132</v>
      </c>
      <c r="Q238" s="732"/>
    </row>
    <row r="239" spans="2:17" s="723" customFormat="1" ht="12" customHeight="1">
      <c r="B239" s="740"/>
      <c r="C239" s="626" t="s">
        <v>851</v>
      </c>
      <c r="D239" s="626" t="s">
        <v>1631</v>
      </c>
      <c r="E239" s="731" t="s">
        <v>12</v>
      </c>
      <c r="F239" s="731" t="s">
        <v>3412</v>
      </c>
      <c r="G239" s="732" t="s">
        <v>3378</v>
      </c>
      <c r="H239" s="733" t="s">
        <v>459</v>
      </c>
      <c r="I239" s="734"/>
      <c r="J239" s="735" t="s">
        <v>2948</v>
      </c>
      <c r="K239" s="736"/>
      <c r="L239" s="727"/>
      <c r="M239" s="728"/>
      <c r="N239" s="737" t="s">
        <v>2949</v>
      </c>
      <c r="O239" s="737" t="s">
        <v>3381</v>
      </c>
      <c r="P239" s="626" t="s">
        <v>2133</v>
      </c>
      <c r="Q239" s="732"/>
    </row>
    <row r="240" spans="2:17" s="723" customFormat="1" ht="12" customHeight="1">
      <c r="B240" s="740"/>
      <c r="C240" s="626" t="s">
        <v>852</v>
      </c>
      <c r="D240" s="626" t="s">
        <v>1744</v>
      </c>
      <c r="E240" s="731" t="s">
        <v>853</v>
      </c>
      <c r="F240" s="731" t="s">
        <v>3411</v>
      </c>
      <c r="G240" s="732" t="s">
        <v>264</v>
      </c>
      <c r="H240" s="733" t="s">
        <v>458</v>
      </c>
      <c r="I240" s="734"/>
      <c r="J240" s="735" t="s">
        <v>869</v>
      </c>
      <c r="K240" s="736"/>
      <c r="L240" s="727"/>
      <c r="M240" s="728"/>
      <c r="N240" s="737" t="s">
        <v>870</v>
      </c>
      <c r="O240" s="737" t="s">
        <v>1037</v>
      </c>
      <c r="P240" s="626" t="s">
        <v>2134</v>
      </c>
      <c r="Q240" s="732"/>
    </row>
    <row r="241" spans="2:17" s="723" customFormat="1" ht="12" customHeight="1">
      <c r="B241" s="740"/>
      <c r="C241" s="626" t="s">
        <v>854</v>
      </c>
      <c r="D241" s="626" t="s">
        <v>1631</v>
      </c>
      <c r="E241" s="731" t="s">
        <v>855</v>
      </c>
      <c r="F241" s="731" t="s">
        <v>3411</v>
      </c>
      <c r="G241" s="732" t="s">
        <v>438</v>
      </c>
      <c r="H241" s="733" t="s">
        <v>458</v>
      </c>
      <c r="I241" s="734"/>
      <c r="J241" s="735" t="s">
        <v>1181</v>
      </c>
      <c r="K241" s="736"/>
      <c r="L241" s="727"/>
      <c r="M241" s="728"/>
      <c r="N241" s="737" t="s">
        <v>2997</v>
      </c>
      <c r="O241" s="737" t="s">
        <v>348</v>
      </c>
      <c r="P241" s="626" t="s">
        <v>2135</v>
      </c>
      <c r="Q241" s="732"/>
    </row>
    <row r="242" spans="2:17" s="723" customFormat="1" ht="12" customHeight="1">
      <c r="B242" s="740"/>
      <c r="C242" s="626" t="s">
        <v>856</v>
      </c>
      <c r="D242" s="626" t="s">
        <v>1768</v>
      </c>
      <c r="E242" s="731" t="s">
        <v>857</v>
      </c>
      <c r="F242" s="731" t="s">
        <v>3411</v>
      </c>
      <c r="G242" s="732" t="s">
        <v>439</v>
      </c>
      <c r="H242" s="733" t="s">
        <v>458</v>
      </c>
      <c r="I242" s="734"/>
      <c r="J242" s="735" t="s">
        <v>2998</v>
      </c>
      <c r="K242" s="736"/>
      <c r="L242" s="727"/>
      <c r="M242" s="728"/>
      <c r="N242" s="737" t="s">
        <v>3062</v>
      </c>
      <c r="O242" s="737" t="s">
        <v>1272</v>
      </c>
      <c r="P242" s="626" t="s">
        <v>2136</v>
      </c>
      <c r="Q242" s="732"/>
    </row>
    <row r="243" spans="2:17" s="723" customFormat="1" ht="12" customHeight="1">
      <c r="B243" s="740"/>
      <c r="C243" s="626" t="s">
        <v>127</v>
      </c>
      <c r="D243" s="626" t="s">
        <v>1768</v>
      </c>
      <c r="E243" s="738" t="s">
        <v>1151</v>
      </c>
      <c r="F243" s="738" t="s">
        <v>3412</v>
      </c>
      <c r="G243" s="732" t="s">
        <v>3373</v>
      </c>
      <c r="H243" s="733" t="s">
        <v>459</v>
      </c>
      <c r="I243" s="739"/>
      <c r="J243" s="735" t="s">
        <v>3028</v>
      </c>
      <c r="K243" s="736"/>
      <c r="L243" s="727"/>
      <c r="M243" s="728"/>
      <c r="N243" s="737" t="s">
        <v>50</v>
      </c>
      <c r="O243" s="737" t="s">
        <v>355</v>
      </c>
      <c r="P243" s="626" t="s">
        <v>2137</v>
      </c>
      <c r="Q243" s="732"/>
    </row>
    <row r="244" spans="2:17" s="723" customFormat="1" ht="12" customHeight="1">
      <c r="B244" s="740"/>
      <c r="C244" s="626" t="s">
        <v>128</v>
      </c>
      <c r="D244" s="626" t="s">
        <v>1744</v>
      </c>
      <c r="E244" s="731" t="s">
        <v>129</v>
      </c>
      <c r="F244" s="731" t="s">
        <v>3411</v>
      </c>
      <c r="G244" s="732" t="s">
        <v>440</v>
      </c>
      <c r="H244" s="733" t="s">
        <v>458</v>
      </c>
      <c r="I244" s="734"/>
      <c r="J244" s="735" t="s">
        <v>49</v>
      </c>
      <c r="K244" s="736"/>
      <c r="L244" s="727"/>
      <c r="M244" s="728"/>
      <c r="N244" s="737" t="s">
        <v>813</v>
      </c>
      <c r="O244" s="737" t="s">
        <v>3389</v>
      </c>
      <c r="P244" s="626" t="s">
        <v>2138</v>
      </c>
      <c r="Q244" s="732"/>
    </row>
    <row r="245" spans="2:17" s="723" customFormat="1" ht="12" customHeight="1">
      <c r="B245" s="740"/>
      <c r="C245" s="626" t="s">
        <v>343</v>
      </c>
      <c r="D245" s="626" t="s">
        <v>1744</v>
      </c>
      <c r="E245" s="731" t="s">
        <v>1641</v>
      </c>
      <c r="F245" s="731" t="s">
        <v>3412</v>
      </c>
      <c r="G245" s="732" t="s">
        <v>441</v>
      </c>
      <c r="H245" s="733" t="s">
        <v>459</v>
      </c>
      <c r="I245" s="734"/>
      <c r="J245" s="735" t="s">
        <v>812</v>
      </c>
      <c r="K245" s="736"/>
      <c r="L245" s="727"/>
      <c r="M245" s="728"/>
      <c r="N245" s="737" t="s">
        <v>335</v>
      </c>
      <c r="O245" s="737" t="s">
        <v>346</v>
      </c>
      <c r="P245" s="626" t="s">
        <v>2139</v>
      </c>
      <c r="Q245" s="732"/>
    </row>
    <row r="246" spans="2:17" s="723" customFormat="1" ht="12" customHeight="1">
      <c r="B246" s="740"/>
      <c r="C246" s="627" t="s">
        <v>344</v>
      </c>
      <c r="D246" s="626" t="s">
        <v>1768</v>
      </c>
      <c r="E246" s="731" t="s">
        <v>345</v>
      </c>
      <c r="F246" s="731" t="s">
        <v>3411</v>
      </c>
      <c r="G246" s="732" t="s">
        <v>442</v>
      </c>
      <c r="H246" s="733" t="s">
        <v>458</v>
      </c>
      <c r="I246" s="734"/>
      <c r="J246" s="735" t="s">
        <v>334</v>
      </c>
      <c r="K246" s="736"/>
      <c r="L246" s="727"/>
      <c r="M246" s="728"/>
      <c r="N246" s="737" t="s">
        <v>3124</v>
      </c>
      <c r="O246" s="737" t="s">
        <v>214</v>
      </c>
      <c r="P246" s="626" t="s">
        <v>2140</v>
      </c>
      <c r="Q246" s="732"/>
    </row>
    <row r="247" spans="2:17" s="723" customFormat="1" ht="12" customHeight="1">
      <c r="B247" s="740"/>
      <c r="C247" s="626" t="s">
        <v>346</v>
      </c>
      <c r="D247" s="626" t="s">
        <v>1744</v>
      </c>
      <c r="E247" s="738" t="s">
        <v>1153</v>
      </c>
      <c r="F247" s="738" t="s">
        <v>3412</v>
      </c>
      <c r="G247" s="732" t="s">
        <v>443</v>
      </c>
      <c r="H247" s="733" t="s">
        <v>459</v>
      </c>
      <c r="I247" s="739"/>
      <c r="J247" s="735" t="s">
        <v>3123</v>
      </c>
      <c r="K247" s="736"/>
      <c r="L247" s="727"/>
      <c r="M247" s="728"/>
      <c r="N247" s="737" t="s">
        <v>3152</v>
      </c>
      <c r="O247" s="737" t="s">
        <v>2345</v>
      </c>
      <c r="P247" s="626" t="s">
        <v>2141</v>
      </c>
      <c r="Q247" s="732"/>
    </row>
    <row r="248" spans="2:17" s="723" customFormat="1" ht="12" customHeight="1">
      <c r="B248" s="740"/>
      <c r="C248" s="626" t="s">
        <v>347</v>
      </c>
      <c r="D248" s="626" t="s">
        <v>1768</v>
      </c>
      <c r="E248" s="738" t="s">
        <v>177</v>
      </c>
      <c r="F248" s="738" t="s">
        <v>3412</v>
      </c>
      <c r="G248" s="732" t="s">
        <v>2371</v>
      </c>
      <c r="H248" s="733" t="s">
        <v>459</v>
      </c>
      <c r="I248" s="739"/>
      <c r="J248" s="735" t="s">
        <v>3151</v>
      </c>
      <c r="K248" s="736"/>
      <c r="L248" s="727"/>
      <c r="M248" s="728"/>
      <c r="N248" s="737" t="s">
        <v>808</v>
      </c>
      <c r="O248" s="737" t="s">
        <v>1760</v>
      </c>
      <c r="P248" s="626" t="s">
        <v>2142</v>
      </c>
      <c r="Q248" s="732"/>
    </row>
    <row r="249" spans="2:17" s="723" customFormat="1" ht="12" customHeight="1">
      <c r="B249" s="740"/>
      <c r="C249" s="626" t="s">
        <v>348</v>
      </c>
      <c r="D249" s="626" t="s">
        <v>1768</v>
      </c>
      <c r="E249" s="731" t="s">
        <v>349</v>
      </c>
      <c r="F249" s="731" t="s">
        <v>3411</v>
      </c>
      <c r="G249" s="732" t="s">
        <v>444</v>
      </c>
      <c r="H249" s="733" t="s">
        <v>458</v>
      </c>
      <c r="I249" s="734"/>
      <c r="J249" s="735" t="s">
        <v>3153</v>
      </c>
      <c r="K249" s="736"/>
      <c r="L249" s="727"/>
      <c r="M249" s="728"/>
      <c r="N249" s="737" t="s">
        <v>1757</v>
      </c>
      <c r="O249" s="737" t="s">
        <v>842</v>
      </c>
      <c r="P249" s="626" t="s">
        <v>2143</v>
      </c>
      <c r="Q249" s="732"/>
    </row>
    <row r="250" spans="2:17" s="723" customFormat="1" ht="12" customHeight="1">
      <c r="B250" s="740"/>
      <c r="C250" s="626" t="s">
        <v>350</v>
      </c>
      <c r="D250" s="626" t="s">
        <v>1768</v>
      </c>
      <c r="E250" s="738" t="s">
        <v>1151</v>
      </c>
      <c r="F250" s="738" t="s">
        <v>3412</v>
      </c>
      <c r="G250" s="732" t="s">
        <v>3373</v>
      </c>
      <c r="H250" s="733" t="s">
        <v>459</v>
      </c>
      <c r="I250" s="739"/>
      <c r="J250" s="735" t="s">
        <v>3154</v>
      </c>
      <c r="K250" s="736"/>
      <c r="L250" s="727"/>
      <c r="M250" s="728"/>
      <c r="N250" s="737" t="s">
        <v>3116</v>
      </c>
      <c r="O250" s="737" t="s">
        <v>3268</v>
      </c>
      <c r="P250" s="626" t="s">
        <v>2144</v>
      </c>
      <c r="Q250" s="732"/>
    </row>
    <row r="251" spans="2:17" s="723" customFormat="1" ht="12" customHeight="1">
      <c r="B251" s="740"/>
      <c r="C251" s="626" t="s">
        <v>351</v>
      </c>
      <c r="D251" s="626" t="s">
        <v>1768</v>
      </c>
      <c r="E251" s="738" t="s">
        <v>1151</v>
      </c>
      <c r="F251" s="738" t="s">
        <v>3412</v>
      </c>
      <c r="G251" s="732" t="s">
        <v>3373</v>
      </c>
      <c r="H251" s="733" t="s">
        <v>459</v>
      </c>
      <c r="I251" s="739"/>
      <c r="J251" s="735" t="s">
        <v>3115</v>
      </c>
      <c r="K251" s="736"/>
      <c r="L251" s="727"/>
      <c r="M251" s="728"/>
      <c r="N251" s="737" t="s">
        <v>12</v>
      </c>
      <c r="O251" s="737" t="s">
        <v>851</v>
      </c>
      <c r="P251" s="626" t="s">
        <v>2145</v>
      </c>
      <c r="Q251" s="732"/>
    </row>
    <row r="252" spans="2:17" s="723" customFormat="1" ht="12" customHeight="1">
      <c r="B252" s="740"/>
      <c r="C252" s="626" t="s">
        <v>352</v>
      </c>
      <c r="D252" s="626" t="s">
        <v>1768</v>
      </c>
      <c r="E252" s="738" t="s">
        <v>2398</v>
      </c>
      <c r="F252" s="738" t="s">
        <v>3412</v>
      </c>
      <c r="G252" s="732" t="s">
        <v>445</v>
      </c>
      <c r="H252" s="733" t="s">
        <v>459</v>
      </c>
      <c r="I252" s="739"/>
      <c r="J252" s="735" t="s">
        <v>11</v>
      </c>
      <c r="K252" s="736"/>
      <c r="L252" s="727"/>
      <c r="M252" s="728"/>
      <c r="N252" s="737" t="s">
        <v>14</v>
      </c>
      <c r="O252" s="737" t="s">
        <v>346</v>
      </c>
      <c r="P252" s="627" t="s">
        <v>2146</v>
      </c>
      <c r="Q252" s="732"/>
    </row>
    <row r="253" spans="2:17" s="723" customFormat="1" ht="12" customHeight="1">
      <c r="B253" s="740"/>
      <c r="C253" s="626" t="s">
        <v>353</v>
      </c>
      <c r="D253" s="626" t="s">
        <v>1631</v>
      </c>
      <c r="E253" s="731" t="s">
        <v>354</v>
      </c>
      <c r="F253" s="731" t="s">
        <v>3411</v>
      </c>
      <c r="G253" s="732" t="s">
        <v>832</v>
      </c>
      <c r="H253" s="733" t="s">
        <v>458</v>
      </c>
      <c r="I253" s="734"/>
      <c r="J253" s="735" t="s">
        <v>13</v>
      </c>
      <c r="K253" s="736"/>
      <c r="L253" s="727"/>
      <c r="M253" s="728"/>
      <c r="N253" s="737" t="s">
        <v>61</v>
      </c>
      <c r="O253" s="737" t="s">
        <v>3381</v>
      </c>
      <c r="P253" s="626" t="s">
        <v>2147</v>
      </c>
      <c r="Q253" s="732"/>
    </row>
    <row r="254" spans="2:17" s="723" customFormat="1" ht="12" customHeight="1">
      <c r="B254" s="740"/>
      <c r="C254" s="626" t="s">
        <v>355</v>
      </c>
      <c r="D254" s="626" t="s">
        <v>1768</v>
      </c>
      <c r="E254" s="731" t="s">
        <v>356</v>
      </c>
      <c r="F254" s="731" t="s">
        <v>3411</v>
      </c>
      <c r="G254" s="732" t="s">
        <v>833</v>
      </c>
      <c r="H254" s="733" t="s">
        <v>458</v>
      </c>
      <c r="I254" s="734"/>
      <c r="J254" s="735" t="s">
        <v>60</v>
      </c>
      <c r="K254" s="736"/>
      <c r="L254" s="727"/>
      <c r="M254" s="728"/>
      <c r="N254" s="737" t="s">
        <v>63</v>
      </c>
      <c r="O254" s="737" t="s">
        <v>390</v>
      </c>
      <c r="P254" s="626" t="s">
        <v>2148</v>
      </c>
      <c r="Q254" s="732"/>
    </row>
    <row r="255" spans="2:17" s="723" customFormat="1" ht="12" customHeight="1">
      <c r="B255" s="740"/>
      <c r="C255" s="626" t="s">
        <v>357</v>
      </c>
      <c r="D255" s="626" t="s">
        <v>1768</v>
      </c>
      <c r="E255" s="738" t="s">
        <v>1151</v>
      </c>
      <c r="F255" s="738" t="s">
        <v>3412</v>
      </c>
      <c r="G255" s="732" t="s">
        <v>3373</v>
      </c>
      <c r="H255" s="733" t="s">
        <v>459</v>
      </c>
      <c r="I255" s="739"/>
      <c r="J255" s="735" t="s">
        <v>62</v>
      </c>
      <c r="K255" s="736"/>
      <c r="L255" s="727"/>
      <c r="M255" s="728"/>
      <c r="N255" s="737" t="s">
        <v>65</v>
      </c>
      <c r="O255" s="737" t="s">
        <v>127</v>
      </c>
      <c r="P255" s="626" t="s">
        <v>2149</v>
      </c>
      <c r="Q255" s="732"/>
    </row>
    <row r="256" spans="2:17" s="723" customFormat="1" ht="12" customHeight="1">
      <c r="B256" s="740"/>
      <c r="C256" s="626" t="s">
        <v>358</v>
      </c>
      <c r="D256" s="626" t="s">
        <v>1631</v>
      </c>
      <c r="E256" s="731" t="s">
        <v>359</v>
      </c>
      <c r="F256" s="731" t="s">
        <v>3411</v>
      </c>
      <c r="G256" s="732" t="s">
        <v>834</v>
      </c>
      <c r="H256" s="733" t="s">
        <v>458</v>
      </c>
      <c r="I256" s="734"/>
      <c r="J256" s="735" t="s">
        <v>64</v>
      </c>
      <c r="K256" s="736"/>
      <c r="L256" s="727"/>
      <c r="M256" s="728"/>
      <c r="N256" s="737" t="s">
        <v>385</v>
      </c>
      <c r="O256" s="737" t="s">
        <v>2903</v>
      </c>
      <c r="P256" s="626" t="s">
        <v>2150</v>
      </c>
      <c r="Q256" s="732"/>
    </row>
    <row r="257" spans="2:17" s="723" customFormat="1" ht="12" customHeight="1">
      <c r="B257" s="740"/>
      <c r="C257" s="626" t="s">
        <v>360</v>
      </c>
      <c r="D257" s="626" t="s">
        <v>1768</v>
      </c>
      <c r="E257" s="731" t="s">
        <v>361</v>
      </c>
      <c r="F257" s="731" t="s">
        <v>3411</v>
      </c>
      <c r="G257" s="732" t="s">
        <v>292</v>
      </c>
      <c r="H257" s="733" t="s">
        <v>458</v>
      </c>
      <c r="I257" s="734"/>
      <c r="J257" s="735" t="s">
        <v>384</v>
      </c>
      <c r="K257" s="736"/>
      <c r="L257" s="727"/>
      <c r="M257" s="728"/>
      <c r="N257" s="737" t="s">
        <v>387</v>
      </c>
      <c r="O257" s="737" t="s">
        <v>1349</v>
      </c>
      <c r="P257" s="626" t="s">
        <v>2151</v>
      </c>
      <c r="Q257" s="732"/>
    </row>
    <row r="258" spans="2:17" s="723" customFormat="1" ht="12" customHeight="1">
      <c r="B258" s="740"/>
      <c r="C258" s="626" t="s">
        <v>362</v>
      </c>
      <c r="D258" s="626" t="s">
        <v>1631</v>
      </c>
      <c r="E258" s="731" t="s">
        <v>363</v>
      </c>
      <c r="F258" s="731" t="s">
        <v>3411</v>
      </c>
      <c r="G258" s="732" t="s">
        <v>293</v>
      </c>
      <c r="H258" s="733" t="s">
        <v>458</v>
      </c>
      <c r="I258" s="734"/>
      <c r="J258" s="735" t="s">
        <v>386</v>
      </c>
      <c r="K258" s="736"/>
      <c r="L258" s="727"/>
      <c r="M258" s="728"/>
      <c r="N258" s="737" t="s">
        <v>389</v>
      </c>
      <c r="O258" s="737" t="s">
        <v>1498</v>
      </c>
      <c r="P258" s="626" t="s">
        <v>2152</v>
      </c>
      <c r="Q258" s="732"/>
    </row>
    <row r="259" spans="2:17" s="723" customFormat="1" ht="12" customHeight="1">
      <c r="B259" s="740"/>
      <c r="C259" s="626" t="s">
        <v>364</v>
      </c>
      <c r="D259" s="626" t="s">
        <v>1631</v>
      </c>
      <c r="E259" s="731" t="s">
        <v>365</v>
      </c>
      <c r="F259" s="731" t="s">
        <v>3411</v>
      </c>
      <c r="G259" s="732" t="s">
        <v>294</v>
      </c>
      <c r="H259" s="733" t="s">
        <v>458</v>
      </c>
      <c r="I259" s="734"/>
      <c r="J259" s="735" t="s">
        <v>388</v>
      </c>
      <c r="K259" s="736"/>
      <c r="L259" s="727"/>
      <c r="M259" s="728"/>
      <c r="N259" s="737" t="s">
        <v>809</v>
      </c>
      <c r="O259" s="737" t="s">
        <v>1898</v>
      </c>
      <c r="P259" s="626" t="s">
        <v>2153</v>
      </c>
      <c r="Q259" s="732"/>
    </row>
    <row r="260" spans="2:17" s="723" customFormat="1" ht="12" customHeight="1">
      <c r="B260" s="740"/>
      <c r="C260" s="626" t="s">
        <v>549</v>
      </c>
      <c r="D260" s="626" t="s">
        <v>1768</v>
      </c>
      <c r="E260" s="738" t="s">
        <v>1753</v>
      </c>
      <c r="F260" s="738" t="s">
        <v>3412</v>
      </c>
      <c r="G260" s="732" t="s">
        <v>3376</v>
      </c>
      <c r="H260" s="733" t="s">
        <v>459</v>
      </c>
      <c r="I260" s="739"/>
      <c r="J260" s="735" t="s">
        <v>3016</v>
      </c>
      <c r="K260" s="736"/>
      <c r="L260" s="727"/>
      <c r="M260" s="728"/>
      <c r="N260" s="737" t="s">
        <v>3017</v>
      </c>
      <c r="O260" s="737" t="s">
        <v>854</v>
      </c>
      <c r="P260" s="626" t="s">
        <v>2154</v>
      </c>
      <c r="Q260" s="732"/>
    </row>
    <row r="261" spans="2:17" s="723" customFormat="1" ht="12" customHeight="1">
      <c r="B261" s="740"/>
      <c r="C261" s="626" t="s">
        <v>550</v>
      </c>
      <c r="D261" s="626" t="s">
        <v>1768</v>
      </c>
      <c r="E261" s="738" t="s">
        <v>1154</v>
      </c>
      <c r="F261" s="738" t="s">
        <v>3412</v>
      </c>
      <c r="G261" s="732" t="s">
        <v>295</v>
      </c>
      <c r="H261" s="733" t="s">
        <v>459</v>
      </c>
      <c r="I261" s="739"/>
      <c r="J261" s="735" t="s">
        <v>3018</v>
      </c>
      <c r="K261" s="736"/>
      <c r="L261" s="727"/>
      <c r="M261" s="728"/>
      <c r="N261" s="737" t="s">
        <v>1765</v>
      </c>
      <c r="O261" s="737" t="s">
        <v>852</v>
      </c>
      <c r="P261" s="626" t="s">
        <v>2155</v>
      </c>
      <c r="Q261" s="732"/>
    </row>
    <row r="262" spans="2:17" s="723" customFormat="1" ht="12" customHeight="1">
      <c r="B262" s="740"/>
      <c r="C262" s="626" t="s">
        <v>1897</v>
      </c>
      <c r="D262" s="626" t="s">
        <v>1631</v>
      </c>
      <c r="E262" s="731" t="s">
        <v>2385</v>
      </c>
      <c r="F262" s="731" t="s">
        <v>3412</v>
      </c>
      <c r="G262" s="732" t="s">
        <v>3379</v>
      </c>
      <c r="H262" s="733" t="s">
        <v>459</v>
      </c>
      <c r="I262" s="734"/>
      <c r="J262" s="735" t="s">
        <v>3019</v>
      </c>
      <c r="K262" s="736"/>
      <c r="L262" s="727"/>
      <c r="M262" s="728"/>
      <c r="N262" s="737" t="s">
        <v>3021</v>
      </c>
      <c r="O262" s="737" t="s">
        <v>110</v>
      </c>
      <c r="P262" s="626" t="s">
        <v>2156</v>
      </c>
      <c r="Q262" s="732"/>
    </row>
    <row r="263" spans="2:17" s="723" customFormat="1" ht="12" customHeight="1">
      <c r="B263" s="740"/>
      <c r="C263" s="626" t="s">
        <v>1898</v>
      </c>
      <c r="D263" s="626" t="s">
        <v>1631</v>
      </c>
      <c r="E263" s="731" t="s">
        <v>1899</v>
      </c>
      <c r="F263" s="731" t="s">
        <v>3411</v>
      </c>
      <c r="G263" s="732" t="s">
        <v>296</v>
      </c>
      <c r="H263" s="733" t="s">
        <v>458</v>
      </c>
      <c r="I263" s="734"/>
      <c r="J263" s="735" t="s">
        <v>3020</v>
      </c>
      <c r="K263" s="736"/>
      <c r="L263" s="727"/>
      <c r="M263" s="728"/>
      <c r="N263" s="737" t="s">
        <v>2019</v>
      </c>
      <c r="O263" s="737" t="s">
        <v>2235</v>
      </c>
      <c r="P263" s="626" t="s">
        <v>2157</v>
      </c>
      <c r="Q263" s="732"/>
    </row>
    <row r="264" spans="2:17" s="723" customFormat="1" ht="12" customHeight="1">
      <c r="B264" s="740"/>
      <c r="C264" s="626" t="s">
        <v>1900</v>
      </c>
      <c r="D264" s="626" t="s">
        <v>1631</v>
      </c>
      <c r="E264" s="738" t="s">
        <v>2476</v>
      </c>
      <c r="F264" s="738" t="s">
        <v>3412</v>
      </c>
      <c r="G264" s="732" t="s">
        <v>1574</v>
      </c>
      <c r="H264" s="733" t="s">
        <v>459</v>
      </c>
      <c r="I264" s="739"/>
      <c r="J264" s="735" t="s">
        <v>2018</v>
      </c>
      <c r="K264" s="736"/>
      <c r="L264" s="727"/>
      <c r="M264" s="728"/>
      <c r="N264" s="737" t="s">
        <v>2021</v>
      </c>
      <c r="O264" s="737" t="s">
        <v>845</v>
      </c>
      <c r="P264" s="626" t="s">
        <v>2158</v>
      </c>
      <c r="Q264" s="732"/>
    </row>
    <row r="265" spans="2:17" s="723" customFormat="1" ht="12" customHeight="1">
      <c r="B265" s="740"/>
      <c r="C265" s="626" t="s">
        <v>1901</v>
      </c>
      <c r="D265" s="626" t="s">
        <v>1631</v>
      </c>
      <c r="E265" s="731" t="s">
        <v>1155</v>
      </c>
      <c r="F265" s="731" t="s">
        <v>3412</v>
      </c>
      <c r="G265" s="732" t="s">
        <v>297</v>
      </c>
      <c r="H265" s="733" t="s">
        <v>459</v>
      </c>
      <c r="I265" s="734"/>
      <c r="J265" s="735" t="s">
        <v>2020</v>
      </c>
      <c r="K265" s="736"/>
      <c r="L265" s="727"/>
      <c r="M265" s="728"/>
      <c r="N265" s="737" t="s">
        <v>2023</v>
      </c>
      <c r="O265" s="737" t="s">
        <v>180</v>
      </c>
      <c r="P265" s="626" t="s">
        <v>2159</v>
      </c>
      <c r="Q265" s="732"/>
    </row>
    <row r="266" spans="2:17" s="723" customFormat="1" ht="12" customHeight="1">
      <c r="B266" s="740"/>
      <c r="C266" s="626" t="s">
        <v>1902</v>
      </c>
      <c r="D266" s="626" t="s">
        <v>1768</v>
      </c>
      <c r="E266" s="731" t="s">
        <v>1903</v>
      </c>
      <c r="F266" s="731" t="s">
        <v>3411</v>
      </c>
      <c r="G266" s="732" t="s">
        <v>3310</v>
      </c>
      <c r="H266" s="733" t="s">
        <v>458</v>
      </c>
      <c r="I266" s="734"/>
      <c r="J266" s="735" t="s">
        <v>2022</v>
      </c>
      <c r="K266" s="736"/>
      <c r="L266" s="727"/>
      <c r="M266" s="728"/>
      <c r="N266" s="737" t="s">
        <v>2025</v>
      </c>
      <c r="O266" s="737" t="s">
        <v>1746</v>
      </c>
      <c r="P266" s="626" t="s">
        <v>2160</v>
      </c>
      <c r="Q266" s="732"/>
    </row>
    <row r="267" spans="2:17" s="723" customFormat="1" ht="12" customHeight="1">
      <c r="B267" s="740"/>
      <c r="C267" s="626" t="s">
        <v>1904</v>
      </c>
      <c r="D267" s="626" t="s">
        <v>1631</v>
      </c>
      <c r="E267" s="731" t="s">
        <v>1905</v>
      </c>
      <c r="F267" s="731" t="s">
        <v>3412</v>
      </c>
      <c r="G267" s="732" t="s">
        <v>880</v>
      </c>
      <c r="H267" s="733" t="s">
        <v>459</v>
      </c>
      <c r="I267" s="734"/>
      <c r="J267" s="735" t="s">
        <v>2024</v>
      </c>
      <c r="K267" s="736"/>
      <c r="L267" s="727"/>
      <c r="M267" s="728"/>
      <c r="N267" s="737" t="s">
        <v>2027</v>
      </c>
      <c r="O267" s="737" t="s">
        <v>196</v>
      </c>
      <c r="P267" s="626" t="s">
        <v>2161</v>
      </c>
      <c r="Q267" s="732"/>
    </row>
    <row r="268" spans="2:17" s="723" customFormat="1" ht="12" customHeight="1">
      <c r="B268" s="740"/>
      <c r="C268" s="626" t="s">
        <v>192</v>
      </c>
      <c r="D268" s="626" t="s">
        <v>1631</v>
      </c>
      <c r="E268" s="731" t="s">
        <v>2385</v>
      </c>
      <c r="F268" s="731" t="s">
        <v>3412</v>
      </c>
      <c r="G268" s="732" t="s">
        <v>3379</v>
      </c>
      <c r="H268" s="733" t="s">
        <v>459</v>
      </c>
      <c r="I268" s="734"/>
      <c r="J268" s="735" t="s">
        <v>2026</v>
      </c>
      <c r="K268" s="736"/>
      <c r="L268" s="727"/>
      <c r="M268" s="728"/>
      <c r="N268" s="737" t="s">
        <v>2436</v>
      </c>
      <c r="O268" s="737" t="s">
        <v>845</v>
      </c>
      <c r="P268" s="626" t="s">
        <v>2162</v>
      </c>
      <c r="Q268" s="732"/>
    </row>
    <row r="269" spans="2:17" s="723" customFormat="1" ht="12" customHeight="1">
      <c r="B269" s="740"/>
      <c r="C269" s="626" t="s">
        <v>193</v>
      </c>
      <c r="D269" s="626" t="s">
        <v>1744</v>
      </c>
      <c r="E269" s="738" t="s">
        <v>194</v>
      </c>
      <c r="F269" s="738" t="s">
        <v>3411</v>
      </c>
      <c r="G269" s="732" t="s">
        <v>881</v>
      </c>
      <c r="H269" s="733" t="s">
        <v>458</v>
      </c>
      <c r="I269" s="739"/>
      <c r="J269" s="735" t="s">
        <v>2435</v>
      </c>
      <c r="K269" s="736"/>
      <c r="L269" s="727"/>
      <c r="M269" s="728"/>
      <c r="N269" s="737" t="s">
        <v>2438</v>
      </c>
      <c r="O269" s="737" t="s">
        <v>1037</v>
      </c>
      <c r="P269" s="626" t="s">
        <v>2163</v>
      </c>
      <c r="Q269" s="732"/>
    </row>
    <row r="270" spans="2:17" s="723" customFormat="1" ht="12" customHeight="1">
      <c r="B270" s="740"/>
      <c r="C270" s="626" t="s">
        <v>1753</v>
      </c>
      <c r="D270" s="626" t="s">
        <v>1768</v>
      </c>
      <c r="E270" s="731" t="s">
        <v>195</v>
      </c>
      <c r="F270" s="731" t="s">
        <v>3411</v>
      </c>
      <c r="G270" s="732" t="s">
        <v>882</v>
      </c>
      <c r="H270" s="733" t="s">
        <v>458</v>
      </c>
      <c r="I270" s="734"/>
      <c r="J270" s="735" t="s">
        <v>2437</v>
      </c>
      <c r="K270" s="736"/>
      <c r="L270" s="727"/>
      <c r="M270" s="728"/>
      <c r="N270" s="737" t="s">
        <v>1424</v>
      </c>
      <c r="O270" s="737" t="s">
        <v>1747</v>
      </c>
      <c r="P270" s="626" t="s">
        <v>2164</v>
      </c>
      <c r="Q270" s="732"/>
    </row>
    <row r="271" spans="2:17" s="723" customFormat="1" ht="12" customHeight="1">
      <c r="B271" s="740"/>
      <c r="C271" s="626" t="s">
        <v>196</v>
      </c>
      <c r="D271" s="626" t="s">
        <v>1768</v>
      </c>
      <c r="E271" s="731" t="s">
        <v>2756</v>
      </c>
      <c r="F271" s="731" t="s">
        <v>3412</v>
      </c>
      <c r="G271" s="732" t="s">
        <v>799</v>
      </c>
      <c r="H271" s="733" t="s">
        <v>459</v>
      </c>
      <c r="I271" s="734"/>
      <c r="J271" s="735" t="s">
        <v>2439</v>
      </c>
      <c r="K271" s="736"/>
      <c r="L271" s="727"/>
      <c r="M271" s="728"/>
      <c r="N271" s="737" t="s">
        <v>1427</v>
      </c>
      <c r="O271" s="737" t="s">
        <v>843</v>
      </c>
      <c r="P271" s="626" t="s">
        <v>2165</v>
      </c>
      <c r="Q271" s="732"/>
    </row>
    <row r="272" spans="2:17" s="723" customFormat="1" ht="12" customHeight="1">
      <c r="B272" s="740"/>
      <c r="C272" s="626" t="s">
        <v>390</v>
      </c>
      <c r="D272" s="626" t="s">
        <v>1768</v>
      </c>
      <c r="E272" s="738" t="s">
        <v>177</v>
      </c>
      <c r="F272" s="738" t="s">
        <v>3412</v>
      </c>
      <c r="G272" s="732" t="s">
        <v>2371</v>
      </c>
      <c r="H272" s="733" t="s">
        <v>459</v>
      </c>
      <c r="I272" s="739"/>
      <c r="J272" s="735" t="s">
        <v>1425</v>
      </c>
      <c r="K272" s="736"/>
      <c r="L272" s="727"/>
      <c r="M272" s="728"/>
      <c r="N272" s="737" t="s">
        <v>260</v>
      </c>
      <c r="O272" s="737" t="s">
        <v>3317</v>
      </c>
      <c r="P272" s="626" t="s">
        <v>2166</v>
      </c>
      <c r="Q272" s="732"/>
    </row>
    <row r="273" spans="2:17" s="723" customFormat="1" ht="12" customHeight="1">
      <c r="B273" s="740"/>
      <c r="C273" s="626" t="s">
        <v>2583</v>
      </c>
      <c r="D273" s="626" t="s">
        <v>1768</v>
      </c>
      <c r="E273" s="738" t="s">
        <v>1152</v>
      </c>
      <c r="F273" s="738" t="s">
        <v>3412</v>
      </c>
      <c r="G273" s="732" t="s">
        <v>3395</v>
      </c>
      <c r="H273" s="733" t="s">
        <v>459</v>
      </c>
      <c r="I273" s="739"/>
      <c r="J273" s="735" t="s">
        <v>1426</v>
      </c>
      <c r="K273" s="736"/>
      <c r="L273" s="727"/>
      <c r="M273" s="728"/>
      <c r="N273" s="737" t="s">
        <v>2451</v>
      </c>
      <c r="O273" s="737" t="s">
        <v>1504</v>
      </c>
      <c r="P273" s="626" t="s">
        <v>2167</v>
      </c>
      <c r="Q273" s="732"/>
    </row>
    <row r="274" spans="2:17" s="723" customFormat="1" ht="12" customHeight="1">
      <c r="B274" s="740"/>
      <c r="C274" s="626" t="s">
        <v>2584</v>
      </c>
      <c r="D274" s="626" t="s">
        <v>1631</v>
      </c>
      <c r="E274" s="731" t="s">
        <v>12</v>
      </c>
      <c r="F274" s="731" t="s">
        <v>3412</v>
      </c>
      <c r="G274" s="732" t="s">
        <v>3378</v>
      </c>
      <c r="H274" s="733" t="s">
        <v>459</v>
      </c>
      <c r="I274" s="734"/>
      <c r="J274" s="735" t="s">
        <v>259</v>
      </c>
      <c r="K274" s="736"/>
      <c r="L274" s="727"/>
      <c r="M274" s="728"/>
      <c r="N274" s="737" t="s">
        <v>2774</v>
      </c>
      <c r="O274" s="737" t="s">
        <v>352</v>
      </c>
      <c r="P274" s="626" t="s">
        <v>2168</v>
      </c>
      <c r="Q274" s="732"/>
    </row>
    <row r="275" spans="2:17" s="723" customFormat="1" ht="12" customHeight="1">
      <c r="B275" s="740"/>
      <c r="C275" s="626" t="s">
        <v>2585</v>
      </c>
      <c r="D275" s="626" t="s">
        <v>1768</v>
      </c>
      <c r="E275" s="738" t="s">
        <v>1156</v>
      </c>
      <c r="F275" s="738" t="s">
        <v>3412</v>
      </c>
      <c r="G275" s="732" t="s">
        <v>883</v>
      </c>
      <c r="H275" s="733" t="s">
        <v>459</v>
      </c>
      <c r="I275" s="739"/>
      <c r="J275" s="735" t="s">
        <v>261</v>
      </c>
      <c r="K275" s="736"/>
      <c r="L275" s="727"/>
      <c r="M275" s="728"/>
      <c r="N275" s="737" t="s">
        <v>2776</v>
      </c>
      <c r="O275" s="737" t="s">
        <v>350</v>
      </c>
      <c r="P275" s="626" t="s">
        <v>2169</v>
      </c>
      <c r="Q275" s="732"/>
    </row>
    <row r="276" spans="2:17" s="723" customFormat="1" ht="12" customHeight="1">
      <c r="B276" s="740"/>
      <c r="C276" s="626" t="s">
        <v>2233</v>
      </c>
      <c r="D276" s="626" t="s">
        <v>1631</v>
      </c>
      <c r="E276" s="731" t="s">
        <v>2234</v>
      </c>
      <c r="F276" s="731" t="s">
        <v>3411</v>
      </c>
      <c r="G276" s="732" t="s">
        <v>884</v>
      </c>
      <c r="H276" s="733" t="s">
        <v>458</v>
      </c>
      <c r="I276" s="734"/>
      <c r="J276" s="735" t="s">
        <v>1687</v>
      </c>
      <c r="K276" s="736"/>
      <c r="L276" s="727"/>
      <c r="M276" s="728"/>
      <c r="N276" s="737" t="s">
        <v>2778</v>
      </c>
      <c r="O276" s="737" t="s">
        <v>807</v>
      </c>
      <c r="P276" s="626" t="s">
        <v>2170</v>
      </c>
      <c r="Q276" s="732"/>
    </row>
    <row r="277" spans="2:17" s="723" customFormat="1" ht="12" customHeight="1">
      <c r="B277" s="740"/>
      <c r="C277" s="626" t="s">
        <v>2235</v>
      </c>
      <c r="D277" s="626" t="s">
        <v>1631</v>
      </c>
      <c r="E277" s="731" t="s">
        <v>2236</v>
      </c>
      <c r="F277" s="731" t="s">
        <v>3411</v>
      </c>
      <c r="G277" s="732" t="s">
        <v>885</v>
      </c>
      <c r="H277" s="733" t="s">
        <v>458</v>
      </c>
      <c r="I277" s="734"/>
      <c r="J277" s="735" t="s">
        <v>2773</v>
      </c>
      <c r="K277" s="736"/>
      <c r="L277" s="727"/>
      <c r="M277" s="728"/>
      <c r="N277" s="737" t="s">
        <v>2780</v>
      </c>
      <c r="O277" s="737" t="s">
        <v>3383</v>
      </c>
      <c r="P277" s="626" t="s">
        <v>2171</v>
      </c>
      <c r="Q277" s="732"/>
    </row>
    <row r="278" spans="2:17" s="723" customFormat="1" ht="12" customHeight="1">
      <c r="B278" s="740"/>
      <c r="C278" s="626" t="s">
        <v>2237</v>
      </c>
      <c r="D278" s="626" t="s">
        <v>1768</v>
      </c>
      <c r="E278" s="738" t="s">
        <v>2755</v>
      </c>
      <c r="F278" s="738" t="s">
        <v>3412</v>
      </c>
      <c r="G278" s="732" t="s">
        <v>886</v>
      </c>
      <c r="H278" s="733" t="s">
        <v>459</v>
      </c>
      <c r="I278" s="739"/>
      <c r="J278" s="735" t="s">
        <v>2775</v>
      </c>
      <c r="K278" s="736"/>
      <c r="L278" s="727"/>
      <c r="M278" s="728"/>
      <c r="N278" s="737" t="s">
        <v>875</v>
      </c>
      <c r="O278" s="737" t="s">
        <v>1626</v>
      </c>
      <c r="P278" s="626" t="s">
        <v>2172</v>
      </c>
      <c r="Q278" s="732"/>
    </row>
    <row r="279" spans="2:17" s="723" customFormat="1" ht="12" customHeight="1">
      <c r="B279" s="740"/>
      <c r="C279" s="626" t="s">
        <v>201</v>
      </c>
      <c r="D279" s="626" t="s">
        <v>1631</v>
      </c>
      <c r="E279" s="731" t="s">
        <v>202</v>
      </c>
      <c r="F279" s="731" t="s">
        <v>3411</v>
      </c>
      <c r="G279" s="732" t="s">
        <v>887</v>
      </c>
      <c r="H279" s="733" t="s">
        <v>458</v>
      </c>
      <c r="I279" s="734"/>
      <c r="J279" s="735" t="s">
        <v>2777</v>
      </c>
      <c r="K279" s="736"/>
      <c r="L279" s="727"/>
      <c r="M279" s="728"/>
      <c r="N279" s="626" t="s">
        <v>3362</v>
      </c>
      <c r="O279" s="626" t="s">
        <v>2718</v>
      </c>
      <c r="P279" s="1400" t="s">
        <v>2856</v>
      </c>
      <c r="Q279" s="732"/>
    </row>
    <row r="280" spans="2:17" s="723" customFormat="1" ht="12" customHeight="1">
      <c r="B280" s="740"/>
      <c r="C280" s="626" t="s">
        <v>3381</v>
      </c>
      <c r="D280" s="626" t="s">
        <v>1768</v>
      </c>
      <c r="E280" s="738" t="s">
        <v>3382</v>
      </c>
      <c r="F280" s="738" t="s">
        <v>3411</v>
      </c>
      <c r="G280" s="732" t="s">
        <v>888</v>
      </c>
      <c r="H280" s="733" t="s">
        <v>458</v>
      </c>
      <c r="I280" s="739"/>
      <c r="J280" s="735" t="s">
        <v>2779</v>
      </c>
      <c r="K280" s="736"/>
      <c r="L280" s="727"/>
      <c r="M280" s="728"/>
      <c r="N280" s="737" t="s">
        <v>2782</v>
      </c>
      <c r="O280" s="737" t="s">
        <v>217</v>
      </c>
      <c r="P280" s="626" t="s">
        <v>2173</v>
      </c>
      <c r="Q280" s="732"/>
    </row>
    <row r="281" spans="2:17" s="723" customFormat="1" ht="12" customHeight="1">
      <c r="B281" s="740"/>
      <c r="C281" s="626" t="s">
        <v>3383</v>
      </c>
      <c r="D281" s="626" t="s">
        <v>1744</v>
      </c>
      <c r="E281" s="731" t="s">
        <v>3384</v>
      </c>
      <c r="F281" s="731" t="s">
        <v>3412</v>
      </c>
      <c r="G281" s="732" t="s">
        <v>2661</v>
      </c>
      <c r="H281" s="733" t="s">
        <v>459</v>
      </c>
      <c r="I281" s="734"/>
      <c r="J281" s="735" t="s">
        <v>2781</v>
      </c>
      <c r="K281" s="736"/>
      <c r="L281" s="727"/>
      <c r="M281" s="728"/>
      <c r="N281" s="737" t="s">
        <v>2784</v>
      </c>
      <c r="O281" s="737" t="s">
        <v>217</v>
      </c>
      <c r="P281" s="626" t="s">
        <v>2174</v>
      </c>
      <c r="Q281" s="732"/>
    </row>
    <row r="282" spans="2:17" s="723" customFormat="1" ht="12" customHeight="1">
      <c r="B282" s="740"/>
      <c r="C282" s="626" t="s">
        <v>3385</v>
      </c>
      <c r="D282" s="626" t="s">
        <v>1768</v>
      </c>
      <c r="E282" s="738" t="s">
        <v>177</v>
      </c>
      <c r="F282" s="738" t="s">
        <v>3412</v>
      </c>
      <c r="G282" s="732" t="s">
        <v>2371</v>
      </c>
      <c r="H282" s="733" t="s">
        <v>459</v>
      </c>
      <c r="I282" s="739"/>
      <c r="J282" s="735" t="s">
        <v>2783</v>
      </c>
      <c r="K282" s="736"/>
      <c r="L282" s="727"/>
      <c r="M282" s="728"/>
      <c r="N282" s="737" t="s">
        <v>861</v>
      </c>
      <c r="O282" s="737" t="s">
        <v>2718</v>
      </c>
      <c r="P282" s="626" t="s">
        <v>2175</v>
      </c>
      <c r="Q282" s="732"/>
    </row>
    <row r="283" spans="2:17" s="723" customFormat="1" ht="12" customHeight="1">
      <c r="B283" s="740"/>
      <c r="C283" s="626" t="s">
        <v>3386</v>
      </c>
      <c r="D283" s="626" t="s">
        <v>1768</v>
      </c>
      <c r="E283" s="738" t="s">
        <v>1151</v>
      </c>
      <c r="F283" s="738" t="s">
        <v>3412</v>
      </c>
      <c r="G283" s="732" t="s">
        <v>3373</v>
      </c>
      <c r="H283" s="733" t="s">
        <v>459</v>
      </c>
      <c r="I283" s="739"/>
      <c r="J283" s="735" t="s">
        <v>860</v>
      </c>
      <c r="K283" s="736"/>
      <c r="L283" s="727"/>
      <c r="M283" s="728"/>
      <c r="N283" s="737" t="s">
        <v>3061</v>
      </c>
      <c r="O283" s="737" t="s">
        <v>128</v>
      </c>
      <c r="P283" s="626" t="s">
        <v>2176</v>
      </c>
      <c r="Q283" s="732"/>
    </row>
    <row r="284" spans="2:17" s="723" customFormat="1" ht="12" customHeight="1">
      <c r="B284" s="740"/>
      <c r="C284" s="626" t="s">
        <v>3387</v>
      </c>
      <c r="D284" s="626" t="s">
        <v>1768</v>
      </c>
      <c r="E284" s="731" t="s">
        <v>2756</v>
      </c>
      <c r="F284" s="731" t="s">
        <v>3412</v>
      </c>
      <c r="G284" s="732" t="s">
        <v>799</v>
      </c>
      <c r="H284" s="733" t="s">
        <v>459</v>
      </c>
      <c r="I284" s="734"/>
      <c r="J284" s="735" t="s">
        <v>3059</v>
      </c>
      <c r="K284" s="736"/>
      <c r="L284" s="727"/>
      <c r="M284" s="728"/>
      <c r="N284" s="737" t="s">
        <v>1669</v>
      </c>
      <c r="O284" s="737" t="s">
        <v>807</v>
      </c>
      <c r="P284" s="626" t="s">
        <v>2177</v>
      </c>
      <c r="Q284" s="732"/>
    </row>
    <row r="285" spans="2:17" s="723" customFormat="1" ht="12" customHeight="1">
      <c r="B285" s="740"/>
      <c r="C285" s="626" t="s">
        <v>3388</v>
      </c>
      <c r="D285" s="626" t="s">
        <v>1768</v>
      </c>
      <c r="E285" s="731" t="s">
        <v>2756</v>
      </c>
      <c r="F285" s="731" t="s">
        <v>3412</v>
      </c>
      <c r="G285" s="732" t="s">
        <v>799</v>
      </c>
      <c r="H285" s="733" t="s">
        <v>459</v>
      </c>
      <c r="I285" s="734"/>
      <c r="J285" s="735" t="s">
        <v>3060</v>
      </c>
      <c r="K285" s="736"/>
      <c r="L285" s="727"/>
      <c r="M285" s="728"/>
      <c r="N285" s="737" t="s">
        <v>1671</v>
      </c>
      <c r="O285" s="737" t="s">
        <v>2971</v>
      </c>
      <c r="P285" s="626" t="s">
        <v>2178</v>
      </c>
      <c r="Q285" s="732"/>
    </row>
    <row r="286" spans="2:17" s="723" customFormat="1" ht="12" customHeight="1">
      <c r="B286" s="740"/>
      <c r="C286" s="626" t="s">
        <v>3389</v>
      </c>
      <c r="D286" s="626" t="s">
        <v>1744</v>
      </c>
      <c r="E286" s="738" t="s">
        <v>1151</v>
      </c>
      <c r="F286" s="738" t="s">
        <v>3412</v>
      </c>
      <c r="G286" s="732" t="s">
        <v>3373</v>
      </c>
      <c r="H286" s="733" t="s">
        <v>459</v>
      </c>
      <c r="I286" s="739"/>
      <c r="J286" s="735" t="s">
        <v>1668</v>
      </c>
      <c r="K286" s="736"/>
      <c r="L286" s="727"/>
      <c r="M286" s="728"/>
      <c r="N286" s="737" t="s">
        <v>3264</v>
      </c>
      <c r="O286" s="737" t="s">
        <v>1512</v>
      </c>
      <c r="P286" s="626" t="s">
        <v>2179</v>
      </c>
      <c r="Q286" s="732"/>
    </row>
    <row r="287" spans="2:17" s="723" customFormat="1" ht="12" customHeight="1">
      <c r="B287" s="740"/>
      <c r="C287" s="626" t="s">
        <v>1498</v>
      </c>
      <c r="D287" s="626" t="s">
        <v>1768</v>
      </c>
      <c r="E287" s="738" t="s">
        <v>1499</v>
      </c>
      <c r="F287" s="738" t="s">
        <v>3411</v>
      </c>
      <c r="G287" s="732" t="s">
        <v>2662</v>
      </c>
      <c r="H287" s="733" t="s">
        <v>458</v>
      </c>
      <c r="I287" s="739"/>
      <c r="J287" s="735" t="s">
        <v>1670</v>
      </c>
      <c r="K287" s="736"/>
      <c r="L287" s="727"/>
      <c r="M287" s="728"/>
      <c r="N287" s="737" t="s">
        <v>1674</v>
      </c>
      <c r="O287" s="737" t="s">
        <v>343</v>
      </c>
      <c r="P287" s="626" t="s">
        <v>2180</v>
      </c>
      <c r="Q287" s="732"/>
    </row>
    <row r="288" spans="2:17" s="723" customFormat="1" ht="12" customHeight="1">
      <c r="B288" s="740"/>
      <c r="C288" s="626" t="s">
        <v>1500</v>
      </c>
      <c r="D288" s="626" t="s">
        <v>1744</v>
      </c>
      <c r="E288" s="738" t="s">
        <v>1151</v>
      </c>
      <c r="F288" s="738" t="s">
        <v>3412</v>
      </c>
      <c r="G288" s="732" t="s">
        <v>3373</v>
      </c>
      <c r="H288" s="733" t="s">
        <v>459</v>
      </c>
      <c r="I288" s="739"/>
      <c r="J288" s="735" t="s">
        <v>1672</v>
      </c>
      <c r="K288" s="736"/>
      <c r="L288" s="727"/>
      <c r="M288" s="728"/>
      <c r="N288" s="737" t="s">
        <v>3274</v>
      </c>
      <c r="O288" s="737" t="s">
        <v>120</v>
      </c>
      <c r="P288" s="626" t="s">
        <v>2181</v>
      </c>
      <c r="Q288" s="732"/>
    </row>
    <row r="289" spans="2:17" s="723" customFormat="1" ht="12" customHeight="1">
      <c r="B289" s="740"/>
      <c r="C289" s="626" t="s">
        <v>1501</v>
      </c>
      <c r="D289" s="626" t="s">
        <v>1631</v>
      </c>
      <c r="E289" s="731" t="s">
        <v>1502</v>
      </c>
      <c r="F289" s="731" t="s">
        <v>3411</v>
      </c>
      <c r="G289" s="732" t="s">
        <v>2663</v>
      </c>
      <c r="H289" s="733" t="s">
        <v>458</v>
      </c>
      <c r="I289" s="734"/>
      <c r="J289" s="735" t="s">
        <v>1673</v>
      </c>
      <c r="K289" s="736"/>
      <c r="L289" s="727"/>
      <c r="M289" s="728"/>
      <c r="N289" s="737" t="s">
        <v>85</v>
      </c>
      <c r="O289" s="737" t="s">
        <v>214</v>
      </c>
      <c r="P289" s="626" t="s">
        <v>2182</v>
      </c>
      <c r="Q289" s="732"/>
    </row>
    <row r="290" spans="2:17" s="723" customFormat="1" ht="12" customHeight="1">
      <c r="B290" s="740"/>
      <c r="C290" s="626" t="s">
        <v>1503</v>
      </c>
      <c r="D290" s="626" t="s">
        <v>1768</v>
      </c>
      <c r="E290" s="738" t="s">
        <v>1151</v>
      </c>
      <c r="F290" s="738" t="s">
        <v>3412</v>
      </c>
      <c r="G290" s="732" t="s">
        <v>3373</v>
      </c>
      <c r="H290" s="733" t="s">
        <v>459</v>
      </c>
      <c r="I290" s="739"/>
      <c r="J290" s="735" t="s">
        <v>1675</v>
      </c>
      <c r="K290" s="736"/>
      <c r="L290" s="727"/>
      <c r="M290" s="728"/>
      <c r="N290" s="737" t="s">
        <v>89</v>
      </c>
      <c r="O290" s="737" t="s">
        <v>2901</v>
      </c>
      <c r="P290" s="626" t="s">
        <v>2183</v>
      </c>
    </row>
    <row r="291" spans="2:17" s="723" customFormat="1" ht="12" customHeight="1">
      <c r="B291" s="740"/>
      <c r="C291" s="626" t="s">
        <v>1504</v>
      </c>
      <c r="D291" s="626" t="s">
        <v>1744</v>
      </c>
      <c r="E291" s="731" t="s">
        <v>1505</v>
      </c>
      <c r="F291" s="731" t="s">
        <v>3411</v>
      </c>
      <c r="G291" s="732" t="s">
        <v>2664</v>
      </c>
      <c r="H291" s="733" t="s">
        <v>458</v>
      </c>
      <c r="I291" s="734"/>
      <c r="J291" s="735" t="s">
        <v>3275</v>
      </c>
      <c r="K291" s="736"/>
      <c r="L291" s="727"/>
      <c r="M291" s="728"/>
      <c r="N291" s="737" t="s">
        <v>91</v>
      </c>
      <c r="O291" s="737" t="s">
        <v>1754</v>
      </c>
      <c r="P291" s="626" t="s">
        <v>2184</v>
      </c>
      <c r="Q291" s="732"/>
    </row>
    <row r="292" spans="2:17" s="723" customFormat="1" ht="12" customHeight="1">
      <c r="B292" s="740"/>
      <c r="C292" s="626" t="s">
        <v>1506</v>
      </c>
      <c r="D292" s="626" t="s">
        <v>1631</v>
      </c>
      <c r="E292" s="738" t="s">
        <v>1507</v>
      </c>
      <c r="F292" s="738" t="s">
        <v>3411</v>
      </c>
      <c r="G292" s="732" t="s">
        <v>2665</v>
      </c>
      <c r="H292" s="733" t="s">
        <v>458</v>
      </c>
      <c r="I292" s="739"/>
      <c r="J292" s="735" t="s">
        <v>86</v>
      </c>
      <c r="K292" s="736"/>
      <c r="L292" s="727"/>
      <c r="M292" s="728"/>
      <c r="N292" s="737" t="s">
        <v>1648</v>
      </c>
      <c r="O292" s="737" t="s">
        <v>2659</v>
      </c>
      <c r="P292" s="626" t="s">
        <v>2185</v>
      </c>
      <c r="Q292" s="732"/>
    </row>
    <row r="293" spans="2:17" s="723" customFormat="1" ht="12" customHeight="1">
      <c r="B293" s="740"/>
      <c r="C293" s="626" t="s">
        <v>1508</v>
      </c>
      <c r="D293" s="626" t="s">
        <v>1768</v>
      </c>
      <c r="E293" s="738" t="s">
        <v>1509</v>
      </c>
      <c r="F293" s="738" t="s">
        <v>3411</v>
      </c>
      <c r="G293" s="732" t="s">
        <v>2666</v>
      </c>
      <c r="H293" s="733" t="s">
        <v>458</v>
      </c>
      <c r="I293" s="739"/>
      <c r="J293" s="735" t="s">
        <v>87</v>
      </c>
      <c r="K293" s="736"/>
      <c r="L293" s="727"/>
      <c r="M293" s="728"/>
      <c r="N293" s="737" t="s">
        <v>1650</v>
      </c>
      <c r="O293" s="737" t="s">
        <v>196</v>
      </c>
      <c r="P293" s="626" t="s">
        <v>2186</v>
      </c>
      <c r="Q293" s="732"/>
    </row>
    <row r="294" spans="2:17" s="723" customFormat="1" ht="12" customHeight="1">
      <c r="B294" s="740"/>
      <c r="C294" s="626" t="s">
        <v>1510</v>
      </c>
      <c r="D294" s="626" t="s">
        <v>1631</v>
      </c>
      <c r="E294" s="731" t="s">
        <v>1511</v>
      </c>
      <c r="F294" s="731" t="s">
        <v>3411</v>
      </c>
      <c r="G294" s="732" t="s">
        <v>2479</v>
      </c>
      <c r="H294" s="733" t="s">
        <v>458</v>
      </c>
      <c r="I294" s="734"/>
      <c r="J294" s="735" t="s">
        <v>88</v>
      </c>
      <c r="K294" s="736"/>
      <c r="L294" s="727"/>
      <c r="M294" s="728"/>
      <c r="N294" s="737" t="s">
        <v>1652</v>
      </c>
      <c r="O294" s="737" t="s">
        <v>1514</v>
      </c>
      <c r="P294" s="1399" t="s">
        <v>1217</v>
      </c>
    </row>
    <row r="295" spans="2:17" s="723" customFormat="1" ht="12" customHeight="1">
      <c r="B295" s="740"/>
      <c r="C295" s="626" t="s">
        <v>1512</v>
      </c>
      <c r="D295" s="626" t="s">
        <v>1744</v>
      </c>
      <c r="E295" s="731" t="s">
        <v>1513</v>
      </c>
      <c r="F295" s="731" t="s">
        <v>3411</v>
      </c>
      <c r="G295" s="732" t="s">
        <v>2480</v>
      </c>
      <c r="H295" s="733" t="s">
        <v>458</v>
      </c>
      <c r="I295" s="734"/>
      <c r="J295" s="735" t="s">
        <v>90</v>
      </c>
      <c r="K295" s="736"/>
      <c r="L295" s="727"/>
      <c r="M295" s="728"/>
      <c r="N295" s="737" t="s">
        <v>1654</v>
      </c>
      <c r="O295" s="737" t="s">
        <v>1626</v>
      </c>
      <c r="P295" s="626" t="s">
        <v>2187</v>
      </c>
      <c r="Q295" s="732"/>
    </row>
    <row r="296" spans="2:17" s="723" customFormat="1" ht="12" customHeight="1">
      <c r="B296" s="740"/>
      <c r="C296" s="626" t="s">
        <v>1514</v>
      </c>
      <c r="D296" s="626" t="s">
        <v>1631</v>
      </c>
      <c r="E296" s="731" t="s">
        <v>1515</v>
      </c>
      <c r="F296" s="731" t="s">
        <v>3411</v>
      </c>
      <c r="G296" s="732" t="s">
        <v>2481</v>
      </c>
      <c r="H296" s="733" t="s">
        <v>458</v>
      </c>
      <c r="I296" s="734"/>
      <c r="J296" s="735" t="s">
        <v>1647</v>
      </c>
      <c r="K296" s="736"/>
      <c r="L296" s="727"/>
      <c r="M296" s="728"/>
      <c r="N296" s="737" t="s">
        <v>1656</v>
      </c>
      <c r="O296" s="737" t="s">
        <v>2901</v>
      </c>
      <c r="P296" s="626" t="s">
        <v>2188</v>
      </c>
      <c r="Q296" s="732"/>
    </row>
    <row r="297" spans="2:17" s="723" customFormat="1" ht="12" customHeight="1">
      <c r="B297" s="740"/>
      <c r="C297" s="626" t="s">
        <v>1516</v>
      </c>
      <c r="D297" s="626" t="s">
        <v>1768</v>
      </c>
      <c r="E297" s="738" t="s">
        <v>1152</v>
      </c>
      <c r="F297" s="738" t="s">
        <v>3412</v>
      </c>
      <c r="G297" s="732" t="s">
        <v>3395</v>
      </c>
      <c r="H297" s="733" t="s">
        <v>459</v>
      </c>
      <c r="I297" s="739"/>
      <c r="J297" s="735" t="s">
        <v>1649</v>
      </c>
      <c r="K297" s="736"/>
      <c r="L297" s="727"/>
      <c r="M297" s="728"/>
      <c r="N297" s="737" t="s">
        <v>3270</v>
      </c>
      <c r="O297" s="737" t="s">
        <v>2233</v>
      </c>
      <c r="P297" s="626" t="s">
        <v>2189</v>
      </c>
      <c r="Q297" s="732"/>
    </row>
    <row r="298" spans="2:17" s="723" customFormat="1" ht="12" customHeight="1">
      <c r="B298" s="740"/>
      <c r="C298" s="626" t="s">
        <v>1517</v>
      </c>
      <c r="D298" s="626" t="s">
        <v>1768</v>
      </c>
      <c r="E298" s="738" t="s">
        <v>1151</v>
      </c>
      <c r="F298" s="738" t="s">
        <v>3412</v>
      </c>
      <c r="G298" s="732" t="s">
        <v>3373</v>
      </c>
      <c r="H298" s="733" t="s">
        <v>459</v>
      </c>
      <c r="I298" s="739"/>
      <c r="J298" s="735" t="s">
        <v>1651</v>
      </c>
      <c r="K298" s="736"/>
      <c r="L298" s="727"/>
      <c r="M298" s="728"/>
      <c r="N298" s="737" t="s">
        <v>177</v>
      </c>
      <c r="O298" s="737" t="s">
        <v>3385</v>
      </c>
      <c r="P298" s="1399" t="s">
        <v>1217</v>
      </c>
    </row>
    <row r="299" spans="2:17" s="723" customFormat="1" ht="12" customHeight="1">
      <c r="B299" s="740"/>
      <c r="C299" s="626" t="s">
        <v>1518</v>
      </c>
      <c r="D299" s="626" t="s">
        <v>1768</v>
      </c>
      <c r="E299" s="731" t="s">
        <v>2885</v>
      </c>
      <c r="F299" s="731" t="s">
        <v>3411</v>
      </c>
      <c r="G299" s="732" t="s">
        <v>2482</v>
      </c>
      <c r="H299" s="733" t="s">
        <v>458</v>
      </c>
      <c r="I299" s="734"/>
      <c r="J299" s="735" t="s">
        <v>1653</v>
      </c>
      <c r="K299" s="736"/>
      <c r="L299" s="727"/>
      <c r="M299" s="728"/>
      <c r="N299" s="737" t="s">
        <v>1288</v>
      </c>
      <c r="O299" s="737" t="s">
        <v>196</v>
      </c>
      <c r="P299" s="626" t="s">
        <v>2190</v>
      </c>
      <c r="Q299" s="732"/>
    </row>
    <row r="300" spans="2:17" s="723" customFormat="1" ht="12" customHeight="1">
      <c r="B300" s="740"/>
      <c r="C300" s="626" t="s">
        <v>2886</v>
      </c>
      <c r="D300" s="626" t="s">
        <v>1631</v>
      </c>
      <c r="E300" s="731" t="s">
        <v>2887</v>
      </c>
      <c r="F300" s="731" t="s">
        <v>3411</v>
      </c>
      <c r="G300" s="732" t="s">
        <v>2483</v>
      </c>
      <c r="H300" s="733" t="s">
        <v>458</v>
      </c>
      <c r="I300" s="734"/>
      <c r="J300" s="735" t="s">
        <v>1655</v>
      </c>
      <c r="K300" s="736"/>
      <c r="L300" s="727"/>
      <c r="M300" s="728"/>
      <c r="N300" s="737" t="s">
        <v>1290</v>
      </c>
      <c r="O300" s="737" t="s">
        <v>355</v>
      </c>
      <c r="P300" s="626" t="s">
        <v>2191</v>
      </c>
      <c r="Q300" s="732"/>
    </row>
    <row r="301" spans="2:17" s="723" customFormat="1" ht="12" customHeight="1">
      <c r="B301" s="740"/>
      <c r="C301" s="626" t="s">
        <v>2072</v>
      </c>
      <c r="D301" s="626" t="s">
        <v>2072</v>
      </c>
      <c r="E301" s="626" t="s">
        <v>2072</v>
      </c>
      <c r="F301" s="731"/>
      <c r="G301" s="732"/>
      <c r="H301" s="733"/>
      <c r="I301" s="739"/>
      <c r="J301" s="735" t="s">
        <v>1657</v>
      </c>
      <c r="K301" s="736"/>
      <c r="L301" s="727"/>
      <c r="M301" s="728"/>
      <c r="N301" s="737" t="s">
        <v>1292</v>
      </c>
      <c r="O301" s="737" t="s">
        <v>1503</v>
      </c>
      <c r="P301" s="626" t="s">
        <v>2192</v>
      </c>
    </row>
    <row r="302" spans="2:17" s="723" customFormat="1" ht="12" customHeight="1">
      <c r="B302" s="740"/>
      <c r="C302" s="626" t="s">
        <v>2888</v>
      </c>
      <c r="D302" s="626" t="s">
        <v>1631</v>
      </c>
      <c r="E302" s="738" t="s">
        <v>2889</v>
      </c>
      <c r="F302" s="731" t="s">
        <v>3411</v>
      </c>
      <c r="G302" s="732" t="s">
        <v>583</v>
      </c>
      <c r="H302" s="733" t="s">
        <v>458</v>
      </c>
      <c r="I302" s="739"/>
      <c r="J302" s="735" t="s">
        <v>1286</v>
      </c>
      <c r="K302" s="736"/>
      <c r="L302" s="727"/>
      <c r="M302" s="728"/>
      <c r="N302" s="626" t="s">
        <v>3363</v>
      </c>
      <c r="O302" s="626" t="s">
        <v>3264</v>
      </c>
      <c r="P302" s="1400" t="s">
        <v>2856</v>
      </c>
    </row>
    <row r="303" spans="2:17" s="723" customFormat="1" ht="12" customHeight="1">
      <c r="B303" s="740"/>
      <c r="C303" s="626" t="s">
        <v>2890</v>
      </c>
      <c r="D303" s="626" t="s">
        <v>1768</v>
      </c>
      <c r="E303" s="738" t="s">
        <v>1151</v>
      </c>
      <c r="F303" s="738" t="s">
        <v>3412</v>
      </c>
      <c r="G303" s="732" t="s">
        <v>3373</v>
      </c>
      <c r="H303" s="733" t="s">
        <v>459</v>
      </c>
      <c r="I303" s="739"/>
      <c r="J303" s="735" t="s">
        <v>1287</v>
      </c>
      <c r="K303" s="736"/>
      <c r="L303" s="727"/>
      <c r="M303" s="728"/>
      <c r="N303" s="737" t="s">
        <v>2855</v>
      </c>
      <c r="O303" s="737" t="s">
        <v>1517</v>
      </c>
      <c r="P303" s="626" t="s">
        <v>2193</v>
      </c>
      <c r="Q303" s="732"/>
    </row>
    <row r="304" spans="2:17" s="723" customFormat="1" ht="12" customHeight="1">
      <c r="B304" s="740"/>
      <c r="C304" s="626" t="s">
        <v>2891</v>
      </c>
      <c r="D304" s="626" t="s">
        <v>1744</v>
      </c>
      <c r="E304" s="738" t="s">
        <v>2892</v>
      </c>
      <c r="F304" s="738" t="s">
        <v>3411</v>
      </c>
      <c r="G304" s="732" t="s">
        <v>242</v>
      </c>
      <c r="H304" s="733" t="s">
        <v>458</v>
      </c>
      <c r="I304" s="734"/>
      <c r="J304" s="735" t="s">
        <v>1289</v>
      </c>
      <c r="K304" s="736"/>
      <c r="L304" s="727"/>
      <c r="M304" s="728"/>
      <c r="N304" s="737" t="s">
        <v>2770</v>
      </c>
      <c r="O304" s="737" t="s">
        <v>2346</v>
      </c>
      <c r="P304" s="626" t="s">
        <v>2194</v>
      </c>
      <c r="Q304" s="732"/>
    </row>
    <row r="305" spans="2:17" s="723" customFormat="1" ht="12" customHeight="1">
      <c r="B305" s="740"/>
      <c r="C305" s="626" t="s">
        <v>2893</v>
      </c>
      <c r="D305" s="626" t="s">
        <v>1631</v>
      </c>
      <c r="E305" s="731" t="s">
        <v>2894</v>
      </c>
      <c r="F305" s="738" t="s">
        <v>3411</v>
      </c>
      <c r="G305" s="732" t="s">
        <v>1862</v>
      </c>
      <c r="H305" s="733" t="s">
        <v>458</v>
      </c>
      <c r="I305" s="734"/>
      <c r="J305" s="735" t="s">
        <v>1291</v>
      </c>
      <c r="K305" s="736"/>
      <c r="L305" s="727"/>
      <c r="M305" s="728"/>
      <c r="N305" s="737" t="s">
        <v>2772</v>
      </c>
      <c r="O305" s="737" t="s">
        <v>3321</v>
      </c>
      <c r="P305" s="626" t="s">
        <v>2195</v>
      </c>
      <c r="Q305" s="732"/>
    </row>
    <row r="306" spans="2:17" s="723" customFormat="1" ht="12" customHeight="1">
      <c r="B306" s="740"/>
      <c r="C306" s="626" t="s">
        <v>2895</v>
      </c>
      <c r="D306" s="626" t="s">
        <v>1631</v>
      </c>
      <c r="E306" s="731" t="s">
        <v>2896</v>
      </c>
      <c r="F306" s="731" t="s">
        <v>3411</v>
      </c>
      <c r="G306" s="732" t="s">
        <v>1863</v>
      </c>
      <c r="H306" s="733" t="s">
        <v>458</v>
      </c>
      <c r="I306" s="734"/>
      <c r="J306" s="735" t="s">
        <v>2853</v>
      </c>
      <c r="K306" s="736"/>
      <c r="L306" s="727"/>
      <c r="M306" s="728"/>
      <c r="N306" s="737" t="s">
        <v>1219</v>
      </c>
      <c r="O306" s="737" t="s">
        <v>350</v>
      </c>
      <c r="P306" s="1399" t="s">
        <v>1217</v>
      </c>
    </row>
    <row r="307" spans="2:17" s="723" customFormat="1" ht="12" customHeight="1">
      <c r="B307" s="740"/>
      <c r="C307" s="626" t="s">
        <v>2897</v>
      </c>
      <c r="D307" s="626" t="s">
        <v>1768</v>
      </c>
      <c r="E307" s="731" t="s">
        <v>2898</v>
      </c>
      <c r="F307" s="731" t="s">
        <v>3411</v>
      </c>
      <c r="G307" s="732" t="s">
        <v>1864</v>
      </c>
      <c r="H307" s="733" t="s">
        <v>458</v>
      </c>
      <c r="I307" s="734"/>
      <c r="J307" s="735" t="s">
        <v>2854</v>
      </c>
      <c r="K307" s="736"/>
      <c r="L307" s="727"/>
      <c r="M307" s="728"/>
      <c r="N307" s="737" t="s">
        <v>778</v>
      </c>
      <c r="O307" s="737" t="s">
        <v>128</v>
      </c>
      <c r="P307" s="626" t="s">
        <v>2196</v>
      </c>
      <c r="Q307" s="732"/>
    </row>
    <row r="308" spans="2:17" s="723" customFormat="1" ht="12" customHeight="1">
      <c r="B308" s="740"/>
      <c r="C308" s="626" t="s">
        <v>2899</v>
      </c>
      <c r="D308" s="626" t="s">
        <v>1768</v>
      </c>
      <c r="E308" s="731" t="s">
        <v>2900</v>
      </c>
      <c r="F308" s="731" t="s">
        <v>3411</v>
      </c>
      <c r="G308" s="732" t="s">
        <v>2723</v>
      </c>
      <c r="H308" s="733" t="s">
        <v>458</v>
      </c>
      <c r="I308" s="734"/>
      <c r="J308" s="735" t="s">
        <v>2769</v>
      </c>
      <c r="K308" s="736"/>
      <c r="L308" s="727"/>
      <c r="M308" s="728"/>
      <c r="N308" s="626" t="s">
        <v>3364</v>
      </c>
      <c r="O308" s="626" t="s">
        <v>1760</v>
      </c>
      <c r="P308" s="1400" t="s">
        <v>2856</v>
      </c>
      <c r="Q308" s="732"/>
    </row>
    <row r="309" spans="2:17" s="723" customFormat="1" ht="12" customHeight="1">
      <c r="B309" s="740"/>
      <c r="C309" s="626" t="s">
        <v>2901</v>
      </c>
      <c r="D309" s="626" t="s">
        <v>1631</v>
      </c>
      <c r="E309" s="731" t="s">
        <v>2902</v>
      </c>
      <c r="F309" s="731" t="s">
        <v>3411</v>
      </c>
      <c r="G309" s="732" t="s">
        <v>2724</v>
      </c>
      <c r="H309" s="733" t="s">
        <v>458</v>
      </c>
      <c r="I309" s="734"/>
      <c r="J309" s="735" t="s">
        <v>2771</v>
      </c>
      <c r="K309" s="736"/>
      <c r="L309" s="727"/>
      <c r="M309" s="728"/>
      <c r="N309" s="737" t="s">
        <v>780</v>
      </c>
      <c r="O309" s="737" t="s">
        <v>3386</v>
      </c>
      <c r="P309" s="626" t="s">
        <v>2197</v>
      </c>
    </row>
    <row r="310" spans="2:17" s="723" customFormat="1" ht="12" customHeight="1">
      <c r="B310" s="740"/>
      <c r="C310" s="626" t="s">
        <v>2903</v>
      </c>
      <c r="D310" s="626" t="s">
        <v>1768</v>
      </c>
      <c r="E310" s="731" t="s">
        <v>1264</v>
      </c>
      <c r="F310" s="731" t="s">
        <v>3411</v>
      </c>
      <c r="G310" s="732" t="s">
        <v>2725</v>
      </c>
      <c r="H310" s="733" t="s">
        <v>458</v>
      </c>
      <c r="I310" s="734"/>
      <c r="J310" s="735" t="s">
        <v>776</v>
      </c>
      <c r="K310" s="736"/>
      <c r="L310" s="727"/>
      <c r="M310" s="728"/>
      <c r="N310" s="737" t="s">
        <v>3320</v>
      </c>
      <c r="O310" s="737" t="s">
        <v>3388</v>
      </c>
      <c r="P310" s="626" t="s">
        <v>2198</v>
      </c>
      <c r="Q310" s="732"/>
    </row>
    <row r="311" spans="2:17" s="723" customFormat="1" ht="12" customHeight="1">
      <c r="B311" s="740"/>
      <c r="C311" s="626" t="s">
        <v>1265</v>
      </c>
      <c r="D311" s="626" t="s">
        <v>1631</v>
      </c>
      <c r="E311" s="731" t="s">
        <v>1266</v>
      </c>
      <c r="F311" s="731" t="s">
        <v>3411</v>
      </c>
      <c r="G311" s="732" t="s">
        <v>2726</v>
      </c>
      <c r="H311" s="733" t="s">
        <v>458</v>
      </c>
      <c r="I311" s="739"/>
      <c r="J311" s="735" t="s">
        <v>777</v>
      </c>
      <c r="K311" s="736"/>
      <c r="L311" s="727"/>
      <c r="M311" s="728"/>
      <c r="N311" s="737" t="s">
        <v>784</v>
      </c>
      <c r="O311" s="737" t="s">
        <v>2899</v>
      </c>
      <c r="P311" s="626" t="s">
        <v>2199</v>
      </c>
      <c r="Q311" s="732"/>
    </row>
    <row r="312" spans="2:17" s="723" customFormat="1" ht="12" customHeight="1">
      <c r="B312" s="740"/>
      <c r="C312" s="626" t="s">
        <v>2345</v>
      </c>
      <c r="D312" s="626" t="s">
        <v>1631</v>
      </c>
      <c r="E312" s="738" t="s">
        <v>2476</v>
      </c>
      <c r="F312" s="731" t="s">
        <v>3412</v>
      </c>
      <c r="G312" s="732" t="s">
        <v>1574</v>
      </c>
      <c r="H312" s="733" t="s">
        <v>459</v>
      </c>
      <c r="I312" s="739"/>
      <c r="J312" s="735" t="s">
        <v>779</v>
      </c>
      <c r="K312" s="736"/>
      <c r="L312" s="727"/>
      <c r="M312" s="728"/>
      <c r="N312" s="737" t="s">
        <v>786</v>
      </c>
      <c r="O312" s="737" t="s">
        <v>2237</v>
      </c>
      <c r="P312" s="626" t="s">
        <v>2200</v>
      </c>
      <c r="Q312" s="732"/>
    </row>
    <row r="313" spans="2:17" s="723" customFormat="1" ht="12" customHeight="1">
      <c r="B313" s="740"/>
      <c r="C313" s="626" t="s">
        <v>2346</v>
      </c>
      <c r="D313" s="626" t="s">
        <v>1631</v>
      </c>
      <c r="E313" s="738" t="s">
        <v>2347</v>
      </c>
      <c r="F313" s="738" t="s">
        <v>3411</v>
      </c>
      <c r="G313" s="732" t="s">
        <v>2727</v>
      </c>
      <c r="H313" s="733" t="s">
        <v>458</v>
      </c>
      <c r="I313" s="739"/>
      <c r="J313" s="735" t="s">
        <v>781</v>
      </c>
      <c r="K313" s="736"/>
      <c r="L313" s="727"/>
      <c r="M313" s="728"/>
      <c r="N313" s="737" t="s">
        <v>712</v>
      </c>
      <c r="O313" s="737" t="s">
        <v>844</v>
      </c>
      <c r="P313" s="626" t="s">
        <v>2201</v>
      </c>
    </row>
    <row r="314" spans="2:17" s="723" customFormat="1" ht="12" customHeight="1">
      <c r="B314" s="740"/>
      <c r="C314" s="626" t="s">
        <v>2348</v>
      </c>
      <c r="D314" s="626" t="s">
        <v>1631</v>
      </c>
      <c r="E314" s="738" t="s">
        <v>2616</v>
      </c>
      <c r="F314" s="738" t="s">
        <v>3411</v>
      </c>
      <c r="G314" s="732" t="s">
        <v>1579</v>
      </c>
      <c r="H314" s="733" t="s">
        <v>458</v>
      </c>
      <c r="I314" s="739"/>
      <c r="J314" s="735" t="s">
        <v>782</v>
      </c>
      <c r="K314" s="736"/>
      <c r="L314" s="727"/>
      <c r="M314" s="728"/>
      <c r="N314" s="737" t="s">
        <v>714</v>
      </c>
      <c r="O314" s="737" t="s">
        <v>176</v>
      </c>
      <c r="P314" s="1399" t="s">
        <v>1217</v>
      </c>
      <c r="Q314" s="732"/>
    </row>
    <row r="315" spans="2:17" s="723" customFormat="1" ht="12" customHeight="1">
      <c r="B315" s="740"/>
      <c r="C315" s="626" t="s">
        <v>2617</v>
      </c>
      <c r="D315" s="626" t="s">
        <v>1631</v>
      </c>
      <c r="E315" s="738" t="s">
        <v>2618</v>
      </c>
      <c r="F315" s="738" t="s">
        <v>3411</v>
      </c>
      <c r="G315" s="732" t="s">
        <v>1580</v>
      </c>
      <c r="H315" s="733" t="s">
        <v>458</v>
      </c>
      <c r="I315" s="739"/>
      <c r="J315" s="735" t="s">
        <v>783</v>
      </c>
      <c r="K315" s="736"/>
      <c r="L315" s="727"/>
      <c r="M315" s="728"/>
      <c r="N315" s="737" t="s">
        <v>1050</v>
      </c>
      <c r="O315" s="737" t="s">
        <v>1514</v>
      </c>
      <c r="P315" s="626" t="s">
        <v>2202</v>
      </c>
      <c r="Q315" s="732"/>
    </row>
    <row r="316" spans="2:17" s="723" customFormat="1" ht="12" customHeight="1">
      <c r="B316" s="740"/>
      <c r="C316" s="626" t="s">
        <v>2619</v>
      </c>
      <c r="D316" s="626" t="s">
        <v>1744</v>
      </c>
      <c r="E316" s="738" t="s">
        <v>2620</v>
      </c>
      <c r="F316" s="738" t="s">
        <v>3411</v>
      </c>
      <c r="G316" s="732" t="s">
        <v>1581</v>
      </c>
      <c r="H316" s="733" t="s">
        <v>458</v>
      </c>
      <c r="I316" s="739"/>
      <c r="J316" s="735" t="s">
        <v>785</v>
      </c>
      <c r="K316" s="736"/>
      <c r="L316" s="727"/>
      <c r="M316" s="728"/>
      <c r="N316" s="737" t="s">
        <v>1052</v>
      </c>
      <c r="O316" s="737" t="s">
        <v>127</v>
      </c>
      <c r="P316" s="626" t="s">
        <v>2203</v>
      </c>
      <c r="Q316" s="732"/>
    </row>
    <row r="317" spans="2:17" s="723" customFormat="1" ht="12" customHeight="1">
      <c r="B317" s="740"/>
      <c r="C317" s="626" t="s">
        <v>2621</v>
      </c>
      <c r="D317" s="626" t="s">
        <v>1631</v>
      </c>
      <c r="E317" s="738" t="s">
        <v>2622</v>
      </c>
      <c r="F317" s="738" t="s">
        <v>3411</v>
      </c>
      <c r="G317" s="732" t="s">
        <v>1582</v>
      </c>
      <c r="H317" s="733" t="s">
        <v>458</v>
      </c>
      <c r="I317" s="734"/>
      <c r="J317" s="735" t="s">
        <v>787</v>
      </c>
      <c r="K317" s="736"/>
      <c r="L317" s="727"/>
      <c r="M317" s="728"/>
      <c r="N317" s="737" t="s">
        <v>40</v>
      </c>
      <c r="O317" s="737" t="s">
        <v>193</v>
      </c>
      <c r="P317" s="626" t="s">
        <v>2204</v>
      </c>
      <c r="Q317" s="732"/>
    </row>
    <row r="318" spans="2:17" s="723" customFormat="1" ht="12" customHeight="1">
      <c r="B318" s="740"/>
      <c r="C318" s="626" t="s">
        <v>2623</v>
      </c>
      <c r="D318" s="626" t="s">
        <v>1768</v>
      </c>
      <c r="E318" s="731" t="s">
        <v>2624</v>
      </c>
      <c r="F318" s="738" t="s">
        <v>3411</v>
      </c>
      <c r="G318" s="732" t="s">
        <v>1583</v>
      </c>
      <c r="H318" s="733" t="s">
        <v>458</v>
      </c>
      <c r="I318" s="739"/>
      <c r="J318" s="735" t="s">
        <v>713</v>
      </c>
      <c r="K318" s="736"/>
      <c r="L318" s="727"/>
      <c r="M318" s="728"/>
      <c r="N318" s="737" t="s">
        <v>2675</v>
      </c>
      <c r="O318" s="737" t="s">
        <v>2971</v>
      </c>
      <c r="P318" s="626" t="s">
        <v>2205</v>
      </c>
      <c r="Q318" s="732"/>
    </row>
    <row r="319" spans="2:17" s="723" customFormat="1" ht="12" customHeight="1">
      <c r="B319" s="740"/>
      <c r="C319" s="626" t="s">
        <v>2625</v>
      </c>
      <c r="D319" s="626" t="s">
        <v>1631</v>
      </c>
      <c r="E319" s="738" t="s">
        <v>2626</v>
      </c>
      <c r="F319" s="731" t="s">
        <v>3411</v>
      </c>
      <c r="G319" s="732" t="s">
        <v>1584</v>
      </c>
      <c r="H319" s="733" t="s">
        <v>458</v>
      </c>
      <c r="I319" s="739"/>
      <c r="J319" s="735" t="s">
        <v>1569</v>
      </c>
      <c r="K319" s="736"/>
      <c r="L319" s="727"/>
      <c r="M319" s="728"/>
      <c r="N319" s="737" t="s">
        <v>2677</v>
      </c>
      <c r="O319" s="737" t="s">
        <v>3389</v>
      </c>
      <c r="P319" s="626" t="s">
        <v>2206</v>
      </c>
      <c r="Q319" s="732"/>
    </row>
    <row r="320" spans="2:17" s="723" customFormat="1" ht="12" customHeight="1">
      <c r="B320" s="740"/>
      <c r="C320" s="626" t="s">
        <v>2627</v>
      </c>
      <c r="D320" s="626" t="s">
        <v>1768</v>
      </c>
      <c r="E320" s="738" t="s">
        <v>1753</v>
      </c>
      <c r="F320" s="738" t="s">
        <v>3412</v>
      </c>
      <c r="G320" s="732" t="s">
        <v>3376</v>
      </c>
      <c r="H320" s="733" t="s">
        <v>459</v>
      </c>
      <c r="I320" s="739"/>
      <c r="J320" s="735" t="s">
        <v>1051</v>
      </c>
      <c r="K320" s="736"/>
      <c r="L320" s="727"/>
      <c r="M320" s="728"/>
      <c r="N320" s="737" t="s">
        <v>367</v>
      </c>
      <c r="O320" s="737" t="s">
        <v>2659</v>
      </c>
      <c r="P320" s="626" t="s">
        <v>2207</v>
      </c>
      <c r="Q320" s="732"/>
    </row>
    <row r="321" spans="2:19" s="723" customFormat="1" ht="12" customHeight="1">
      <c r="B321" s="740"/>
      <c r="C321" s="626" t="s">
        <v>2628</v>
      </c>
      <c r="D321" s="626" t="s">
        <v>1744</v>
      </c>
      <c r="E321" s="738" t="s">
        <v>2629</v>
      </c>
      <c r="F321" s="738" t="s">
        <v>3411</v>
      </c>
      <c r="G321" s="732" t="s">
        <v>1585</v>
      </c>
      <c r="H321" s="733" t="s">
        <v>458</v>
      </c>
      <c r="I321" s="734"/>
      <c r="J321" s="735" t="s">
        <v>39</v>
      </c>
      <c r="K321" s="736"/>
      <c r="L321" s="727"/>
      <c r="M321" s="728"/>
      <c r="N321" s="737" t="s">
        <v>369</v>
      </c>
      <c r="O321" s="737" t="s">
        <v>1268</v>
      </c>
      <c r="P321" s="626" t="s">
        <v>2208</v>
      </c>
      <c r="Q321" s="732"/>
    </row>
    <row r="322" spans="2:19" s="723" customFormat="1" ht="12" customHeight="1">
      <c r="B322" s="740"/>
      <c r="C322" s="626" t="s">
        <v>2716</v>
      </c>
      <c r="D322" s="626" t="s">
        <v>1768</v>
      </c>
      <c r="E322" s="731" t="s">
        <v>2717</v>
      </c>
      <c r="F322" s="738" t="s">
        <v>3411</v>
      </c>
      <c r="G322" s="732" t="s">
        <v>1586</v>
      </c>
      <c r="H322" s="733" t="s">
        <v>458</v>
      </c>
      <c r="I322" s="739"/>
      <c r="J322" s="735" t="s">
        <v>2674</v>
      </c>
      <c r="K322" s="736"/>
      <c r="L322" s="727"/>
      <c r="M322" s="728"/>
      <c r="N322" s="737" t="s">
        <v>371</v>
      </c>
      <c r="O322" s="737" t="s">
        <v>196</v>
      </c>
      <c r="P322" s="626" t="s">
        <v>2209</v>
      </c>
      <c r="Q322" s="732"/>
    </row>
    <row r="323" spans="2:19" s="723" customFormat="1" ht="12" customHeight="1">
      <c r="B323" s="740"/>
      <c r="C323" s="626" t="s">
        <v>2718</v>
      </c>
      <c r="D323" s="626" t="s">
        <v>1744</v>
      </c>
      <c r="E323" s="738" t="s">
        <v>1977</v>
      </c>
      <c r="F323" s="731" t="s">
        <v>3412</v>
      </c>
      <c r="G323" s="732" t="s">
        <v>2369</v>
      </c>
      <c r="H323" s="733" t="s">
        <v>459</v>
      </c>
      <c r="I323" s="739"/>
      <c r="J323" s="735" t="s">
        <v>2676</v>
      </c>
      <c r="K323" s="736"/>
      <c r="L323" s="727"/>
      <c r="M323" s="728"/>
      <c r="N323" s="737" t="s">
        <v>373</v>
      </c>
      <c r="O323" s="737" t="s">
        <v>3158</v>
      </c>
      <c r="P323" s="626" t="s">
        <v>2210</v>
      </c>
      <c r="Q323" s="732"/>
    </row>
    <row r="324" spans="2:19" s="723" customFormat="1" ht="12" customHeight="1">
      <c r="B324" s="740"/>
      <c r="C324" s="626" t="s">
        <v>2719</v>
      </c>
      <c r="D324" s="626" t="s">
        <v>1768</v>
      </c>
      <c r="E324" s="738" t="s">
        <v>1151</v>
      </c>
      <c r="F324" s="738" t="s">
        <v>3412</v>
      </c>
      <c r="G324" s="732" t="s">
        <v>3373</v>
      </c>
      <c r="H324" s="733" t="s">
        <v>459</v>
      </c>
      <c r="I324" s="739"/>
      <c r="J324" s="735" t="s">
        <v>366</v>
      </c>
      <c r="K324" s="736"/>
      <c r="L324" s="727"/>
      <c r="M324" s="728"/>
      <c r="N324" s="737" t="s">
        <v>375</v>
      </c>
      <c r="O324" s="737" t="s">
        <v>2584</v>
      </c>
      <c r="P324" s="626" t="s">
        <v>2211</v>
      </c>
      <c r="Q324" s="732"/>
    </row>
    <row r="325" spans="2:19" s="723" customFormat="1" ht="12" customHeight="1">
      <c r="B325" s="740"/>
      <c r="C325" s="626" t="s">
        <v>2720</v>
      </c>
      <c r="D325" s="626" t="s">
        <v>1631</v>
      </c>
      <c r="E325" s="738" t="s">
        <v>109</v>
      </c>
      <c r="F325" s="738" t="s">
        <v>3411</v>
      </c>
      <c r="G325" s="732" t="s">
        <v>1587</v>
      </c>
      <c r="H325" s="733" t="s">
        <v>458</v>
      </c>
      <c r="I325" s="739"/>
      <c r="J325" s="735" t="s">
        <v>368</v>
      </c>
      <c r="K325" s="736"/>
      <c r="L325" s="727"/>
      <c r="M325" s="728"/>
      <c r="N325" s="737" t="s">
        <v>377</v>
      </c>
      <c r="O325" s="737" t="s">
        <v>192</v>
      </c>
      <c r="P325" s="626" t="s">
        <v>1068</v>
      </c>
      <c r="Q325" s="732"/>
    </row>
    <row r="326" spans="2:19" s="723" customFormat="1" ht="12" customHeight="1">
      <c r="B326" s="740"/>
      <c r="C326" s="626" t="s">
        <v>110</v>
      </c>
      <c r="D326" s="626" t="s">
        <v>1768</v>
      </c>
      <c r="E326" s="738" t="s">
        <v>111</v>
      </c>
      <c r="F326" s="738" t="s">
        <v>3411</v>
      </c>
      <c r="G326" s="732" t="s">
        <v>1588</v>
      </c>
      <c r="H326" s="733" t="s">
        <v>458</v>
      </c>
      <c r="I326" s="739"/>
      <c r="J326" s="735" t="s">
        <v>370</v>
      </c>
      <c r="K326" s="736"/>
      <c r="L326" s="727"/>
      <c r="M326" s="728"/>
      <c r="N326" s="737" t="s">
        <v>2650</v>
      </c>
      <c r="O326" s="737" t="s">
        <v>112</v>
      </c>
      <c r="P326" s="626" t="s">
        <v>1069</v>
      </c>
      <c r="Q326" s="732"/>
    </row>
    <row r="327" spans="2:19" s="723" customFormat="1" ht="12" customHeight="1">
      <c r="B327" s="740"/>
      <c r="C327" s="626" t="s">
        <v>112</v>
      </c>
      <c r="D327" s="626" t="s">
        <v>1631</v>
      </c>
      <c r="E327" s="738" t="s">
        <v>113</v>
      </c>
      <c r="F327" s="738" t="s">
        <v>3411</v>
      </c>
      <c r="G327" s="732" t="s">
        <v>1589</v>
      </c>
      <c r="H327" s="733" t="s">
        <v>458</v>
      </c>
      <c r="I327" s="739"/>
      <c r="J327" s="735" t="s">
        <v>372</v>
      </c>
      <c r="K327" s="736"/>
      <c r="L327" s="727"/>
      <c r="M327" s="728"/>
      <c r="N327" s="737" t="s">
        <v>213</v>
      </c>
      <c r="O327" s="737" t="s">
        <v>2345</v>
      </c>
      <c r="P327" s="626" t="s">
        <v>1070</v>
      </c>
      <c r="Q327" s="732"/>
    </row>
    <row r="328" spans="2:19" s="723" customFormat="1" ht="12" customHeight="1">
      <c r="B328" s="740"/>
      <c r="C328" s="626" t="s">
        <v>114</v>
      </c>
      <c r="D328" s="626" t="s">
        <v>1631</v>
      </c>
      <c r="E328" s="738" t="s">
        <v>115</v>
      </c>
      <c r="F328" s="738" t="s">
        <v>3411</v>
      </c>
      <c r="G328" s="732" t="s">
        <v>1590</v>
      </c>
      <c r="H328" s="733" t="s">
        <v>458</v>
      </c>
      <c r="I328" s="739"/>
      <c r="J328" s="735" t="s">
        <v>374</v>
      </c>
      <c r="K328" s="736"/>
      <c r="L328" s="727"/>
      <c r="M328" s="728"/>
      <c r="N328" s="737" t="s">
        <v>2871</v>
      </c>
      <c r="O328" s="737" t="s">
        <v>213</v>
      </c>
      <c r="P328" s="626" t="s">
        <v>1071</v>
      </c>
      <c r="Q328" s="732"/>
    </row>
    <row r="329" spans="2:19" s="723" customFormat="1" ht="12" customHeight="1">
      <c r="B329" s="740"/>
      <c r="C329" s="626" t="s">
        <v>116</v>
      </c>
      <c r="D329" s="626" t="s">
        <v>1631</v>
      </c>
      <c r="E329" s="738" t="s">
        <v>117</v>
      </c>
      <c r="F329" s="738" t="s">
        <v>3411</v>
      </c>
      <c r="G329" s="732" t="s">
        <v>1591</v>
      </c>
      <c r="H329" s="733" t="s">
        <v>458</v>
      </c>
      <c r="I329" s="739"/>
      <c r="J329" s="735" t="s">
        <v>376</v>
      </c>
      <c r="K329" s="736"/>
      <c r="L329" s="727"/>
      <c r="M329" s="728"/>
      <c r="N329" s="737" t="s">
        <v>876</v>
      </c>
      <c r="O329" s="737" t="s">
        <v>2895</v>
      </c>
      <c r="P329" s="626" t="s">
        <v>1072</v>
      </c>
      <c r="Q329" s="732"/>
    </row>
    <row r="330" spans="2:19" s="723" customFormat="1" ht="12" customHeight="1">
      <c r="B330" s="740"/>
      <c r="C330" s="626" t="s">
        <v>118</v>
      </c>
      <c r="D330" s="626" t="s">
        <v>1631</v>
      </c>
      <c r="E330" s="738" t="s">
        <v>119</v>
      </c>
      <c r="F330" s="738" t="s">
        <v>3411</v>
      </c>
      <c r="G330" s="732" t="s">
        <v>3111</v>
      </c>
      <c r="H330" s="733" t="s">
        <v>458</v>
      </c>
      <c r="I330" s="739"/>
      <c r="J330" s="735" t="s">
        <v>2649</v>
      </c>
      <c r="K330" s="736"/>
      <c r="L330" s="727"/>
      <c r="M330" s="728"/>
      <c r="N330" s="737" t="s">
        <v>171</v>
      </c>
      <c r="O330" s="737" t="s">
        <v>2583</v>
      </c>
      <c r="P330" s="626" t="s">
        <v>1073</v>
      </c>
      <c r="Q330" s="732"/>
    </row>
    <row r="331" spans="2:19" s="723" customFormat="1" ht="12" customHeight="1">
      <c r="B331" s="740"/>
      <c r="C331" s="626" t="s">
        <v>120</v>
      </c>
      <c r="D331" s="626" t="s">
        <v>1744</v>
      </c>
      <c r="E331" s="738" t="s">
        <v>121</v>
      </c>
      <c r="F331" s="738" t="s">
        <v>3411</v>
      </c>
      <c r="G331" s="732" t="s">
        <v>3112</v>
      </c>
      <c r="H331" s="733" t="s">
        <v>458</v>
      </c>
      <c r="I331" s="734"/>
      <c r="J331" s="735" t="s">
        <v>2651</v>
      </c>
      <c r="K331" s="736"/>
      <c r="L331" s="727"/>
      <c r="M331" s="728"/>
      <c r="N331" s="737" t="s">
        <v>214</v>
      </c>
      <c r="O331" s="737" t="s">
        <v>807</v>
      </c>
      <c r="P331" s="626" t="s">
        <v>1074</v>
      </c>
      <c r="Q331" s="732"/>
    </row>
    <row r="332" spans="2:19" s="723" customFormat="1" ht="12" customHeight="1">
      <c r="B332" s="740"/>
      <c r="C332" s="626" t="s">
        <v>2659</v>
      </c>
      <c r="D332" s="626" t="s">
        <v>1744</v>
      </c>
      <c r="E332" s="731" t="s">
        <v>367</v>
      </c>
      <c r="F332" s="738" t="s">
        <v>3412</v>
      </c>
      <c r="G332" s="732" t="s">
        <v>3113</v>
      </c>
      <c r="H332" s="733" t="s">
        <v>459</v>
      </c>
      <c r="I332" s="739"/>
      <c r="J332" s="735" t="s">
        <v>2870</v>
      </c>
      <c r="K332" s="736"/>
      <c r="L332" s="727"/>
      <c r="M332" s="728"/>
      <c r="N332" s="626" t="s">
        <v>3365</v>
      </c>
      <c r="O332" s="626" t="s">
        <v>2720</v>
      </c>
      <c r="P332" s="1400" t="s">
        <v>2856</v>
      </c>
      <c r="Q332" s="732"/>
    </row>
    <row r="333" spans="2:19" s="723" customFormat="1" ht="12" customHeight="1">
      <c r="B333" s="740"/>
      <c r="C333" s="626" t="s">
        <v>2660</v>
      </c>
      <c r="D333" s="626" t="s">
        <v>1631</v>
      </c>
      <c r="E333" s="738" t="s">
        <v>3155</v>
      </c>
      <c r="F333" s="731" t="s">
        <v>3411</v>
      </c>
      <c r="G333" s="732" t="s">
        <v>3114</v>
      </c>
      <c r="H333" s="733" t="s">
        <v>458</v>
      </c>
      <c r="I333" s="739"/>
      <c r="J333" s="735" t="s">
        <v>169</v>
      </c>
      <c r="K333" s="736"/>
      <c r="L333" s="727"/>
      <c r="M333" s="728"/>
      <c r="N333" s="737" t="s">
        <v>1183</v>
      </c>
      <c r="O333" s="737" t="s">
        <v>112</v>
      </c>
      <c r="P333" s="626" t="s">
        <v>1075</v>
      </c>
      <c r="Q333" s="732"/>
    </row>
    <row r="334" spans="2:19" s="723" customFormat="1" ht="12" customHeight="1">
      <c r="B334" s="740"/>
      <c r="C334" s="626" t="s">
        <v>3156</v>
      </c>
      <c r="D334" s="626" t="s">
        <v>1768</v>
      </c>
      <c r="E334" s="738" t="s">
        <v>3157</v>
      </c>
      <c r="F334" s="738" t="s">
        <v>3411</v>
      </c>
      <c r="G334" s="732" t="s">
        <v>456</v>
      </c>
      <c r="H334" s="733" t="s">
        <v>458</v>
      </c>
      <c r="I334" s="739"/>
      <c r="J334" s="735" t="s">
        <v>170</v>
      </c>
      <c r="K334" s="736"/>
      <c r="L334" s="727"/>
      <c r="M334" s="728"/>
      <c r="N334" s="737" t="s">
        <v>1185</v>
      </c>
      <c r="O334" s="737" t="s">
        <v>128</v>
      </c>
      <c r="P334" s="626" t="s">
        <v>1076</v>
      </c>
      <c r="Q334" s="732"/>
      <c r="R334" s="626"/>
      <c r="S334" s="626"/>
    </row>
    <row r="335" spans="2:19" s="723" customFormat="1" ht="12" customHeight="1">
      <c r="B335" s="740"/>
      <c r="C335" s="626" t="s">
        <v>3158</v>
      </c>
      <c r="D335" s="626" t="s">
        <v>1768</v>
      </c>
      <c r="E335" s="738" t="s">
        <v>3159</v>
      </c>
      <c r="F335" s="738" t="s">
        <v>3411</v>
      </c>
      <c r="G335" s="732" t="s">
        <v>457</v>
      </c>
      <c r="H335" s="733" t="s">
        <v>458</v>
      </c>
      <c r="I335" s="739"/>
      <c r="J335" s="735" t="s">
        <v>2039</v>
      </c>
      <c r="K335" s="736"/>
      <c r="L335" s="727"/>
      <c r="M335" s="728"/>
      <c r="N335" s="737" t="s">
        <v>1187</v>
      </c>
      <c r="O335" s="737" t="s">
        <v>358</v>
      </c>
      <c r="P335" s="626" t="s">
        <v>1077</v>
      </c>
      <c r="Q335" s="732"/>
      <c r="R335" s="626"/>
      <c r="S335" s="626"/>
    </row>
    <row r="336" spans="2:19" s="723" customFormat="1" ht="12" customHeight="1">
      <c r="B336" s="722"/>
      <c r="C336" s="626" t="s">
        <v>3160</v>
      </c>
      <c r="D336" s="626" t="s">
        <v>1631</v>
      </c>
      <c r="E336" s="738" t="s">
        <v>2476</v>
      </c>
      <c r="F336" s="738" t="s">
        <v>3412</v>
      </c>
      <c r="G336" s="732" t="s">
        <v>1574</v>
      </c>
      <c r="H336" s="733" t="s">
        <v>459</v>
      </c>
      <c r="J336" s="735" t="s">
        <v>1182</v>
      </c>
      <c r="K336" s="736"/>
      <c r="L336" s="727"/>
      <c r="M336" s="728"/>
      <c r="N336" s="737" t="s">
        <v>3190</v>
      </c>
      <c r="O336" s="737" t="s">
        <v>1898</v>
      </c>
      <c r="P336" s="626" t="s">
        <v>1078</v>
      </c>
      <c r="Q336" s="732"/>
      <c r="R336" s="626"/>
      <c r="S336" s="626"/>
    </row>
    <row r="337" spans="2:19" s="723" customFormat="1" ht="12" customHeight="1">
      <c r="B337" s="722"/>
      <c r="F337" s="738"/>
      <c r="J337" s="735" t="s">
        <v>1184</v>
      </c>
      <c r="K337" s="736"/>
      <c r="L337" s="727"/>
      <c r="M337" s="728"/>
      <c r="N337" s="737" t="s">
        <v>3192</v>
      </c>
      <c r="O337" s="737" t="s">
        <v>1512</v>
      </c>
      <c r="P337" s="626" t="s">
        <v>1079</v>
      </c>
      <c r="R337" s="626"/>
      <c r="S337" s="626"/>
    </row>
    <row r="338" spans="2:19" s="723" customFormat="1" ht="12" customHeight="1">
      <c r="B338" s="722"/>
      <c r="J338" s="735" t="s">
        <v>1186</v>
      </c>
      <c r="K338" s="736"/>
      <c r="L338" s="727"/>
      <c r="M338" s="728"/>
      <c r="N338" s="626" t="s">
        <v>3366</v>
      </c>
      <c r="O338" s="626" t="s">
        <v>851</v>
      </c>
      <c r="P338" s="1400" t="s">
        <v>2856</v>
      </c>
      <c r="R338" s="626"/>
      <c r="S338" s="626"/>
    </row>
    <row r="339" spans="2:19" s="723" customFormat="1" ht="12" customHeight="1">
      <c r="B339" s="722"/>
      <c r="J339" s="735" t="s">
        <v>3188</v>
      </c>
      <c r="K339" s="736"/>
      <c r="L339" s="727"/>
      <c r="M339" s="728"/>
      <c r="N339" s="737" t="s">
        <v>414</v>
      </c>
      <c r="O339" s="737" t="s">
        <v>3270</v>
      </c>
      <c r="P339" s="626" t="s">
        <v>1080</v>
      </c>
      <c r="R339" s="626"/>
      <c r="S339" s="626"/>
    </row>
    <row r="340" spans="2:19" s="723" customFormat="1" ht="12" customHeight="1">
      <c r="B340" s="722"/>
      <c r="J340" s="735" t="s">
        <v>3189</v>
      </c>
      <c r="K340" s="736"/>
      <c r="L340" s="727"/>
      <c r="M340" s="728"/>
      <c r="N340" s="737" t="s">
        <v>416</v>
      </c>
      <c r="O340" s="737" t="s">
        <v>2888</v>
      </c>
      <c r="P340" s="626" t="s">
        <v>1081</v>
      </c>
      <c r="R340" s="626"/>
      <c r="S340" s="626"/>
    </row>
    <row r="341" spans="2:19" s="723" customFormat="1" ht="12" customHeight="1">
      <c r="B341" s="722"/>
      <c r="J341" s="735" t="s">
        <v>3191</v>
      </c>
      <c r="K341" s="736"/>
      <c r="L341" s="727"/>
      <c r="M341" s="728"/>
      <c r="N341" s="737" t="s">
        <v>52</v>
      </c>
      <c r="O341" s="737" t="s">
        <v>1349</v>
      </c>
      <c r="P341" s="626" t="s">
        <v>1082</v>
      </c>
    </row>
    <row r="342" spans="2:19" s="723" customFormat="1" ht="12" customHeight="1">
      <c r="B342" s="722"/>
      <c r="J342" s="735" t="s">
        <v>3193</v>
      </c>
      <c r="K342" s="736"/>
      <c r="L342" s="727"/>
      <c r="M342" s="728"/>
      <c r="N342" s="737" t="s">
        <v>54</v>
      </c>
      <c r="O342" s="737" t="s">
        <v>807</v>
      </c>
      <c r="P342" s="626" t="s">
        <v>1083</v>
      </c>
    </row>
    <row r="343" spans="2:19" s="723" customFormat="1" ht="12" customHeight="1">
      <c r="B343" s="722"/>
      <c r="J343" s="735" t="s">
        <v>3194</v>
      </c>
      <c r="K343" s="736"/>
      <c r="L343" s="727"/>
      <c r="M343" s="728"/>
      <c r="N343" s="737" t="s">
        <v>1267</v>
      </c>
      <c r="O343" s="737" t="s">
        <v>3268</v>
      </c>
      <c r="P343" s="626" t="s">
        <v>1084</v>
      </c>
    </row>
    <row r="344" spans="2:19" s="723" customFormat="1" ht="12" customHeight="1">
      <c r="B344" s="722"/>
      <c r="J344" s="735" t="s">
        <v>415</v>
      </c>
      <c r="K344" s="736"/>
      <c r="L344" s="727"/>
      <c r="M344" s="728"/>
      <c r="N344" s="737" t="s">
        <v>2632</v>
      </c>
      <c r="O344" s="737" t="s">
        <v>1267</v>
      </c>
      <c r="P344" s="626" t="s">
        <v>1085</v>
      </c>
    </row>
    <row r="345" spans="2:19" s="723" customFormat="1" ht="12" customHeight="1">
      <c r="B345" s="722"/>
      <c r="J345" s="735" t="s">
        <v>51</v>
      </c>
      <c r="K345" s="736"/>
      <c r="L345" s="727"/>
      <c r="M345" s="728"/>
      <c r="N345" s="626" t="s">
        <v>3367</v>
      </c>
      <c r="O345" s="626" t="s">
        <v>807</v>
      </c>
      <c r="P345" s="1400" t="s">
        <v>2856</v>
      </c>
    </row>
    <row r="346" spans="2:19" s="723" customFormat="1" ht="12" customHeight="1">
      <c r="B346" s="722"/>
      <c r="J346" s="735" t="s">
        <v>53</v>
      </c>
      <c r="K346" s="736"/>
      <c r="L346" s="727"/>
      <c r="M346" s="728"/>
      <c r="N346" s="737" t="s">
        <v>2637</v>
      </c>
      <c r="O346" s="737" t="s">
        <v>1898</v>
      </c>
      <c r="P346" s="626" t="s">
        <v>1086</v>
      </c>
    </row>
    <row r="347" spans="2:19" s="723" customFormat="1" ht="12" customHeight="1">
      <c r="B347" s="722"/>
      <c r="J347" s="735" t="s">
        <v>2630</v>
      </c>
      <c r="K347" s="736"/>
      <c r="L347" s="727"/>
      <c r="M347" s="728"/>
      <c r="N347" s="737" t="s">
        <v>2639</v>
      </c>
      <c r="O347" s="737" t="s">
        <v>1898</v>
      </c>
      <c r="P347" s="626" t="s">
        <v>1087</v>
      </c>
    </row>
    <row r="348" spans="2:19" s="723" customFormat="1" ht="12" customHeight="1">
      <c r="B348" s="722"/>
      <c r="J348" s="735" t="s">
        <v>2631</v>
      </c>
      <c r="K348" s="736"/>
      <c r="L348" s="727"/>
      <c r="M348" s="728"/>
      <c r="N348" s="737" t="s">
        <v>905</v>
      </c>
      <c r="O348" s="737" t="s">
        <v>127</v>
      </c>
      <c r="P348" s="626" t="s">
        <v>1088</v>
      </c>
    </row>
    <row r="349" spans="2:19" s="723" customFormat="1" ht="12" customHeight="1">
      <c r="B349" s="722"/>
      <c r="J349" s="735" t="s">
        <v>2633</v>
      </c>
      <c r="K349" s="736"/>
      <c r="L349" s="727"/>
      <c r="M349" s="728"/>
      <c r="N349" s="741" t="s">
        <v>877</v>
      </c>
      <c r="O349" s="737" t="s">
        <v>807</v>
      </c>
      <c r="P349" s="626" t="s">
        <v>1089</v>
      </c>
    </row>
    <row r="350" spans="2:19" s="723" customFormat="1" ht="12" customHeight="1">
      <c r="B350" s="722"/>
      <c r="J350" s="735" t="s">
        <v>2634</v>
      </c>
      <c r="K350" s="736"/>
      <c r="L350" s="727"/>
      <c r="M350" s="728"/>
      <c r="N350" s="737" t="s">
        <v>2635</v>
      </c>
      <c r="O350" s="737" t="s">
        <v>3265</v>
      </c>
      <c r="P350" s="626" t="s">
        <v>1090</v>
      </c>
    </row>
    <row r="351" spans="2:19" s="723" customFormat="1" ht="12" customHeight="1">
      <c r="B351" s="722"/>
      <c r="J351" s="735" t="s">
        <v>2636</v>
      </c>
      <c r="K351" s="736"/>
      <c r="L351" s="727"/>
      <c r="M351" s="728"/>
      <c r="N351" s="737" t="s">
        <v>1552</v>
      </c>
      <c r="O351" s="737" t="s">
        <v>1898</v>
      </c>
      <c r="P351" s="626" t="s">
        <v>1091</v>
      </c>
    </row>
    <row r="352" spans="2:19" s="723" customFormat="1" ht="12" customHeight="1">
      <c r="B352" s="722"/>
      <c r="J352" s="735" t="s">
        <v>2638</v>
      </c>
      <c r="K352" s="736"/>
      <c r="L352" s="727"/>
      <c r="M352" s="728"/>
      <c r="N352" s="737" t="s">
        <v>1554</v>
      </c>
      <c r="O352" s="737" t="s">
        <v>847</v>
      </c>
      <c r="P352" s="728" t="s">
        <v>1092</v>
      </c>
    </row>
    <row r="353" spans="2:16" s="723" customFormat="1" ht="12" customHeight="1">
      <c r="B353" s="722"/>
      <c r="J353" s="735" t="s">
        <v>904</v>
      </c>
      <c r="K353" s="736"/>
      <c r="L353" s="727"/>
      <c r="M353" s="728"/>
      <c r="N353" s="626" t="s">
        <v>3368</v>
      </c>
      <c r="O353" s="626" t="s">
        <v>2890</v>
      </c>
      <c r="P353" s="1400" t="s">
        <v>2856</v>
      </c>
    </row>
    <row r="354" spans="2:16" s="723" customFormat="1" ht="12" customHeight="1">
      <c r="B354" s="722"/>
      <c r="J354" s="735" t="s">
        <v>1551</v>
      </c>
      <c r="K354" s="736"/>
      <c r="L354" s="727"/>
      <c r="M354" s="728"/>
      <c r="N354" s="626" t="s">
        <v>3369</v>
      </c>
      <c r="O354" s="626" t="s">
        <v>3319</v>
      </c>
      <c r="P354" s="1400" t="s">
        <v>2856</v>
      </c>
    </row>
    <row r="355" spans="2:16" s="723" customFormat="1" ht="12" customHeight="1">
      <c r="B355" s="722"/>
      <c r="J355" s="735" t="s">
        <v>1553</v>
      </c>
      <c r="K355" s="736"/>
      <c r="L355" s="727"/>
      <c r="M355" s="728"/>
      <c r="N355" s="737" t="s">
        <v>1556</v>
      </c>
      <c r="O355" s="737" t="s">
        <v>1626</v>
      </c>
      <c r="P355" s="728" t="s">
        <v>1093</v>
      </c>
    </row>
    <row r="356" spans="2:16" s="723" customFormat="1" ht="12" customHeight="1">
      <c r="B356" s="722"/>
      <c r="J356" s="735" t="s">
        <v>1555</v>
      </c>
      <c r="K356" s="736"/>
      <c r="L356" s="727"/>
      <c r="M356" s="728"/>
      <c r="N356" s="737" t="s">
        <v>3300</v>
      </c>
      <c r="O356" s="737" t="s">
        <v>217</v>
      </c>
      <c r="P356" s="728" t="s">
        <v>1094</v>
      </c>
    </row>
    <row r="357" spans="2:16" s="723" customFormat="1" ht="12" customHeight="1">
      <c r="B357" s="722"/>
      <c r="J357" s="735" t="s">
        <v>3299</v>
      </c>
      <c r="K357" s="736"/>
      <c r="L357" s="727"/>
      <c r="M357" s="728"/>
      <c r="N357" s="737" t="s">
        <v>582</v>
      </c>
      <c r="O357" s="737" t="s">
        <v>1508</v>
      </c>
      <c r="P357" s="728" t="s">
        <v>1095</v>
      </c>
    </row>
    <row r="358" spans="2:16" s="723" customFormat="1" ht="12" customHeight="1">
      <c r="B358" s="722"/>
      <c r="J358" s="735" t="s">
        <v>3301</v>
      </c>
      <c r="K358" s="736"/>
      <c r="L358" s="727"/>
      <c r="M358" s="728"/>
      <c r="N358" s="737" t="s">
        <v>206</v>
      </c>
      <c r="O358" s="737" t="s">
        <v>849</v>
      </c>
      <c r="P358" s="728" t="s">
        <v>1096</v>
      </c>
    </row>
    <row r="359" spans="2:16" s="723" customFormat="1" ht="12" customHeight="1">
      <c r="B359" s="722"/>
      <c r="J359" s="735" t="s">
        <v>205</v>
      </c>
      <c r="K359" s="736"/>
      <c r="L359" s="727"/>
      <c r="M359" s="728"/>
      <c r="N359" s="737" t="s">
        <v>331</v>
      </c>
      <c r="O359" s="737" t="s">
        <v>1765</v>
      </c>
      <c r="P359" s="728" t="s">
        <v>1097</v>
      </c>
    </row>
    <row r="360" spans="2:16" s="723" customFormat="1" ht="12" customHeight="1">
      <c r="B360" s="722"/>
      <c r="J360" s="735" t="s">
        <v>207</v>
      </c>
      <c r="K360" s="736"/>
      <c r="L360" s="727"/>
      <c r="M360" s="728"/>
      <c r="N360" s="737" t="s">
        <v>2524</v>
      </c>
      <c r="O360" s="737" t="s">
        <v>1272</v>
      </c>
      <c r="P360" s="728" t="s">
        <v>1098</v>
      </c>
    </row>
    <row r="361" spans="2:16" s="723" customFormat="1" ht="12" customHeight="1">
      <c r="B361" s="722"/>
      <c r="J361" s="735" t="s">
        <v>2523</v>
      </c>
      <c r="K361" s="736"/>
      <c r="L361" s="727"/>
      <c r="M361" s="728"/>
      <c r="N361" s="737" t="s">
        <v>2526</v>
      </c>
      <c r="O361" s="737" t="s">
        <v>1518</v>
      </c>
      <c r="P361" s="728" t="s">
        <v>1099</v>
      </c>
    </row>
    <row r="362" spans="2:16" s="723" customFormat="1" ht="12" customHeight="1">
      <c r="B362" s="722"/>
      <c r="J362" s="735" t="s">
        <v>2525</v>
      </c>
      <c r="K362" s="736"/>
      <c r="L362" s="727"/>
      <c r="M362" s="728"/>
      <c r="N362" s="737" t="s">
        <v>2599</v>
      </c>
      <c r="O362" s="737" t="s">
        <v>3270</v>
      </c>
      <c r="P362" s="728" t="s">
        <v>1100</v>
      </c>
    </row>
    <row r="363" spans="2:16" s="723" customFormat="1" ht="12" customHeight="1">
      <c r="B363" s="722"/>
      <c r="J363" s="735" t="s">
        <v>2598</v>
      </c>
      <c r="K363" s="736"/>
      <c r="L363" s="727"/>
      <c r="M363" s="728"/>
      <c r="N363" s="737" t="s">
        <v>2602</v>
      </c>
      <c r="O363" s="737" t="s">
        <v>847</v>
      </c>
      <c r="P363" s="728" t="s">
        <v>1101</v>
      </c>
    </row>
    <row r="364" spans="2:16" s="723" customFormat="1" ht="12" customHeight="1">
      <c r="B364" s="722"/>
      <c r="J364" s="735" t="s">
        <v>2600</v>
      </c>
      <c r="K364" s="736"/>
      <c r="L364" s="727"/>
      <c r="M364" s="728"/>
      <c r="N364" s="737" t="s">
        <v>2604</v>
      </c>
      <c r="O364" s="737" t="s">
        <v>1747</v>
      </c>
      <c r="P364" s="728" t="s">
        <v>1102</v>
      </c>
    </row>
    <row r="365" spans="2:16" s="723" customFormat="1" ht="12" customHeight="1">
      <c r="B365" s="722"/>
      <c r="J365" s="735" t="s">
        <v>2601</v>
      </c>
      <c r="K365" s="736"/>
      <c r="L365" s="727"/>
      <c r="M365" s="728"/>
      <c r="N365" s="737" t="s">
        <v>2606</v>
      </c>
      <c r="O365" s="737" t="s">
        <v>1750</v>
      </c>
      <c r="P365" s="728" t="s">
        <v>1103</v>
      </c>
    </row>
    <row r="366" spans="2:16" s="723" customFormat="1" ht="12" customHeight="1">
      <c r="B366" s="722"/>
      <c r="J366" s="735" t="s">
        <v>2603</v>
      </c>
      <c r="K366" s="736"/>
      <c r="L366" s="727"/>
      <c r="M366" s="728"/>
      <c r="N366" s="737" t="s">
        <v>2642</v>
      </c>
      <c r="O366" s="737" t="s">
        <v>350</v>
      </c>
      <c r="P366" s="728" t="s">
        <v>1104</v>
      </c>
    </row>
    <row r="367" spans="2:16" s="723" customFormat="1" ht="12" customHeight="1">
      <c r="B367" s="722"/>
      <c r="J367" s="735" t="s">
        <v>2605</v>
      </c>
      <c r="K367" s="736"/>
      <c r="L367" s="727"/>
      <c r="M367" s="728"/>
      <c r="N367" s="737" t="s">
        <v>2645</v>
      </c>
      <c r="O367" s="737" t="s">
        <v>3383</v>
      </c>
      <c r="P367" s="728" t="s">
        <v>1105</v>
      </c>
    </row>
    <row r="368" spans="2:16" s="723" customFormat="1" ht="12" customHeight="1">
      <c r="B368" s="722"/>
      <c r="J368" s="735" t="s">
        <v>2641</v>
      </c>
      <c r="K368" s="736"/>
      <c r="L368" s="727"/>
      <c r="M368" s="728"/>
      <c r="N368" s="737" t="s">
        <v>2647</v>
      </c>
      <c r="O368" s="737" t="s">
        <v>1747</v>
      </c>
      <c r="P368" s="728" t="s">
        <v>1106</v>
      </c>
    </row>
    <row r="369" spans="2:16" s="723" customFormat="1" ht="12" customHeight="1">
      <c r="B369" s="722"/>
      <c r="J369" s="735" t="s">
        <v>2643</v>
      </c>
      <c r="K369" s="736"/>
      <c r="L369" s="727"/>
      <c r="M369" s="728"/>
      <c r="N369" s="626" t="s">
        <v>2971</v>
      </c>
      <c r="O369" s="626" t="s">
        <v>3316</v>
      </c>
      <c r="P369" s="1400" t="s">
        <v>2856</v>
      </c>
    </row>
    <row r="370" spans="2:16" s="723" customFormat="1" ht="12" customHeight="1">
      <c r="B370" s="722"/>
      <c r="J370" s="735" t="s">
        <v>2644</v>
      </c>
      <c r="K370" s="736"/>
      <c r="L370" s="727"/>
      <c r="M370" s="728"/>
      <c r="N370" s="626" t="s">
        <v>3370</v>
      </c>
      <c r="O370" s="626" t="s">
        <v>2890</v>
      </c>
      <c r="P370" s="1400" t="s">
        <v>2856</v>
      </c>
    </row>
    <row r="371" spans="2:16" s="723" customFormat="1" ht="12" customHeight="1">
      <c r="B371" s="722"/>
      <c r="J371" s="735" t="s">
        <v>2646</v>
      </c>
      <c r="K371" s="736"/>
      <c r="L371" s="727"/>
      <c r="M371" s="728"/>
      <c r="N371" s="626" t="s">
        <v>3371</v>
      </c>
      <c r="O371" s="626" t="s">
        <v>3267</v>
      </c>
      <c r="P371" s="1400" t="s">
        <v>2856</v>
      </c>
    </row>
    <row r="372" spans="2:16" s="723" customFormat="1" ht="12" customHeight="1">
      <c r="B372" s="722"/>
      <c r="J372" s="735" t="s">
        <v>2648</v>
      </c>
      <c r="K372" s="736"/>
      <c r="L372" s="727"/>
      <c r="M372" s="728"/>
      <c r="N372" s="737" t="s">
        <v>455</v>
      </c>
      <c r="O372" s="737" t="s">
        <v>1626</v>
      </c>
      <c r="P372" s="728" t="s">
        <v>1107</v>
      </c>
    </row>
    <row r="373" spans="2:16" s="723" customFormat="1" ht="12" customHeight="1">
      <c r="B373" s="722"/>
      <c r="J373" s="735" t="s">
        <v>454</v>
      </c>
      <c r="K373" s="736"/>
      <c r="L373" s="727"/>
      <c r="M373" s="728"/>
      <c r="N373" s="737" t="s">
        <v>248</v>
      </c>
      <c r="O373" s="737" t="s">
        <v>852</v>
      </c>
      <c r="P373" s="728" t="s">
        <v>1108</v>
      </c>
    </row>
    <row r="374" spans="2:16" s="723" customFormat="1" ht="12" customHeight="1">
      <c r="B374" s="722"/>
      <c r="J374" s="735" t="s">
        <v>140</v>
      </c>
      <c r="K374" s="736"/>
      <c r="L374" s="727"/>
      <c r="M374" s="728"/>
      <c r="N374" s="626" t="s">
        <v>3372</v>
      </c>
      <c r="O374" s="626" t="s">
        <v>2718</v>
      </c>
      <c r="P374" s="1400" t="s">
        <v>2856</v>
      </c>
    </row>
    <row r="375" spans="2:16" s="723" customFormat="1" ht="12" customHeight="1">
      <c r="B375" s="722"/>
      <c r="J375" s="735" t="s">
        <v>2363</v>
      </c>
      <c r="K375" s="736"/>
      <c r="L375" s="727"/>
      <c r="M375" s="728"/>
      <c r="N375" s="737" t="s">
        <v>2364</v>
      </c>
      <c r="O375" s="737" t="s">
        <v>3265</v>
      </c>
      <c r="P375" s="728" t="s">
        <v>1109</v>
      </c>
    </row>
    <row r="376" spans="2:16" s="723" customFormat="1" ht="12" customHeight="1">
      <c r="B376" s="722"/>
      <c r="J376" s="735" t="s">
        <v>2441</v>
      </c>
      <c r="K376" s="736"/>
      <c r="L376" s="727"/>
      <c r="M376" s="728"/>
      <c r="N376" s="737" t="s">
        <v>3006</v>
      </c>
      <c r="O376" s="737" t="s">
        <v>842</v>
      </c>
      <c r="P376" s="728" t="s">
        <v>1110</v>
      </c>
    </row>
    <row r="377" spans="2:16" s="723" customFormat="1" ht="12" customHeight="1">
      <c r="B377" s="722"/>
      <c r="J377" s="735" t="s">
        <v>3005</v>
      </c>
      <c r="K377" s="736"/>
      <c r="L377" s="727"/>
      <c r="M377" s="728"/>
      <c r="N377" s="737" t="s">
        <v>3008</v>
      </c>
      <c r="O377" s="737" t="s">
        <v>1748</v>
      </c>
      <c r="P377" s="728" t="s">
        <v>1111</v>
      </c>
    </row>
    <row r="378" spans="2:16" s="723" customFormat="1" ht="12" customHeight="1">
      <c r="B378" s="722"/>
      <c r="J378" s="735" t="s">
        <v>3007</v>
      </c>
      <c r="K378" s="736"/>
      <c r="L378" s="727"/>
      <c r="M378" s="728"/>
      <c r="N378" s="737" t="s">
        <v>1392</v>
      </c>
      <c r="O378" s="737" t="s">
        <v>1901</v>
      </c>
      <c r="P378" s="728" t="s">
        <v>1112</v>
      </c>
    </row>
    <row r="379" spans="2:16" s="723" customFormat="1" ht="12" customHeight="1">
      <c r="B379" s="722"/>
      <c r="J379" s="735" t="s">
        <v>1391</v>
      </c>
      <c r="K379" s="736"/>
      <c r="L379" s="727"/>
      <c r="M379" s="728"/>
      <c r="N379" s="737" t="s">
        <v>741</v>
      </c>
      <c r="O379" s="737" t="s">
        <v>1764</v>
      </c>
      <c r="P379" s="728" t="s">
        <v>1113</v>
      </c>
    </row>
    <row r="380" spans="2:16" s="723" customFormat="1" ht="12" customHeight="1">
      <c r="B380" s="722"/>
      <c r="J380" s="735" t="s">
        <v>862</v>
      </c>
      <c r="K380" s="736"/>
      <c r="L380" s="727"/>
      <c r="M380" s="728"/>
      <c r="N380" s="737" t="s">
        <v>859</v>
      </c>
      <c r="O380" s="737" t="s">
        <v>343</v>
      </c>
      <c r="P380" s="728" t="s">
        <v>1114</v>
      </c>
    </row>
    <row r="381" spans="2:16" s="723" customFormat="1" ht="12" customHeight="1">
      <c r="B381" s="722"/>
      <c r="J381" s="735" t="s">
        <v>740</v>
      </c>
      <c r="K381" s="736"/>
      <c r="L381" s="727"/>
      <c r="M381" s="728"/>
      <c r="N381" s="737" t="s">
        <v>3147</v>
      </c>
      <c r="O381" s="737" t="s">
        <v>173</v>
      </c>
      <c r="P381" s="728" t="s">
        <v>1115</v>
      </c>
    </row>
    <row r="382" spans="2:16" s="723" customFormat="1" ht="12" customHeight="1">
      <c r="B382" s="722"/>
      <c r="J382" s="735" t="s">
        <v>858</v>
      </c>
      <c r="K382" s="736"/>
      <c r="L382" s="727"/>
      <c r="M382" s="728"/>
      <c r="N382" s="737" t="s">
        <v>241</v>
      </c>
      <c r="O382" s="737" t="s">
        <v>3264</v>
      </c>
      <c r="P382" s="728" t="s">
        <v>1116</v>
      </c>
    </row>
    <row r="383" spans="2:16" s="723" customFormat="1" ht="12" customHeight="1">
      <c r="B383" s="722"/>
      <c r="J383" s="735" t="s">
        <v>3146</v>
      </c>
      <c r="K383" s="736"/>
      <c r="L383" s="727"/>
      <c r="M383" s="728"/>
      <c r="N383" s="737" t="s">
        <v>844</v>
      </c>
      <c r="O383" s="737" t="s">
        <v>2237</v>
      </c>
      <c r="P383" s="728" t="s">
        <v>1117</v>
      </c>
    </row>
    <row r="384" spans="2:16" s="723" customFormat="1" ht="12" customHeight="1">
      <c r="B384" s="722"/>
      <c r="J384" s="735" t="s">
        <v>240</v>
      </c>
      <c r="K384" s="736"/>
      <c r="L384" s="727"/>
      <c r="M384" s="728"/>
      <c r="N384" s="737" t="s">
        <v>3117</v>
      </c>
      <c r="O384" s="737" t="s">
        <v>3262</v>
      </c>
      <c r="P384" s="728" t="s">
        <v>1118</v>
      </c>
    </row>
    <row r="385" spans="2:16" s="723" customFormat="1" ht="12" customHeight="1">
      <c r="B385" s="722"/>
      <c r="J385" s="735" t="s">
        <v>1171</v>
      </c>
      <c r="K385" s="736"/>
      <c r="L385" s="727"/>
      <c r="M385" s="728"/>
      <c r="N385" s="737" t="s">
        <v>253</v>
      </c>
      <c r="O385" s="737" t="s">
        <v>1976</v>
      </c>
      <c r="P385" s="728" t="s">
        <v>1119</v>
      </c>
    </row>
    <row r="386" spans="2:16" s="723" customFormat="1" ht="12" customHeight="1">
      <c r="B386" s="722"/>
      <c r="J386" s="735" t="s">
        <v>1172</v>
      </c>
      <c r="K386" s="736"/>
      <c r="L386" s="727"/>
      <c r="M386" s="728"/>
      <c r="N386" s="626" t="s">
        <v>1452</v>
      </c>
      <c r="O386" s="626" t="s">
        <v>1901</v>
      </c>
      <c r="P386" s="1400" t="s">
        <v>2856</v>
      </c>
    </row>
    <row r="387" spans="2:16" s="723" customFormat="1" ht="12" customHeight="1">
      <c r="B387" s="722"/>
      <c r="J387" s="735" t="s">
        <v>252</v>
      </c>
      <c r="K387" s="736"/>
      <c r="L387" s="727"/>
      <c r="M387" s="728"/>
      <c r="N387" s="737" t="s">
        <v>255</v>
      </c>
      <c r="O387" s="737" t="s">
        <v>1498</v>
      </c>
      <c r="P387" s="728" t="s">
        <v>1120</v>
      </c>
    </row>
    <row r="388" spans="2:16" s="723" customFormat="1" ht="12" customHeight="1">
      <c r="B388" s="722"/>
      <c r="J388" s="735" t="s">
        <v>254</v>
      </c>
      <c r="K388" s="736"/>
      <c r="L388" s="727"/>
      <c r="M388" s="728"/>
      <c r="N388" s="737" t="s">
        <v>845</v>
      </c>
      <c r="O388" s="737" t="s">
        <v>350</v>
      </c>
      <c r="P388" s="728" t="s">
        <v>1121</v>
      </c>
    </row>
    <row r="389" spans="2:16" s="723" customFormat="1" ht="12" customHeight="1">
      <c r="B389" s="722"/>
      <c r="J389" s="735" t="s">
        <v>256</v>
      </c>
      <c r="K389" s="736"/>
      <c r="L389" s="727"/>
      <c r="M389" s="728"/>
      <c r="N389" s="737" t="s">
        <v>1179</v>
      </c>
      <c r="O389" s="737" t="s">
        <v>845</v>
      </c>
      <c r="P389" s="728" t="s">
        <v>1122</v>
      </c>
    </row>
    <row r="390" spans="2:16" s="723" customFormat="1" ht="12" customHeight="1">
      <c r="B390" s="722"/>
      <c r="J390" s="735" t="s">
        <v>1177</v>
      </c>
      <c r="K390" s="736"/>
      <c r="L390" s="727"/>
      <c r="M390" s="728"/>
      <c r="N390" s="737" t="s">
        <v>1639</v>
      </c>
      <c r="O390" s="737" t="s">
        <v>3270</v>
      </c>
      <c r="P390" s="728" t="s">
        <v>1123</v>
      </c>
    </row>
    <row r="391" spans="2:16" s="723" customFormat="1" ht="12" customHeight="1">
      <c r="B391" s="722"/>
      <c r="J391" s="735" t="s">
        <v>1178</v>
      </c>
      <c r="K391" s="736"/>
      <c r="L391" s="727"/>
      <c r="M391" s="728"/>
      <c r="N391" s="737" t="s">
        <v>1641</v>
      </c>
      <c r="O391" s="737" t="s">
        <v>343</v>
      </c>
      <c r="P391" s="728" t="s">
        <v>1124</v>
      </c>
    </row>
    <row r="392" spans="2:16" s="723" customFormat="1" ht="12" customHeight="1">
      <c r="B392" s="722"/>
      <c r="J392" s="735" t="s">
        <v>1180</v>
      </c>
      <c r="K392" s="736"/>
      <c r="L392" s="727"/>
      <c r="M392" s="728"/>
      <c r="N392" s="737" t="s">
        <v>1643</v>
      </c>
      <c r="O392" s="737" t="s">
        <v>175</v>
      </c>
      <c r="P392" s="728" t="s">
        <v>1643</v>
      </c>
    </row>
    <row r="393" spans="2:16" s="723" customFormat="1" ht="12" customHeight="1">
      <c r="B393" s="722"/>
      <c r="J393" s="735" t="s">
        <v>2013</v>
      </c>
      <c r="K393" s="736"/>
      <c r="L393" s="727"/>
      <c r="M393" s="728"/>
      <c r="N393" s="737" t="s">
        <v>1294</v>
      </c>
      <c r="O393" s="737" t="s">
        <v>2969</v>
      </c>
      <c r="P393" s="728" t="s">
        <v>1125</v>
      </c>
    </row>
    <row r="394" spans="2:16" s="723" customFormat="1" ht="12" customHeight="1">
      <c r="B394" s="722"/>
      <c r="J394" s="735" t="s">
        <v>1640</v>
      </c>
      <c r="K394" s="736"/>
      <c r="L394" s="727"/>
      <c r="M394" s="728"/>
      <c r="N394" s="737" t="s">
        <v>3243</v>
      </c>
      <c r="O394" s="737" t="s">
        <v>2585</v>
      </c>
      <c r="P394" s="728" t="s">
        <v>1126</v>
      </c>
    </row>
    <row r="395" spans="2:16" s="723" customFormat="1" ht="12" customHeight="1">
      <c r="B395" s="722"/>
      <c r="J395" s="735" t="s">
        <v>1642</v>
      </c>
      <c r="K395" s="736"/>
      <c r="L395" s="727"/>
      <c r="M395" s="728"/>
      <c r="N395" s="737" t="s">
        <v>1297</v>
      </c>
      <c r="O395" s="737" t="s">
        <v>2897</v>
      </c>
      <c r="P395" s="728" t="s">
        <v>1127</v>
      </c>
    </row>
    <row r="396" spans="2:16" s="723" customFormat="1" ht="12" customHeight="1">
      <c r="B396" s="722"/>
      <c r="J396" s="735" t="s">
        <v>1293</v>
      </c>
      <c r="K396" s="736"/>
      <c r="L396" s="727"/>
      <c r="M396" s="728"/>
      <c r="N396" s="737" t="s">
        <v>1299</v>
      </c>
      <c r="O396" s="737" t="s">
        <v>1510</v>
      </c>
      <c r="P396" s="1399" t="s">
        <v>1217</v>
      </c>
    </row>
    <row r="397" spans="2:16" s="723" customFormat="1" ht="12" customHeight="1">
      <c r="B397" s="722"/>
      <c r="J397" s="735" t="s">
        <v>3242</v>
      </c>
      <c r="K397" s="736"/>
      <c r="L397" s="727"/>
      <c r="M397" s="728"/>
      <c r="N397" s="737" t="s">
        <v>1301</v>
      </c>
      <c r="O397" s="737" t="s">
        <v>849</v>
      </c>
      <c r="P397" s="728" t="s">
        <v>1128</v>
      </c>
    </row>
    <row r="398" spans="2:16" s="723" customFormat="1" ht="12" customHeight="1">
      <c r="B398" s="722"/>
      <c r="J398" s="735" t="s">
        <v>1296</v>
      </c>
      <c r="K398" s="736"/>
      <c r="L398" s="727"/>
      <c r="M398" s="728"/>
      <c r="N398" s="737" t="s">
        <v>1303</v>
      </c>
      <c r="O398" s="737" t="s">
        <v>343</v>
      </c>
      <c r="P398" s="728" t="s">
        <v>1129</v>
      </c>
    </row>
    <row r="399" spans="2:16" s="723" customFormat="1" ht="12" customHeight="1">
      <c r="B399" s="722"/>
      <c r="J399" s="735" t="s">
        <v>1298</v>
      </c>
      <c r="K399" s="736"/>
      <c r="L399" s="727"/>
      <c r="M399" s="728"/>
      <c r="N399" s="737" t="s">
        <v>1305</v>
      </c>
      <c r="O399" s="737" t="s">
        <v>1762</v>
      </c>
      <c r="P399" s="728" t="s">
        <v>1130</v>
      </c>
    </row>
    <row r="400" spans="2:16" s="723" customFormat="1" ht="12" customHeight="1">
      <c r="B400" s="722"/>
      <c r="J400" s="735" t="s">
        <v>1300</v>
      </c>
      <c r="K400" s="736"/>
      <c r="L400" s="727"/>
      <c r="M400" s="728"/>
      <c r="N400" s="737" t="s">
        <v>865</v>
      </c>
      <c r="O400" s="737" t="s">
        <v>2901</v>
      </c>
      <c r="P400" s="728" t="s">
        <v>1131</v>
      </c>
    </row>
    <row r="401" spans="2:16" s="723" customFormat="1" ht="12" customHeight="1">
      <c r="B401" s="722"/>
      <c r="J401" s="735" t="s">
        <v>1302</v>
      </c>
      <c r="K401" s="736"/>
      <c r="L401" s="727"/>
      <c r="M401" s="728"/>
      <c r="N401" s="737" t="s">
        <v>59</v>
      </c>
      <c r="O401" s="737" t="s">
        <v>118</v>
      </c>
      <c r="P401" s="728" t="s">
        <v>1132</v>
      </c>
    </row>
    <row r="402" spans="2:16" s="723" customFormat="1" ht="12" customHeight="1">
      <c r="B402" s="722"/>
      <c r="J402" s="735" t="s">
        <v>1304</v>
      </c>
      <c r="K402" s="736"/>
      <c r="L402" s="727"/>
      <c r="M402" s="728"/>
      <c r="N402" s="737" t="s">
        <v>1358</v>
      </c>
      <c r="O402" s="737" t="s">
        <v>2719</v>
      </c>
      <c r="P402" s="728" t="s">
        <v>1133</v>
      </c>
    </row>
    <row r="403" spans="2:16" s="723" customFormat="1" ht="12" customHeight="1">
      <c r="B403" s="722"/>
      <c r="J403" s="735" t="s">
        <v>864</v>
      </c>
      <c r="K403" s="736"/>
      <c r="L403" s="727"/>
      <c r="M403" s="728"/>
      <c r="N403" s="737" t="s">
        <v>852</v>
      </c>
      <c r="O403" s="737" t="s">
        <v>3158</v>
      </c>
      <c r="P403" s="728" t="s">
        <v>1134</v>
      </c>
    </row>
    <row r="404" spans="2:16" s="723" customFormat="1" ht="12" customHeight="1">
      <c r="B404" s="722"/>
      <c r="J404" s="735" t="s">
        <v>58</v>
      </c>
      <c r="K404" s="736"/>
      <c r="L404" s="727"/>
      <c r="M404" s="728"/>
      <c r="N404" s="737" t="s">
        <v>1399</v>
      </c>
      <c r="O404" s="737" t="s">
        <v>1630</v>
      </c>
      <c r="P404" s="728" t="s">
        <v>1135</v>
      </c>
    </row>
    <row r="405" spans="2:16" s="723" customFormat="1" ht="12" customHeight="1">
      <c r="B405" s="722"/>
      <c r="J405" s="735" t="s">
        <v>1357</v>
      </c>
      <c r="K405" s="736"/>
      <c r="L405" s="727"/>
      <c r="M405" s="728"/>
      <c r="N405" s="737" t="s">
        <v>1401</v>
      </c>
      <c r="O405" s="737" t="s">
        <v>3319</v>
      </c>
      <c r="P405" s="728" t="s">
        <v>1136</v>
      </c>
    </row>
    <row r="406" spans="2:16" s="723" customFormat="1" ht="12" customHeight="1">
      <c r="B406" s="722"/>
      <c r="J406" s="735" t="s">
        <v>2434</v>
      </c>
      <c r="K406" s="736"/>
      <c r="L406" s="727"/>
      <c r="M406" s="728"/>
      <c r="N406" s="737" t="s">
        <v>1380</v>
      </c>
      <c r="O406" s="737" t="s">
        <v>549</v>
      </c>
      <c r="P406" s="728" t="s">
        <v>1137</v>
      </c>
    </row>
    <row r="407" spans="2:16" s="723" customFormat="1" ht="12" customHeight="1">
      <c r="B407" s="722"/>
      <c r="J407" s="735" t="s">
        <v>1397</v>
      </c>
      <c r="K407" s="736"/>
      <c r="L407" s="727"/>
      <c r="M407" s="728"/>
      <c r="N407" s="737" t="s">
        <v>1382</v>
      </c>
      <c r="O407" s="737" t="s">
        <v>127</v>
      </c>
      <c r="P407" s="728" t="s">
        <v>1138</v>
      </c>
    </row>
    <row r="408" spans="2:16" s="723" customFormat="1" ht="12" customHeight="1">
      <c r="B408" s="722"/>
      <c r="J408" s="735" t="s">
        <v>1398</v>
      </c>
      <c r="K408" s="736"/>
      <c r="L408" s="727"/>
      <c r="M408" s="728"/>
      <c r="N408" s="737" t="s">
        <v>1384</v>
      </c>
      <c r="O408" s="737" t="s">
        <v>856</v>
      </c>
      <c r="P408" s="728" t="s">
        <v>1139</v>
      </c>
    </row>
    <row r="409" spans="2:16" s="723" customFormat="1" ht="12" customHeight="1">
      <c r="B409" s="722"/>
      <c r="J409" s="735" t="s">
        <v>1400</v>
      </c>
      <c r="K409" s="736"/>
      <c r="L409" s="727"/>
      <c r="M409" s="728"/>
      <c r="N409" s="737" t="s">
        <v>1386</v>
      </c>
      <c r="O409" s="737" t="s">
        <v>2585</v>
      </c>
      <c r="P409" s="728" t="s">
        <v>1140</v>
      </c>
    </row>
    <row r="410" spans="2:16" s="723" customFormat="1" ht="12" customHeight="1">
      <c r="B410" s="722"/>
      <c r="J410" s="735" t="s">
        <v>1379</v>
      </c>
      <c r="K410" s="736"/>
      <c r="L410" s="727"/>
      <c r="M410" s="728"/>
      <c r="N410" s="626" t="s">
        <v>1453</v>
      </c>
      <c r="O410" s="626" t="s">
        <v>807</v>
      </c>
      <c r="P410" s="1400" t="s">
        <v>2856</v>
      </c>
    </row>
    <row r="411" spans="2:16" s="723" customFormat="1" ht="12" customHeight="1">
      <c r="B411" s="722"/>
      <c r="J411" s="735" t="s">
        <v>1381</v>
      </c>
      <c r="K411" s="736"/>
      <c r="L411" s="727"/>
      <c r="M411" s="728"/>
      <c r="N411" s="737" t="s">
        <v>745</v>
      </c>
      <c r="O411" s="737" t="s">
        <v>2890</v>
      </c>
      <c r="P411" s="728" t="s">
        <v>1141</v>
      </c>
    </row>
    <row r="412" spans="2:16" s="723" customFormat="1" ht="12" customHeight="1">
      <c r="B412" s="722"/>
      <c r="J412" s="735" t="s">
        <v>1383</v>
      </c>
      <c r="K412" s="736"/>
      <c r="L412" s="727"/>
      <c r="M412" s="728"/>
      <c r="N412" s="737" t="s">
        <v>406</v>
      </c>
      <c r="O412" s="737" t="s">
        <v>3316</v>
      </c>
      <c r="P412" s="728" t="s">
        <v>1142</v>
      </c>
    </row>
    <row r="413" spans="2:16" s="723" customFormat="1" ht="12" customHeight="1">
      <c r="B413" s="722"/>
      <c r="J413" s="735" t="s">
        <v>1385</v>
      </c>
      <c r="K413" s="736"/>
      <c r="L413" s="727"/>
      <c r="M413" s="728"/>
      <c r="N413" s="737" t="s">
        <v>408</v>
      </c>
      <c r="O413" s="737" t="s">
        <v>1901</v>
      </c>
      <c r="P413" s="728" t="s">
        <v>1143</v>
      </c>
    </row>
    <row r="414" spans="2:16" s="723" customFormat="1" ht="12" customHeight="1">
      <c r="B414" s="722"/>
      <c r="J414" s="735" t="s">
        <v>744</v>
      </c>
      <c r="K414" s="736"/>
      <c r="L414" s="727"/>
      <c r="M414" s="728"/>
      <c r="N414" s="626" t="s">
        <v>1454</v>
      </c>
      <c r="O414" s="626" t="s">
        <v>2619</v>
      </c>
      <c r="P414" s="1400" t="s">
        <v>2856</v>
      </c>
    </row>
    <row r="415" spans="2:16" s="723" customFormat="1" ht="12" customHeight="1">
      <c r="B415" s="722"/>
      <c r="J415" s="735" t="s">
        <v>405</v>
      </c>
      <c r="K415" s="736"/>
      <c r="L415" s="727"/>
      <c r="M415" s="728"/>
      <c r="N415" s="737" t="s">
        <v>410</v>
      </c>
      <c r="O415" s="737" t="s">
        <v>1271</v>
      </c>
      <c r="P415" s="728" t="s">
        <v>1144</v>
      </c>
    </row>
    <row r="416" spans="2:16" s="723" customFormat="1" ht="12" customHeight="1">
      <c r="B416" s="722"/>
      <c r="J416" s="735" t="s">
        <v>407</v>
      </c>
      <c r="K416" s="736"/>
      <c r="L416" s="727"/>
      <c r="M416" s="728"/>
      <c r="N416" s="737" t="s">
        <v>1856</v>
      </c>
      <c r="O416" s="737" t="s">
        <v>2971</v>
      </c>
      <c r="P416" s="728" t="s">
        <v>1145</v>
      </c>
    </row>
    <row r="417" spans="2:16" s="723" customFormat="1" ht="12" customHeight="1">
      <c r="B417" s="722"/>
      <c r="J417" s="735" t="s">
        <v>409</v>
      </c>
      <c r="K417" s="736"/>
      <c r="L417" s="727"/>
      <c r="M417" s="728"/>
      <c r="N417" s="737" t="s">
        <v>2058</v>
      </c>
      <c r="O417" s="737" t="s">
        <v>192</v>
      </c>
      <c r="P417" s="728" t="s">
        <v>1146</v>
      </c>
    </row>
    <row r="418" spans="2:16" s="723" customFormat="1" ht="12" customHeight="1">
      <c r="B418" s="722"/>
      <c r="J418" s="735" t="s">
        <v>775</v>
      </c>
      <c r="K418" s="736"/>
      <c r="L418" s="727"/>
      <c r="M418" s="728"/>
      <c r="N418" s="737" t="s">
        <v>1408</v>
      </c>
      <c r="O418" s="737" t="s">
        <v>347</v>
      </c>
      <c r="P418" s="728" t="s">
        <v>1147</v>
      </c>
    </row>
    <row r="419" spans="2:16" s="723" customFormat="1" ht="12" customHeight="1">
      <c r="B419" s="722"/>
      <c r="J419" s="735" t="s">
        <v>1855</v>
      </c>
      <c r="K419" s="736"/>
      <c r="L419" s="727"/>
      <c r="M419" s="728"/>
      <c r="N419" s="737" t="s">
        <v>1410</v>
      </c>
      <c r="O419" s="737" t="s">
        <v>351</v>
      </c>
      <c r="P419" s="728" t="s">
        <v>1148</v>
      </c>
    </row>
    <row r="420" spans="2:16" s="723" customFormat="1" ht="12" customHeight="1">
      <c r="B420" s="722"/>
      <c r="J420" s="735" t="s">
        <v>2057</v>
      </c>
      <c r="K420" s="736"/>
      <c r="L420" s="727"/>
      <c r="M420" s="728"/>
      <c r="N420" s="626" t="s">
        <v>1455</v>
      </c>
      <c r="O420" s="626" t="s">
        <v>2716</v>
      </c>
      <c r="P420" s="1400" t="s">
        <v>2856</v>
      </c>
    </row>
    <row r="421" spans="2:16" s="723" customFormat="1" ht="12" customHeight="1">
      <c r="B421" s="722"/>
      <c r="J421" s="735" t="s">
        <v>1407</v>
      </c>
      <c r="K421" s="736"/>
      <c r="L421" s="727"/>
      <c r="M421" s="728"/>
      <c r="N421" s="737" t="s">
        <v>1412</v>
      </c>
      <c r="O421" s="737" t="s">
        <v>1626</v>
      </c>
      <c r="P421" s="728" t="s">
        <v>2245</v>
      </c>
    </row>
    <row r="422" spans="2:16" s="723" customFormat="1" ht="12" customHeight="1">
      <c r="B422" s="722"/>
      <c r="J422" s="735" t="s">
        <v>1409</v>
      </c>
      <c r="K422" s="736"/>
      <c r="L422" s="727"/>
      <c r="M422" s="728"/>
      <c r="N422" s="737" t="s">
        <v>346</v>
      </c>
      <c r="O422" s="737" t="s">
        <v>3319</v>
      </c>
      <c r="P422" s="728" t="s">
        <v>2246</v>
      </c>
    </row>
    <row r="423" spans="2:16" s="723" customFormat="1" ht="12" customHeight="1">
      <c r="B423" s="722"/>
      <c r="J423" s="735" t="s">
        <v>1411</v>
      </c>
      <c r="K423" s="736"/>
      <c r="L423" s="727"/>
      <c r="M423" s="728"/>
      <c r="N423" s="737" t="s">
        <v>2368</v>
      </c>
      <c r="O423" s="737" t="s">
        <v>3316</v>
      </c>
      <c r="P423" s="728" t="s">
        <v>2247</v>
      </c>
    </row>
    <row r="424" spans="2:16" s="723" customFormat="1" ht="12" customHeight="1">
      <c r="B424" s="722"/>
      <c r="J424" s="735" t="s">
        <v>2365</v>
      </c>
      <c r="K424" s="736"/>
      <c r="L424" s="727"/>
      <c r="M424" s="728"/>
      <c r="N424" s="737" t="s">
        <v>1257</v>
      </c>
      <c r="O424" s="737" t="s">
        <v>112</v>
      </c>
      <c r="P424" s="728" t="s">
        <v>2248</v>
      </c>
    </row>
    <row r="425" spans="2:16" s="723" customFormat="1" ht="12" customHeight="1">
      <c r="B425" s="722"/>
      <c r="J425" s="735" t="s">
        <v>2366</v>
      </c>
      <c r="K425" s="736"/>
      <c r="L425" s="727"/>
      <c r="M425" s="728"/>
      <c r="N425" s="737" t="s">
        <v>1259</v>
      </c>
      <c r="O425" s="737" t="s">
        <v>348</v>
      </c>
      <c r="P425" s="728" t="s">
        <v>2249</v>
      </c>
    </row>
    <row r="426" spans="2:16" s="723" customFormat="1" ht="12" customHeight="1">
      <c r="B426" s="722"/>
      <c r="J426" s="735" t="s">
        <v>2367</v>
      </c>
      <c r="K426" s="736"/>
      <c r="L426" s="727"/>
      <c r="M426" s="728"/>
      <c r="N426" s="737" t="s">
        <v>2433</v>
      </c>
      <c r="O426" s="737" t="s">
        <v>1506</v>
      </c>
      <c r="P426" s="728" t="s">
        <v>2250</v>
      </c>
    </row>
    <row r="427" spans="2:16" s="723" customFormat="1" ht="12" customHeight="1">
      <c r="B427" s="722"/>
      <c r="J427" s="735" t="s">
        <v>1256</v>
      </c>
      <c r="K427" s="736"/>
      <c r="L427" s="727"/>
      <c r="M427" s="728"/>
      <c r="N427" s="737" t="s">
        <v>810</v>
      </c>
      <c r="O427" s="737" t="s">
        <v>358</v>
      </c>
      <c r="P427" s="728" t="s">
        <v>2251</v>
      </c>
    </row>
    <row r="428" spans="2:16" s="723" customFormat="1" ht="12" customHeight="1">
      <c r="B428" s="722"/>
      <c r="J428" s="735" t="s">
        <v>1258</v>
      </c>
      <c r="K428" s="736"/>
      <c r="L428" s="727"/>
      <c r="M428" s="728"/>
      <c r="N428" s="737" t="s">
        <v>2414</v>
      </c>
      <c r="O428" s="737" t="s">
        <v>120</v>
      </c>
      <c r="P428" s="728" t="s">
        <v>2252</v>
      </c>
    </row>
    <row r="429" spans="2:16" s="723" customFormat="1" ht="12" customHeight="1">
      <c r="B429" s="722"/>
      <c r="J429" s="735" t="s">
        <v>1260</v>
      </c>
      <c r="K429" s="736"/>
      <c r="L429" s="727"/>
      <c r="M429" s="728"/>
      <c r="N429" s="737" t="s">
        <v>3015</v>
      </c>
      <c r="O429" s="737" t="s">
        <v>1265</v>
      </c>
      <c r="P429" s="728" t="s">
        <v>2253</v>
      </c>
    </row>
    <row r="430" spans="2:16" s="723" customFormat="1" ht="12" customHeight="1">
      <c r="B430" s="722"/>
      <c r="J430" s="735" t="s">
        <v>555</v>
      </c>
      <c r="K430" s="736"/>
      <c r="L430" s="727"/>
      <c r="M430" s="728"/>
      <c r="N430" s="737" t="s">
        <v>2715</v>
      </c>
      <c r="O430" s="737" t="s">
        <v>1516</v>
      </c>
      <c r="P430" s="728" t="s">
        <v>2254</v>
      </c>
    </row>
    <row r="431" spans="2:16" s="723" customFormat="1" ht="12" customHeight="1">
      <c r="B431" s="722"/>
      <c r="J431" s="735" t="s">
        <v>2413</v>
      </c>
      <c r="K431" s="736"/>
      <c r="L431" s="727"/>
      <c r="M431" s="728"/>
      <c r="N431" s="737" t="s">
        <v>1436</v>
      </c>
      <c r="O431" s="737" t="s">
        <v>2619</v>
      </c>
      <c r="P431" s="728" t="s">
        <v>2255</v>
      </c>
    </row>
    <row r="432" spans="2:16" s="723" customFormat="1" ht="12" customHeight="1">
      <c r="B432" s="722"/>
      <c r="J432" s="735" t="s">
        <v>3014</v>
      </c>
      <c r="K432" s="736"/>
      <c r="L432" s="727"/>
      <c r="M432" s="728"/>
      <c r="N432" s="737" t="s">
        <v>447</v>
      </c>
      <c r="O432" s="737" t="s">
        <v>201</v>
      </c>
      <c r="P432" s="728" t="s">
        <v>2256</v>
      </c>
    </row>
    <row r="433" spans="2:16" s="723" customFormat="1" ht="12" customHeight="1">
      <c r="B433" s="722"/>
      <c r="J433" s="735" t="s">
        <v>2714</v>
      </c>
      <c r="K433" s="736"/>
      <c r="L433" s="727"/>
      <c r="M433" s="728"/>
      <c r="N433" s="626" t="s">
        <v>1456</v>
      </c>
      <c r="O433" s="626" t="s">
        <v>1503</v>
      </c>
      <c r="P433" s="1400" t="s">
        <v>2856</v>
      </c>
    </row>
    <row r="434" spans="2:16" s="723" customFormat="1" ht="12" customHeight="1">
      <c r="B434" s="722"/>
      <c r="J434" s="735" t="s">
        <v>1435</v>
      </c>
      <c r="K434" s="736"/>
      <c r="L434" s="727"/>
      <c r="M434" s="728"/>
      <c r="N434" s="737" t="s">
        <v>450</v>
      </c>
      <c r="O434" s="737" t="s">
        <v>2886</v>
      </c>
      <c r="P434" s="728" t="s">
        <v>2257</v>
      </c>
    </row>
    <row r="435" spans="2:16" s="723" customFormat="1" ht="12" customHeight="1">
      <c r="B435" s="722"/>
      <c r="J435" s="735" t="s">
        <v>446</v>
      </c>
      <c r="K435" s="736"/>
      <c r="L435" s="727"/>
      <c r="M435" s="728"/>
      <c r="N435" s="737" t="s">
        <v>2653</v>
      </c>
      <c r="O435" s="737" t="s">
        <v>1901</v>
      </c>
      <c r="P435" s="728" t="s">
        <v>2258</v>
      </c>
    </row>
    <row r="436" spans="2:16" s="723" customFormat="1" ht="12" customHeight="1">
      <c r="B436" s="722"/>
      <c r="J436" s="735" t="s">
        <v>448</v>
      </c>
      <c r="K436" s="736"/>
      <c r="L436" s="727"/>
      <c r="M436" s="728"/>
      <c r="N436" s="737" t="s">
        <v>626</v>
      </c>
      <c r="O436" s="737" t="s">
        <v>3389</v>
      </c>
      <c r="P436" s="728" t="s">
        <v>2259</v>
      </c>
    </row>
    <row r="437" spans="2:16" s="723" customFormat="1" ht="12" customHeight="1">
      <c r="B437" s="722"/>
      <c r="J437" s="735" t="s">
        <v>449</v>
      </c>
      <c r="K437" s="736"/>
      <c r="L437" s="727"/>
      <c r="M437" s="728"/>
      <c r="N437" s="737" t="s">
        <v>2879</v>
      </c>
      <c r="O437" s="737" t="s">
        <v>1756</v>
      </c>
      <c r="P437" s="728" t="s">
        <v>2260</v>
      </c>
    </row>
    <row r="438" spans="2:16" s="723" customFormat="1" ht="12" customHeight="1">
      <c r="B438" s="722"/>
      <c r="J438" s="735" t="s">
        <v>2652</v>
      </c>
      <c r="K438" s="736"/>
      <c r="L438" s="727"/>
      <c r="M438" s="728"/>
      <c r="N438" s="737" t="s">
        <v>2324</v>
      </c>
      <c r="O438" s="737" t="s">
        <v>2623</v>
      </c>
      <c r="P438" s="728" t="s">
        <v>2261</v>
      </c>
    </row>
    <row r="439" spans="2:16" s="723" customFormat="1" ht="12" customHeight="1">
      <c r="B439" s="722"/>
      <c r="J439" s="735" t="s">
        <v>625</v>
      </c>
      <c r="K439" s="736"/>
      <c r="L439" s="727"/>
      <c r="M439" s="728"/>
      <c r="N439" s="737" t="s">
        <v>2326</v>
      </c>
      <c r="O439" s="737" t="s">
        <v>180</v>
      </c>
      <c r="P439" s="728" t="s">
        <v>2262</v>
      </c>
    </row>
    <row r="440" spans="2:16" s="723" customFormat="1" ht="12" customHeight="1">
      <c r="B440" s="722"/>
      <c r="J440" s="735" t="s">
        <v>2878</v>
      </c>
      <c r="K440" s="736"/>
      <c r="L440" s="727"/>
      <c r="M440" s="728"/>
      <c r="N440" s="737" t="s">
        <v>339</v>
      </c>
      <c r="O440" s="737" t="s">
        <v>173</v>
      </c>
      <c r="P440" s="728" t="s">
        <v>2263</v>
      </c>
    </row>
    <row r="441" spans="2:16" s="723" customFormat="1" ht="12" customHeight="1">
      <c r="B441" s="722"/>
      <c r="J441" s="735" t="s">
        <v>2323</v>
      </c>
      <c r="K441" s="736"/>
      <c r="L441" s="727"/>
      <c r="M441" s="728"/>
      <c r="N441" s="737" t="s">
        <v>341</v>
      </c>
      <c r="O441" s="737" t="s">
        <v>1743</v>
      </c>
      <c r="P441" s="728" t="s">
        <v>2264</v>
      </c>
    </row>
    <row r="442" spans="2:16" s="723" customFormat="1" ht="12" customHeight="1">
      <c r="B442" s="722"/>
      <c r="J442" s="735" t="s">
        <v>2325</v>
      </c>
      <c r="K442" s="736"/>
      <c r="L442" s="727"/>
      <c r="M442" s="728"/>
      <c r="N442" s="737" t="s">
        <v>1338</v>
      </c>
      <c r="O442" s="737" t="s">
        <v>3265</v>
      </c>
      <c r="P442" s="728" t="s">
        <v>2265</v>
      </c>
    </row>
    <row r="443" spans="2:16" s="723" customFormat="1" ht="12" customHeight="1">
      <c r="B443" s="722"/>
      <c r="J443" s="735" t="s">
        <v>338</v>
      </c>
      <c r="K443" s="736"/>
      <c r="L443" s="727"/>
      <c r="M443" s="728"/>
      <c r="N443" s="737" t="s">
        <v>3053</v>
      </c>
      <c r="O443" s="737" t="s">
        <v>355</v>
      </c>
      <c r="P443" s="728" t="s">
        <v>2266</v>
      </c>
    </row>
    <row r="444" spans="2:16" s="723" customFormat="1" ht="12" customHeight="1">
      <c r="B444" s="722"/>
      <c r="J444" s="735" t="s">
        <v>340</v>
      </c>
      <c r="K444" s="736"/>
      <c r="L444" s="727"/>
      <c r="M444" s="728"/>
      <c r="N444" s="737" t="s">
        <v>3035</v>
      </c>
      <c r="O444" s="737" t="s">
        <v>196</v>
      </c>
      <c r="P444" s="728" t="s">
        <v>2267</v>
      </c>
    </row>
    <row r="445" spans="2:16" s="723" customFormat="1" ht="12" customHeight="1">
      <c r="B445" s="722"/>
      <c r="J445" s="735" t="s">
        <v>1337</v>
      </c>
      <c r="K445" s="736"/>
      <c r="L445" s="727"/>
      <c r="M445" s="728"/>
      <c r="N445" s="737" t="s">
        <v>3037</v>
      </c>
      <c r="O445" s="737" t="s">
        <v>1753</v>
      </c>
      <c r="P445" s="728" t="s">
        <v>2268</v>
      </c>
    </row>
    <row r="446" spans="2:16" s="723" customFormat="1" ht="12" customHeight="1">
      <c r="B446" s="722"/>
      <c r="J446" s="735" t="s">
        <v>3051</v>
      </c>
      <c r="K446" s="736"/>
      <c r="L446" s="727"/>
      <c r="M446" s="728"/>
      <c r="N446" s="737" t="s">
        <v>676</v>
      </c>
      <c r="O446" s="737" t="s">
        <v>196</v>
      </c>
      <c r="P446" s="728" t="s">
        <v>2269</v>
      </c>
    </row>
    <row r="447" spans="2:16" s="723" customFormat="1" ht="12" customHeight="1">
      <c r="B447" s="722"/>
      <c r="J447" s="735" t="s">
        <v>3052</v>
      </c>
      <c r="K447" s="736"/>
      <c r="L447" s="727"/>
      <c r="M447" s="728"/>
      <c r="N447" s="626" t="s">
        <v>1457</v>
      </c>
      <c r="O447" s="626" t="s">
        <v>1976</v>
      </c>
      <c r="P447" s="1400" t="s">
        <v>2856</v>
      </c>
    </row>
    <row r="448" spans="2:16" s="723" customFormat="1" ht="12" customHeight="1">
      <c r="B448" s="722"/>
      <c r="J448" s="735" t="s">
        <v>3033</v>
      </c>
      <c r="K448" s="736"/>
      <c r="L448" s="727"/>
      <c r="M448" s="728"/>
      <c r="N448" s="737" t="s">
        <v>204</v>
      </c>
      <c r="O448" s="737" t="s">
        <v>2888</v>
      </c>
      <c r="P448" s="728" t="s">
        <v>204</v>
      </c>
    </row>
    <row r="449" spans="2:16" s="723" customFormat="1" ht="12" customHeight="1">
      <c r="B449" s="722"/>
      <c r="J449" s="735" t="s">
        <v>3034</v>
      </c>
      <c r="K449" s="736"/>
      <c r="L449" s="727"/>
      <c r="M449" s="728"/>
      <c r="N449" s="626" t="s">
        <v>1458</v>
      </c>
      <c r="O449" s="626" t="s">
        <v>3264</v>
      </c>
      <c r="P449" s="1400" t="s">
        <v>2856</v>
      </c>
    </row>
    <row r="450" spans="2:16" s="723" customFormat="1" ht="12" customHeight="1">
      <c r="B450" s="722"/>
      <c r="J450" s="735" t="s">
        <v>3036</v>
      </c>
      <c r="K450" s="736"/>
      <c r="L450" s="727"/>
      <c r="M450" s="728"/>
      <c r="N450" s="737" t="s">
        <v>2684</v>
      </c>
      <c r="O450" s="737" t="s">
        <v>3158</v>
      </c>
      <c r="P450" s="728" t="s">
        <v>2270</v>
      </c>
    </row>
    <row r="451" spans="2:16" s="723" customFormat="1" ht="12" customHeight="1">
      <c r="B451" s="722"/>
      <c r="J451" s="735" t="s">
        <v>675</v>
      </c>
      <c r="K451" s="736"/>
      <c r="L451" s="727"/>
      <c r="M451" s="728"/>
      <c r="N451" s="626" t="s">
        <v>1459</v>
      </c>
      <c r="O451" s="626" t="s">
        <v>175</v>
      </c>
      <c r="P451" s="1400" t="s">
        <v>2856</v>
      </c>
    </row>
    <row r="452" spans="2:16" s="723" customFormat="1" ht="12" customHeight="1">
      <c r="B452" s="722"/>
      <c r="J452" s="735" t="s">
        <v>203</v>
      </c>
      <c r="K452" s="736"/>
      <c r="L452" s="727"/>
      <c r="M452" s="728"/>
      <c r="N452" s="737" t="s">
        <v>2686</v>
      </c>
      <c r="O452" s="737" t="s">
        <v>3158</v>
      </c>
      <c r="P452" s="728" t="s">
        <v>2271</v>
      </c>
    </row>
    <row r="453" spans="2:16" s="723" customFormat="1" ht="12" customHeight="1">
      <c r="B453" s="722"/>
      <c r="J453" s="735" t="s">
        <v>2828</v>
      </c>
      <c r="K453" s="736"/>
      <c r="L453" s="727"/>
      <c r="M453" s="728"/>
      <c r="N453" s="737" t="s">
        <v>355</v>
      </c>
      <c r="O453" s="737" t="s">
        <v>1764</v>
      </c>
      <c r="P453" s="728" t="s">
        <v>2272</v>
      </c>
    </row>
    <row r="454" spans="2:16" s="723" customFormat="1" ht="12" customHeight="1">
      <c r="B454" s="722"/>
      <c r="J454" s="735" t="s">
        <v>2685</v>
      </c>
      <c r="K454" s="736"/>
      <c r="L454" s="727"/>
      <c r="M454" s="728"/>
      <c r="N454" s="737" t="s">
        <v>1558</v>
      </c>
      <c r="O454" s="737" t="s">
        <v>1265</v>
      </c>
      <c r="P454" s="728" t="s">
        <v>2273</v>
      </c>
    </row>
    <row r="455" spans="2:16" s="723" customFormat="1" ht="12" customHeight="1">
      <c r="B455" s="722"/>
      <c r="J455" s="735" t="s">
        <v>2687</v>
      </c>
      <c r="K455" s="736"/>
      <c r="L455" s="727"/>
      <c r="M455" s="728"/>
      <c r="N455" s="737" t="s">
        <v>1519</v>
      </c>
      <c r="O455" s="737" t="s">
        <v>1268</v>
      </c>
      <c r="P455" s="728" t="s">
        <v>2274</v>
      </c>
    </row>
    <row r="456" spans="2:16" s="723" customFormat="1" ht="12" customHeight="1">
      <c r="B456" s="722"/>
      <c r="J456" s="735" t="s">
        <v>1557</v>
      </c>
      <c r="K456" s="736"/>
      <c r="L456" s="727"/>
      <c r="M456" s="728"/>
      <c r="N456" s="737" t="s">
        <v>357</v>
      </c>
      <c r="O456" s="737" t="s">
        <v>1500</v>
      </c>
      <c r="P456" s="728" t="s">
        <v>2275</v>
      </c>
    </row>
    <row r="457" spans="2:16" s="723" customFormat="1" ht="12" customHeight="1">
      <c r="B457" s="722"/>
      <c r="J457" s="735" t="s">
        <v>1559</v>
      </c>
      <c r="K457" s="736"/>
      <c r="L457" s="727"/>
      <c r="M457" s="728"/>
      <c r="N457" s="737" t="s">
        <v>360</v>
      </c>
      <c r="O457" s="737" t="s">
        <v>355</v>
      </c>
      <c r="P457" s="728" t="s">
        <v>2276</v>
      </c>
    </row>
    <row r="458" spans="2:16" s="723" customFormat="1" ht="12" customHeight="1">
      <c r="B458" s="722"/>
      <c r="J458" s="735" t="s">
        <v>1520</v>
      </c>
      <c r="K458" s="736"/>
      <c r="L458" s="727"/>
      <c r="M458" s="728"/>
      <c r="N458" s="737" t="s">
        <v>77</v>
      </c>
      <c r="O458" s="737" t="s">
        <v>2627</v>
      </c>
      <c r="P458" s="728" t="s">
        <v>2277</v>
      </c>
    </row>
    <row r="459" spans="2:16" s="723" customFormat="1" ht="12" customHeight="1">
      <c r="B459" s="722"/>
      <c r="J459" s="735" t="s">
        <v>1521</v>
      </c>
      <c r="K459" s="736"/>
      <c r="L459" s="727"/>
      <c r="M459" s="728"/>
      <c r="N459" s="737" t="s">
        <v>2977</v>
      </c>
      <c r="O459" s="737" t="s">
        <v>1764</v>
      </c>
      <c r="P459" s="728" t="s">
        <v>2278</v>
      </c>
    </row>
    <row r="460" spans="2:16" s="723" customFormat="1" ht="12" customHeight="1">
      <c r="B460" s="722"/>
      <c r="J460" s="735" t="s">
        <v>76</v>
      </c>
      <c r="K460" s="736"/>
      <c r="L460" s="727"/>
      <c r="M460" s="728"/>
      <c r="N460" s="737" t="s">
        <v>2447</v>
      </c>
      <c r="O460" s="737" t="s">
        <v>2719</v>
      </c>
      <c r="P460" s="728" t="s">
        <v>2279</v>
      </c>
    </row>
    <row r="461" spans="2:16" s="723" customFormat="1" ht="12" customHeight="1">
      <c r="B461" s="722"/>
      <c r="J461" s="735" t="s">
        <v>401</v>
      </c>
      <c r="K461" s="736"/>
      <c r="L461" s="727"/>
      <c r="M461" s="728"/>
      <c r="N461" s="737" t="s">
        <v>2449</v>
      </c>
      <c r="O461" s="737" t="s">
        <v>114</v>
      </c>
      <c r="P461" s="728" t="s">
        <v>2280</v>
      </c>
    </row>
    <row r="462" spans="2:16" s="723" customFormat="1" ht="12" customHeight="1">
      <c r="B462" s="722"/>
      <c r="J462" s="735" t="s">
        <v>2976</v>
      </c>
      <c r="K462" s="736"/>
      <c r="L462" s="727"/>
      <c r="M462" s="728"/>
      <c r="N462" s="741" t="s">
        <v>878</v>
      </c>
      <c r="O462" s="737" t="s">
        <v>1626</v>
      </c>
      <c r="P462" s="728" t="s">
        <v>2281</v>
      </c>
    </row>
    <row r="463" spans="2:16" s="723" customFormat="1" ht="12" customHeight="1">
      <c r="B463" s="722"/>
      <c r="J463" s="735" t="s">
        <v>2516</v>
      </c>
      <c r="K463" s="736"/>
      <c r="L463" s="727"/>
      <c r="M463" s="728"/>
      <c r="N463" s="737" t="s">
        <v>3106</v>
      </c>
      <c r="O463" s="737" t="s">
        <v>3264</v>
      </c>
      <c r="P463" s="728" t="s">
        <v>2282</v>
      </c>
    </row>
    <row r="464" spans="2:16" s="723" customFormat="1" ht="12" customHeight="1">
      <c r="B464" s="722"/>
      <c r="J464" s="735" t="s">
        <v>2448</v>
      </c>
      <c r="K464" s="736"/>
      <c r="L464" s="727"/>
      <c r="M464" s="728"/>
      <c r="N464" s="737" t="s">
        <v>3108</v>
      </c>
      <c r="O464" s="737" t="s">
        <v>2897</v>
      </c>
      <c r="P464" s="728" t="s">
        <v>3108</v>
      </c>
    </row>
    <row r="465" spans="2:16" s="723" customFormat="1" ht="12" customHeight="1">
      <c r="B465" s="722"/>
      <c r="J465" s="735" t="s">
        <v>302</v>
      </c>
      <c r="K465" s="736"/>
      <c r="L465" s="727"/>
      <c r="M465" s="728"/>
      <c r="N465" s="737" t="s">
        <v>603</v>
      </c>
      <c r="O465" s="737" t="s">
        <v>3267</v>
      </c>
      <c r="P465" s="728" t="s">
        <v>2283</v>
      </c>
    </row>
    <row r="466" spans="2:16" s="723" customFormat="1" ht="12" customHeight="1">
      <c r="B466" s="722"/>
      <c r="J466" s="735" t="s">
        <v>3107</v>
      </c>
      <c r="K466" s="736"/>
      <c r="L466" s="727"/>
      <c r="M466" s="728"/>
      <c r="N466" s="737" t="s">
        <v>605</v>
      </c>
      <c r="O466" s="737" t="s">
        <v>1762</v>
      </c>
      <c r="P466" s="728" t="s">
        <v>2284</v>
      </c>
    </row>
    <row r="467" spans="2:16" s="723" customFormat="1" ht="12" customHeight="1">
      <c r="B467" s="722"/>
      <c r="J467" s="735" t="s">
        <v>601</v>
      </c>
      <c r="K467" s="736"/>
      <c r="L467" s="727"/>
      <c r="M467" s="728"/>
      <c r="N467" s="626" t="s">
        <v>1460</v>
      </c>
      <c r="O467" s="626" t="s">
        <v>1767</v>
      </c>
      <c r="P467" s="1400" t="s">
        <v>2856</v>
      </c>
    </row>
    <row r="468" spans="2:16" s="723" customFormat="1" ht="12" customHeight="1">
      <c r="B468" s="722"/>
      <c r="J468" s="735" t="s">
        <v>602</v>
      </c>
      <c r="K468" s="736"/>
      <c r="L468" s="727"/>
      <c r="M468" s="728"/>
      <c r="N468" s="737" t="s">
        <v>607</v>
      </c>
      <c r="O468" s="737" t="s">
        <v>1767</v>
      </c>
      <c r="P468" s="728" t="s">
        <v>2285</v>
      </c>
    </row>
    <row r="469" spans="2:16" s="723" customFormat="1" ht="12" customHeight="1">
      <c r="B469" s="722"/>
      <c r="J469" s="735" t="s">
        <v>604</v>
      </c>
      <c r="K469" s="736"/>
      <c r="L469" s="727"/>
      <c r="M469" s="728"/>
      <c r="N469" s="737" t="s">
        <v>1662</v>
      </c>
      <c r="O469" s="737" t="s">
        <v>1747</v>
      </c>
      <c r="P469" s="728" t="s">
        <v>2286</v>
      </c>
    </row>
    <row r="470" spans="2:16" s="723" customFormat="1" ht="12" customHeight="1">
      <c r="B470" s="722"/>
      <c r="J470" s="735" t="s">
        <v>606</v>
      </c>
      <c r="K470" s="736"/>
      <c r="L470" s="727"/>
      <c r="M470" s="728"/>
      <c r="N470" s="737" t="s">
        <v>1664</v>
      </c>
      <c r="O470" s="737" t="s">
        <v>364</v>
      </c>
      <c r="P470" s="728" t="s">
        <v>2287</v>
      </c>
    </row>
    <row r="471" spans="2:16" s="723" customFormat="1" ht="12" customHeight="1">
      <c r="B471" s="722"/>
      <c r="J471" s="735" t="s">
        <v>1661</v>
      </c>
      <c r="K471" s="736"/>
      <c r="L471" s="727"/>
      <c r="M471" s="728"/>
      <c r="N471" s="737" t="s">
        <v>2706</v>
      </c>
      <c r="O471" s="737" t="s">
        <v>2718</v>
      </c>
      <c r="P471" s="728" t="s">
        <v>2288</v>
      </c>
    </row>
    <row r="472" spans="2:16" s="723" customFormat="1" ht="12" customHeight="1">
      <c r="B472" s="722"/>
      <c r="J472" s="735" t="s">
        <v>1663</v>
      </c>
      <c r="K472" s="736"/>
      <c r="L472" s="727"/>
      <c r="M472" s="728"/>
      <c r="N472" s="737" t="s">
        <v>80</v>
      </c>
      <c r="O472" s="737" t="s">
        <v>2623</v>
      </c>
      <c r="P472" s="728" t="s">
        <v>2289</v>
      </c>
    </row>
    <row r="473" spans="2:16" s="723" customFormat="1" ht="12" customHeight="1">
      <c r="B473" s="722"/>
      <c r="J473" s="735" t="s">
        <v>2704</v>
      </c>
      <c r="K473" s="736"/>
      <c r="L473" s="727"/>
      <c r="M473" s="728"/>
      <c r="N473" s="737" t="s">
        <v>811</v>
      </c>
      <c r="O473" s="737" t="s">
        <v>3264</v>
      </c>
      <c r="P473" s="728" t="s">
        <v>811</v>
      </c>
    </row>
    <row r="474" spans="2:16" s="723" customFormat="1" ht="12" customHeight="1">
      <c r="B474" s="722"/>
      <c r="J474" s="735" t="s">
        <v>2705</v>
      </c>
      <c r="K474" s="736"/>
      <c r="L474" s="727"/>
      <c r="M474" s="728"/>
      <c r="N474" s="737" t="s">
        <v>82</v>
      </c>
      <c r="O474" s="737" t="s">
        <v>192</v>
      </c>
      <c r="P474" s="728" t="s">
        <v>2290</v>
      </c>
    </row>
    <row r="475" spans="2:16" s="723" customFormat="1" ht="12" customHeight="1">
      <c r="B475" s="722"/>
      <c r="J475" s="735" t="s">
        <v>79</v>
      </c>
      <c r="K475" s="736"/>
      <c r="L475" s="727"/>
      <c r="M475" s="728"/>
      <c r="N475" s="737" t="s">
        <v>3177</v>
      </c>
      <c r="O475" s="737" t="s">
        <v>1897</v>
      </c>
      <c r="P475" s="728" t="s">
        <v>2291</v>
      </c>
    </row>
    <row r="476" spans="2:16" s="723" customFormat="1" ht="12" customHeight="1">
      <c r="B476" s="722"/>
      <c r="J476" s="735" t="s">
        <v>81</v>
      </c>
      <c r="K476" s="736"/>
      <c r="L476" s="727"/>
      <c r="M476" s="728"/>
      <c r="N476" s="626" t="s">
        <v>1461</v>
      </c>
      <c r="O476" s="626" t="s">
        <v>1976</v>
      </c>
      <c r="P476" s="1400" t="s">
        <v>2856</v>
      </c>
    </row>
    <row r="477" spans="2:16" s="723" customFormat="1" ht="12" customHeight="1">
      <c r="B477" s="722"/>
      <c r="J477" s="735" t="s">
        <v>3176</v>
      </c>
      <c r="K477" s="736"/>
      <c r="L477" s="727"/>
      <c r="M477" s="728"/>
      <c r="N477" s="626" t="s">
        <v>1462</v>
      </c>
      <c r="O477" s="626" t="s">
        <v>1517</v>
      </c>
      <c r="P477" s="1400" t="s">
        <v>2856</v>
      </c>
    </row>
    <row r="478" spans="2:16" s="723" customFormat="1" ht="12" customHeight="1">
      <c r="B478" s="722"/>
      <c r="J478" s="735" t="s">
        <v>2917</v>
      </c>
      <c r="K478" s="736"/>
      <c r="L478" s="727"/>
      <c r="M478" s="728"/>
      <c r="N478" s="737" t="s">
        <v>792</v>
      </c>
      <c r="O478" s="737" t="s">
        <v>845</v>
      </c>
      <c r="P478" s="728" t="s">
        <v>2292</v>
      </c>
    </row>
    <row r="479" spans="2:16" s="723" customFormat="1" ht="12" customHeight="1">
      <c r="B479" s="722"/>
      <c r="J479" s="735" t="s">
        <v>2918</v>
      </c>
      <c r="K479" s="736"/>
      <c r="L479" s="727"/>
      <c r="M479" s="728"/>
      <c r="N479" s="737" t="s">
        <v>1364</v>
      </c>
      <c r="O479" s="737" t="s">
        <v>127</v>
      </c>
      <c r="P479" s="728" t="s">
        <v>2293</v>
      </c>
    </row>
    <row r="480" spans="2:16" s="723" customFormat="1" ht="12" customHeight="1">
      <c r="B480" s="722"/>
      <c r="J480" s="735" t="s">
        <v>1363</v>
      </c>
      <c r="K480" s="736"/>
      <c r="L480" s="727"/>
      <c r="M480" s="728"/>
      <c r="N480" s="737" t="s">
        <v>1366</v>
      </c>
      <c r="O480" s="737" t="s">
        <v>1765</v>
      </c>
      <c r="P480" s="728" t="s">
        <v>2294</v>
      </c>
    </row>
    <row r="481" spans="2:16" s="723" customFormat="1" ht="12" customHeight="1">
      <c r="B481" s="722"/>
      <c r="J481" s="735" t="s">
        <v>1365</v>
      </c>
      <c r="K481" s="736"/>
      <c r="L481" s="727"/>
      <c r="M481" s="728"/>
      <c r="N481" s="737" t="s">
        <v>1943</v>
      </c>
      <c r="O481" s="737" t="s">
        <v>1900</v>
      </c>
      <c r="P481" s="728" t="s">
        <v>2295</v>
      </c>
    </row>
    <row r="482" spans="2:16" s="723" customFormat="1" ht="12" customHeight="1">
      <c r="B482" s="722"/>
      <c r="J482" s="735" t="s">
        <v>1941</v>
      </c>
      <c r="K482" s="736"/>
      <c r="L482" s="727"/>
      <c r="M482" s="728"/>
      <c r="N482" s="737" t="s">
        <v>1945</v>
      </c>
      <c r="O482" s="737" t="s">
        <v>3317</v>
      </c>
      <c r="P482" s="728" t="s">
        <v>2296</v>
      </c>
    </row>
    <row r="483" spans="2:16" s="723" customFormat="1" ht="12" customHeight="1">
      <c r="B483" s="722"/>
      <c r="J483" s="735" t="s">
        <v>1942</v>
      </c>
      <c r="K483" s="736"/>
      <c r="L483" s="727"/>
      <c r="M483" s="728"/>
      <c r="N483" s="737" t="s">
        <v>1947</v>
      </c>
      <c r="O483" s="737" t="s">
        <v>2895</v>
      </c>
      <c r="P483" s="728" t="s">
        <v>2297</v>
      </c>
    </row>
    <row r="484" spans="2:16" s="723" customFormat="1" ht="12" customHeight="1">
      <c r="B484" s="722"/>
      <c r="J484" s="735" t="s">
        <v>1944</v>
      </c>
      <c r="K484" s="736"/>
      <c r="L484" s="727"/>
      <c r="M484" s="728"/>
      <c r="N484" s="737" t="s">
        <v>3068</v>
      </c>
      <c r="O484" s="737" t="s">
        <v>3388</v>
      </c>
      <c r="P484" s="728" t="s">
        <v>2298</v>
      </c>
    </row>
    <row r="485" spans="2:16" s="723" customFormat="1" ht="12" customHeight="1">
      <c r="B485" s="722"/>
      <c r="J485" s="735" t="s">
        <v>1946</v>
      </c>
      <c r="K485" s="736"/>
      <c r="L485" s="727"/>
      <c r="M485" s="728"/>
      <c r="N485" s="737" t="s">
        <v>3070</v>
      </c>
      <c r="O485" s="737" t="s">
        <v>127</v>
      </c>
      <c r="P485" s="728" t="s">
        <v>2299</v>
      </c>
    </row>
    <row r="486" spans="2:16" s="723" customFormat="1" ht="12" customHeight="1">
      <c r="B486" s="722"/>
      <c r="J486" s="735" t="s">
        <v>1948</v>
      </c>
      <c r="K486" s="736"/>
      <c r="L486" s="727"/>
      <c r="M486" s="728"/>
      <c r="N486" s="737" t="s">
        <v>1705</v>
      </c>
      <c r="O486" s="737" t="s">
        <v>1349</v>
      </c>
      <c r="P486" s="728" t="s">
        <v>2300</v>
      </c>
    </row>
    <row r="487" spans="2:16" s="723" customFormat="1" ht="12" customHeight="1">
      <c r="B487" s="722"/>
      <c r="J487" s="735" t="s">
        <v>3069</v>
      </c>
      <c r="K487" s="736"/>
      <c r="L487" s="727"/>
      <c r="M487" s="728"/>
      <c r="N487" s="626" t="s">
        <v>1463</v>
      </c>
      <c r="O487" s="626" t="s">
        <v>2716</v>
      </c>
      <c r="P487" s="1400" t="s">
        <v>2856</v>
      </c>
    </row>
    <row r="488" spans="2:16" s="723" customFormat="1" ht="12" customHeight="1">
      <c r="B488" s="722"/>
      <c r="J488" s="735" t="s">
        <v>3393</v>
      </c>
      <c r="K488" s="736"/>
      <c r="L488" s="727"/>
      <c r="M488" s="728"/>
      <c r="N488" s="737" t="s">
        <v>1707</v>
      </c>
      <c r="O488" s="737" t="s">
        <v>1902</v>
      </c>
      <c r="P488" s="728" t="s">
        <v>2301</v>
      </c>
    </row>
    <row r="489" spans="2:16" s="723" customFormat="1" ht="12" customHeight="1">
      <c r="B489" s="722"/>
      <c r="J489" s="735" t="s">
        <v>1706</v>
      </c>
      <c r="K489" s="736"/>
      <c r="L489" s="727"/>
      <c r="M489" s="728"/>
      <c r="N489" s="737" t="s">
        <v>1220</v>
      </c>
      <c r="O489" s="737" t="s">
        <v>2718</v>
      </c>
      <c r="P489" s="1399" t="s">
        <v>1217</v>
      </c>
    </row>
    <row r="490" spans="2:16" s="723" customFormat="1" ht="12" customHeight="1">
      <c r="B490" s="722"/>
      <c r="J490" s="735" t="s">
        <v>1964</v>
      </c>
      <c r="K490" s="736"/>
      <c r="L490" s="727"/>
      <c r="M490" s="728"/>
      <c r="N490" s="737" t="s">
        <v>1221</v>
      </c>
      <c r="O490" s="737" t="s">
        <v>1267</v>
      </c>
      <c r="P490" s="1399" t="s">
        <v>1217</v>
      </c>
    </row>
    <row r="491" spans="2:16" s="723" customFormat="1" ht="12" customHeight="1">
      <c r="B491" s="722"/>
      <c r="J491" s="735" t="s">
        <v>1211</v>
      </c>
      <c r="K491" s="736"/>
      <c r="L491" s="727"/>
      <c r="M491" s="728"/>
      <c r="N491" s="737" t="s">
        <v>1213</v>
      </c>
      <c r="O491" s="737" t="s">
        <v>807</v>
      </c>
      <c r="P491" s="728" t="s">
        <v>2302</v>
      </c>
    </row>
    <row r="492" spans="2:16" s="723" customFormat="1" ht="12" customHeight="1">
      <c r="B492" s="722"/>
      <c r="J492" s="735" t="s">
        <v>1212</v>
      </c>
      <c r="K492" s="736"/>
      <c r="L492" s="727"/>
      <c r="M492" s="728"/>
      <c r="N492" s="737" t="s">
        <v>1216</v>
      </c>
      <c r="O492" s="737" t="s">
        <v>351</v>
      </c>
      <c r="P492" s="728" t="s">
        <v>2303</v>
      </c>
    </row>
    <row r="493" spans="2:16" s="723" customFormat="1" ht="12" customHeight="1">
      <c r="B493" s="722"/>
      <c r="J493" s="735" t="s">
        <v>1214</v>
      </c>
      <c r="K493" s="736"/>
      <c r="L493" s="727"/>
      <c r="M493" s="728"/>
      <c r="N493" s="737" t="s">
        <v>126</v>
      </c>
      <c r="O493" s="737" t="s">
        <v>2719</v>
      </c>
      <c r="P493" s="728" t="s">
        <v>2304</v>
      </c>
    </row>
    <row r="494" spans="2:16" s="723" customFormat="1" ht="12" customHeight="1">
      <c r="B494" s="722"/>
      <c r="J494" s="735" t="s">
        <v>1215</v>
      </c>
      <c r="K494" s="736"/>
      <c r="L494" s="727"/>
      <c r="M494" s="728"/>
      <c r="N494" s="737" t="s">
        <v>273</v>
      </c>
      <c r="O494" s="737" t="s">
        <v>2585</v>
      </c>
      <c r="P494" s="728" t="s">
        <v>2305</v>
      </c>
    </row>
    <row r="495" spans="2:16" s="723" customFormat="1" ht="12" customHeight="1">
      <c r="B495" s="722"/>
      <c r="J495" s="735" t="s">
        <v>125</v>
      </c>
      <c r="K495" s="736"/>
      <c r="L495" s="727"/>
      <c r="M495" s="728"/>
      <c r="N495" s="737" t="s">
        <v>1961</v>
      </c>
      <c r="O495" s="737" t="s">
        <v>2718</v>
      </c>
      <c r="P495" s="728" t="s">
        <v>2306</v>
      </c>
    </row>
    <row r="496" spans="2:16" s="723" customFormat="1" ht="12" customHeight="1">
      <c r="B496" s="722"/>
      <c r="J496" s="735" t="s">
        <v>272</v>
      </c>
      <c r="K496" s="736"/>
      <c r="L496" s="727"/>
      <c r="M496" s="728"/>
      <c r="N496" s="737" t="s">
        <v>1965</v>
      </c>
      <c r="O496" s="737" t="s">
        <v>360</v>
      </c>
      <c r="P496" s="728" t="s">
        <v>2307</v>
      </c>
    </row>
    <row r="497" spans="2:16" s="723" customFormat="1" ht="12" customHeight="1">
      <c r="B497" s="722"/>
      <c r="J497" s="735" t="s">
        <v>1960</v>
      </c>
      <c r="K497" s="736"/>
      <c r="L497" s="727"/>
      <c r="M497" s="728"/>
      <c r="N497" s="737" t="s">
        <v>1967</v>
      </c>
      <c r="O497" s="737" t="s">
        <v>3264</v>
      </c>
      <c r="P497" s="728" t="s">
        <v>2308</v>
      </c>
    </row>
    <row r="498" spans="2:16" s="723" customFormat="1" ht="12" customHeight="1">
      <c r="B498" s="722"/>
      <c r="J498" s="735" t="s">
        <v>267</v>
      </c>
      <c r="K498" s="736"/>
      <c r="L498" s="727"/>
      <c r="M498" s="728"/>
      <c r="N498" s="737" t="s">
        <v>615</v>
      </c>
      <c r="O498" s="737" t="s">
        <v>1904</v>
      </c>
      <c r="P498" s="728" t="s">
        <v>2309</v>
      </c>
    </row>
    <row r="499" spans="2:16" s="723" customFormat="1" ht="12" customHeight="1">
      <c r="B499" s="722"/>
      <c r="J499" s="735" t="s">
        <v>1966</v>
      </c>
      <c r="K499" s="736"/>
      <c r="L499" s="727"/>
      <c r="M499" s="728"/>
      <c r="N499" s="737" t="s">
        <v>1830</v>
      </c>
      <c r="O499" s="737" t="s">
        <v>343</v>
      </c>
      <c r="P499" s="728" t="s">
        <v>2310</v>
      </c>
    </row>
    <row r="500" spans="2:16" s="723" customFormat="1" ht="12" customHeight="1">
      <c r="B500" s="722"/>
      <c r="J500" s="735" t="s">
        <v>1968</v>
      </c>
      <c r="K500" s="736"/>
      <c r="L500" s="727"/>
      <c r="M500" s="728"/>
      <c r="N500" s="737" t="s">
        <v>1832</v>
      </c>
      <c r="O500" s="737" t="s">
        <v>1265</v>
      </c>
      <c r="P500" s="728" t="s">
        <v>1832</v>
      </c>
    </row>
    <row r="501" spans="2:16" s="723" customFormat="1" ht="12" customHeight="1">
      <c r="B501" s="722"/>
      <c r="J501" s="735" t="s">
        <v>1829</v>
      </c>
      <c r="K501" s="736"/>
      <c r="L501" s="727"/>
      <c r="M501" s="728"/>
      <c r="N501" s="737" t="s">
        <v>193</v>
      </c>
      <c r="O501" s="737" t="s">
        <v>2893</v>
      </c>
      <c r="P501" s="728" t="s">
        <v>2311</v>
      </c>
    </row>
    <row r="502" spans="2:16" s="723" customFormat="1" ht="12" customHeight="1">
      <c r="B502" s="722"/>
      <c r="J502" s="735" t="s">
        <v>1831</v>
      </c>
      <c r="K502" s="736"/>
      <c r="L502" s="727"/>
      <c r="M502" s="728"/>
      <c r="N502" s="737" t="s">
        <v>1835</v>
      </c>
      <c r="O502" s="737" t="s">
        <v>2585</v>
      </c>
      <c r="P502" s="728" t="s">
        <v>2312</v>
      </c>
    </row>
    <row r="503" spans="2:16" s="723" customFormat="1" ht="12" customHeight="1">
      <c r="B503" s="722"/>
      <c r="J503" s="735" t="s">
        <v>1833</v>
      </c>
      <c r="K503" s="736"/>
      <c r="L503" s="727"/>
      <c r="M503" s="728"/>
      <c r="N503" s="737" t="s">
        <v>1837</v>
      </c>
      <c r="O503" s="737" t="s">
        <v>178</v>
      </c>
      <c r="P503" s="728" t="s">
        <v>2313</v>
      </c>
    </row>
    <row r="504" spans="2:16" s="723" customFormat="1" ht="12" customHeight="1">
      <c r="B504" s="722"/>
      <c r="J504" s="735" t="s">
        <v>1834</v>
      </c>
      <c r="K504" s="736"/>
      <c r="L504" s="727"/>
      <c r="M504" s="728"/>
      <c r="N504" s="737" t="s">
        <v>3273</v>
      </c>
      <c r="O504" s="737" t="s">
        <v>2617</v>
      </c>
      <c r="P504" s="728" t="s">
        <v>2314</v>
      </c>
    </row>
    <row r="505" spans="2:16" s="723" customFormat="1" ht="12" customHeight="1">
      <c r="B505" s="722"/>
      <c r="J505" s="735" t="s">
        <v>1836</v>
      </c>
      <c r="K505" s="736"/>
      <c r="L505" s="727"/>
      <c r="M505" s="728"/>
      <c r="N505" s="626" t="s">
        <v>1464</v>
      </c>
      <c r="O505" s="626" t="s">
        <v>3267</v>
      </c>
      <c r="P505" s="1400" t="s">
        <v>2856</v>
      </c>
    </row>
    <row r="506" spans="2:16" s="723" customFormat="1" ht="12" customHeight="1">
      <c r="B506" s="722"/>
      <c r="J506" s="735" t="s">
        <v>1838</v>
      </c>
      <c r="K506" s="736"/>
      <c r="L506" s="727"/>
      <c r="M506" s="728"/>
      <c r="N506" s="737" t="s">
        <v>1753</v>
      </c>
      <c r="O506" s="737" t="s">
        <v>1752</v>
      </c>
      <c r="P506" s="728" t="s">
        <v>2315</v>
      </c>
    </row>
    <row r="507" spans="2:16" s="723" customFormat="1" ht="12" customHeight="1">
      <c r="B507" s="722"/>
      <c r="J507" s="735" t="s">
        <v>2028</v>
      </c>
      <c r="K507" s="736"/>
      <c r="L507" s="727"/>
      <c r="M507" s="728"/>
      <c r="N507" s="737" t="s">
        <v>196</v>
      </c>
      <c r="O507" s="737" t="s">
        <v>3381</v>
      </c>
      <c r="P507" s="728" t="s">
        <v>2316</v>
      </c>
    </row>
    <row r="508" spans="2:16" s="723" customFormat="1" ht="12" customHeight="1">
      <c r="B508" s="722"/>
      <c r="J508" s="735" t="s">
        <v>2029</v>
      </c>
      <c r="K508" s="736"/>
      <c r="L508" s="727"/>
      <c r="M508" s="728"/>
      <c r="N508" s="737" t="s">
        <v>2032</v>
      </c>
      <c r="O508" s="737" t="s">
        <v>2901</v>
      </c>
      <c r="P508" s="728" t="s">
        <v>2053</v>
      </c>
    </row>
    <row r="509" spans="2:16" s="723" customFormat="1" ht="12" customHeight="1">
      <c r="B509" s="722"/>
      <c r="J509" s="735" t="s">
        <v>2030</v>
      </c>
      <c r="K509" s="736"/>
      <c r="L509" s="727"/>
      <c r="M509" s="728"/>
      <c r="N509" s="737" t="s">
        <v>2034</v>
      </c>
      <c r="O509" s="737" t="s">
        <v>2585</v>
      </c>
      <c r="P509" s="728" t="s">
        <v>2054</v>
      </c>
    </row>
    <row r="510" spans="2:16" s="723" customFormat="1" ht="12" customHeight="1">
      <c r="B510" s="722"/>
      <c r="J510" s="735" t="s">
        <v>2031</v>
      </c>
      <c r="K510" s="736"/>
      <c r="L510" s="727"/>
      <c r="M510" s="728"/>
      <c r="N510" s="737" t="s">
        <v>2037</v>
      </c>
      <c r="O510" s="737" t="s">
        <v>3386</v>
      </c>
      <c r="P510" s="728" t="s">
        <v>2055</v>
      </c>
    </row>
    <row r="511" spans="2:16" s="723" customFormat="1" ht="12" customHeight="1">
      <c r="B511" s="722"/>
      <c r="J511" s="735" t="s">
        <v>2033</v>
      </c>
      <c r="K511" s="736"/>
      <c r="L511" s="727"/>
      <c r="M511" s="728"/>
      <c r="N511" s="737" t="s">
        <v>411</v>
      </c>
      <c r="O511" s="737" t="s">
        <v>3267</v>
      </c>
      <c r="P511" s="728" t="s">
        <v>2056</v>
      </c>
    </row>
    <row r="512" spans="2:16" s="723" customFormat="1" ht="12" customHeight="1">
      <c r="B512" s="722"/>
      <c r="J512" s="735" t="s">
        <v>2035</v>
      </c>
      <c r="K512" s="736"/>
      <c r="L512" s="727"/>
      <c r="M512" s="728"/>
      <c r="N512" s="737" t="s">
        <v>413</v>
      </c>
      <c r="O512" s="737" t="s">
        <v>1753</v>
      </c>
      <c r="P512" s="728" t="s">
        <v>918</v>
      </c>
    </row>
    <row r="513" spans="2:16" s="723" customFormat="1" ht="12" customHeight="1">
      <c r="B513" s="722"/>
      <c r="J513" s="735" t="s">
        <v>2036</v>
      </c>
      <c r="K513" s="736"/>
      <c r="L513" s="727"/>
      <c r="M513" s="728"/>
      <c r="N513" s="737" t="s">
        <v>270</v>
      </c>
      <c r="O513" s="737" t="s">
        <v>2891</v>
      </c>
      <c r="P513" s="728" t="s">
        <v>919</v>
      </c>
    </row>
    <row r="514" spans="2:16" s="723" customFormat="1" ht="12" customHeight="1">
      <c r="B514" s="722"/>
      <c r="J514" s="735" t="s">
        <v>2038</v>
      </c>
      <c r="K514" s="736"/>
      <c r="L514" s="727"/>
      <c r="M514" s="728"/>
      <c r="N514" s="626" t="s">
        <v>2071</v>
      </c>
      <c r="O514" s="626" t="s">
        <v>3316</v>
      </c>
      <c r="P514" s="1400" t="s">
        <v>2856</v>
      </c>
    </row>
    <row r="515" spans="2:16" s="723" customFormat="1" ht="12" customHeight="1">
      <c r="B515" s="722"/>
      <c r="J515" s="735" t="s">
        <v>412</v>
      </c>
      <c r="K515" s="736"/>
      <c r="L515" s="727"/>
      <c r="M515" s="728"/>
      <c r="N515" s="737" t="s">
        <v>1493</v>
      </c>
      <c r="O515" s="737" t="s">
        <v>3388</v>
      </c>
      <c r="P515" s="728" t="s">
        <v>920</v>
      </c>
    </row>
    <row r="516" spans="2:16" s="723" customFormat="1" ht="12" customHeight="1">
      <c r="B516" s="722"/>
      <c r="J516" s="735" t="s">
        <v>269</v>
      </c>
      <c r="K516" s="736"/>
      <c r="L516" s="727"/>
      <c r="M516" s="728"/>
      <c r="N516" s="737" t="s">
        <v>1495</v>
      </c>
      <c r="O516" s="737" t="s">
        <v>1743</v>
      </c>
      <c r="P516" s="728" t="s">
        <v>921</v>
      </c>
    </row>
    <row r="517" spans="2:16" s="723" customFormat="1" ht="12" customHeight="1">
      <c r="B517" s="722"/>
      <c r="J517" s="735" t="s">
        <v>271</v>
      </c>
      <c r="K517" s="736"/>
      <c r="L517" s="727"/>
      <c r="M517" s="728"/>
      <c r="N517" s="737" t="s">
        <v>1497</v>
      </c>
      <c r="O517" s="737" t="s">
        <v>840</v>
      </c>
      <c r="P517" s="728" t="s">
        <v>922</v>
      </c>
    </row>
    <row r="518" spans="2:16" s="723" customFormat="1" ht="12" customHeight="1">
      <c r="B518" s="722"/>
      <c r="J518" s="735" t="s">
        <v>15</v>
      </c>
      <c r="K518" s="736"/>
      <c r="L518" s="727"/>
      <c r="M518" s="728"/>
      <c r="N518" s="737" t="s">
        <v>284</v>
      </c>
      <c r="O518" s="737" t="s">
        <v>351</v>
      </c>
      <c r="P518" s="728" t="s">
        <v>923</v>
      </c>
    </row>
    <row r="519" spans="2:16" s="723" customFormat="1" ht="12" customHeight="1">
      <c r="B519" s="722"/>
      <c r="J519" s="735" t="s">
        <v>1492</v>
      </c>
      <c r="K519" s="736"/>
      <c r="L519" s="727"/>
      <c r="M519" s="728"/>
      <c r="N519" s="737" t="s">
        <v>286</v>
      </c>
      <c r="O519" s="737" t="s">
        <v>3158</v>
      </c>
      <c r="P519" s="728" t="s">
        <v>924</v>
      </c>
    </row>
    <row r="520" spans="2:16" s="723" customFormat="1" ht="12" customHeight="1">
      <c r="B520" s="722"/>
      <c r="J520" s="735" t="s">
        <v>1494</v>
      </c>
      <c r="K520" s="736"/>
      <c r="L520" s="727"/>
      <c r="M520" s="728"/>
      <c r="N520" s="737" t="s">
        <v>2230</v>
      </c>
      <c r="O520" s="737" t="s">
        <v>1265</v>
      </c>
      <c r="P520" s="728" t="s">
        <v>925</v>
      </c>
    </row>
    <row r="521" spans="2:16" s="723" customFormat="1" ht="12" customHeight="1">
      <c r="B521" s="722"/>
      <c r="J521" s="735" t="s">
        <v>1496</v>
      </c>
      <c r="K521" s="736"/>
      <c r="L521" s="727"/>
      <c r="M521" s="728"/>
      <c r="N521" s="737" t="s">
        <v>3055</v>
      </c>
      <c r="O521" s="737" t="s">
        <v>1503</v>
      </c>
      <c r="P521" s="728" t="s">
        <v>926</v>
      </c>
    </row>
    <row r="522" spans="2:16" s="723" customFormat="1" ht="12" customHeight="1">
      <c r="B522" s="722"/>
      <c r="J522" s="735" t="s">
        <v>283</v>
      </c>
      <c r="K522" s="736"/>
      <c r="L522" s="727"/>
      <c r="M522" s="728"/>
      <c r="N522" s="737" t="s">
        <v>614</v>
      </c>
      <c r="O522" s="737" t="s">
        <v>2346</v>
      </c>
      <c r="P522" s="728" t="s">
        <v>927</v>
      </c>
    </row>
    <row r="523" spans="2:16" s="723" customFormat="1" ht="12" customHeight="1">
      <c r="B523" s="722"/>
      <c r="J523" s="735" t="s">
        <v>285</v>
      </c>
      <c r="K523" s="736"/>
      <c r="L523" s="727"/>
      <c r="M523" s="728"/>
      <c r="N523" s="737" t="s">
        <v>872</v>
      </c>
      <c r="O523" s="737" t="s">
        <v>178</v>
      </c>
      <c r="P523" s="728" t="s">
        <v>928</v>
      </c>
    </row>
    <row r="524" spans="2:16" s="723" customFormat="1" ht="12" customHeight="1">
      <c r="B524" s="722"/>
      <c r="J524" s="735" t="s">
        <v>2229</v>
      </c>
      <c r="K524" s="736"/>
      <c r="L524" s="727"/>
      <c r="M524" s="728"/>
      <c r="N524" s="737" t="s">
        <v>687</v>
      </c>
      <c r="O524" s="737" t="s">
        <v>1035</v>
      </c>
      <c r="P524" s="728" t="s">
        <v>929</v>
      </c>
    </row>
    <row r="525" spans="2:16" s="723" customFormat="1" ht="12" customHeight="1">
      <c r="B525" s="722"/>
      <c r="J525" s="735" t="s">
        <v>3054</v>
      </c>
      <c r="K525" s="736"/>
      <c r="L525" s="727"/>
      <c r="M525" s="728"/>
      <c r="N525" s="737" t="s">
        <v>689</v>
      </c>
      <c r="O525" s="737" t="s">
        <v>1762</v>
      </c>
      <c r="P525" s="728" t="s">
        <v>930</v>
      </c>
    </row>
    <row r="526" spans="2:16" s="723" customFormat="1" ht="12" customHeight="1">
      <c r="B526" s="722"/>
      <c r="J526" s="735" t="s">
        <v>613</v>
      </c>
      <c r="K526" s="736"/>
      <c r="L526" s="727"/>
      <c r="M526" s="728"/>
      <c r="N526" s="737" t="s">
        <v>691</v>
      </c>
      <c r="O526" s="737" t="s">
        <v>1901</v>
      </c>
      <c r="P526" s="728" t="s">
        <v>931</v>
      </c>
    </row>
    <row r="527" spans="2:16" s="723" customFormat="1" ht="12" customHeight="1">
      <c r="B527" s="722"/>
      <c r="J527" s="735" t="s">
        <v>1734</v>
      </c>
      <c r="K527" s="736"/>
      <c r="L527" s="727"/>
      <c r="M527" s="728"/>
      <c r="N527" s="737" t="s">
        <v>693</v>
      </c>
      <c r="O527" s="737" t="s">
        <v>1265</v>
      </c>
      <c r="P527" s="728" t="s">
        <v>932</v>
      </c>
    </row>
    <row r="528" spans="2:16" s="723" customFormat="1" ht="12" customHeight="1">
      <c r="B528" s="722"/>
      <c r="J528" s="735" t="s">
        <v>831</v>
      </c>
      <c r="K528" s="736"/>
      <c r="L528" s="727"/>
      <c r="M528" s="728"/>
      <c r="N528" s="737" t="s">
        <v>695</v>
      </c>
      <c r="O528" s="737" t="s">
        <v>2477</v>
      </c>
      <c r="P528" s="728" t="s">
        <v>933</v>
      </c>
    </row>
    <row r="529" spans="2:16" s="723" customFormat="1" ht="12" customHeight="1">
      <c r="B529" s="722"/>
      <c r="J529" s="735" t="s">
        <v>873</v>
      </c>
      <c r="K529" s="736"/>
      <c r="L529" s="727"/>
      <c r="M529" s="728"/>
      <c r="N529" s="737" t="s">
        <v>708</v>
      </c>
      <c r="O529" s="737" t="s">
        <v>362</v>
      </c>
      <c r="P529" s="728" t="s">
        <v>934</v>
      </c>
    </row>
    <row r="530" spans="2:16" s="723" customFormat="1" ht="12" customHeight="1">
      <c r="B530" s="722"/>
      <c r="J530" s="735" t="s">
        <v>874</v>
      </c>
      <c r="K530" s="736"/>
      <c r="L530" s="727"/>
      <c r="M530" s="728"/>
      <c r="N530" s="737" t="s">
        <v>710</v>
      </c>
      <c r="O530" s="737" t="s">
        <v>550</v>
      </c>
      <c r="P530" s="728" t="s">
        <v>935</v>
      </c>
    </row>
    <row r="531" spans="2:16" s="723" customFormat="1" ht="12" customHeight="1">
      <c r="B531" s="722"/>
      <c r="J531" s="735" t="s">
        <v>688</v>
      </c>
      <c r="K531" s="736"/>
      <c r="L531" s="727"/>
      <c r="M531" s="728"/>
      <c r="N531" s="741" t="s">
        <v>879</v>
      </c>
      <c r="O531" s="737" t="s">
        <v>1626</v>
      </c>
      <c r="P531" s="728" t="s">
        <v>936</v>
      </c>
    </row>
    <row r="532" spans="2:16" s="723" customFormat="1" ht="12" customHeight="1">
      <c r="B532" s="722"/>
      <c r="J532" s="735" t="s">
        <v>690</v>
      </c>
      <c r="K532" s="736"/>
      <c r="L532" s="727"/>
      <c r="M532" s="728"/>
      <c r="N532" s="742" t="s">
        <v>1222</v>
      </c>
      <c r="O532" s="737" t="s">
        <v>840</v>
      </c>
      <c r="P532" s="1399" t="s">
        <v>1217</v>
      </c>
    </row>
    <row r="533" spans="2:16" s="723" customFormat="1" ht="12" customHeight="1">
      <c r="B533" s="722"/>
      <c r="J533" s="735" t="s">
        <v>692</v>
      </c>
      <c r="K533" s="736"/>
      <c r="L533" s="727"/>
      <c r="M533" s="728"/>
      <c r="N533" s="737" t="s">
        <v>2235</v>
      </c>
      <c r="O533" s="737" t="s">
        <v>849</v>
      </c>
      <c r="P533" s="728" t="s">
        <v>937</v>
      </c>
    </row>
    <row r="534" spans="2:16" s="723" customFormat="1" ht="12" customHeight="1">
      <c r="B534" s="722"/>
      <c r="J534" s="735" t="s">
        <v>694</v>
      </c>
      <c r="K534" s="736"/>
      <c r="L534" s="727"/>
      <c r="M534" s="728"/>
      <c r="N534" s="737" t="s">
        <v>2792</v>
      </c>
      <c r="O534" s="737" t="s">
        <v>1503</v>
      </c>
      <c r="P534" s="728" t="s">
        <v>938</v>
      </c>
    </row>
    <row r="535" spans="2:16" s="723" customFormat="1" ht="12" customHeight="1">
      <c r="B535" s="722"/>
      <c r="J535" s="735" t="s">
        <v>707</v>
      </c>
      <c r="K535" s="736"/>
      <c r="L535" s="727"/>
      <c r="M535" s="728"/>
      <c r="N535" s="737" t="s">
        <v>2237</v>
      </c>
      <c r="O535" s="737" t="s">
        <v>2719</v>
      </c>
      <c r="P535" s="728" t="s">
        <v>939</v>
      </c>
    </row>
    <row r="536" spans="2:16" s="723" customFormat="1" ht="12" customHeight="1">
      <c r="B536" s="722"/>
      <c r="J536" s="735" t="s">
        <v>709</v>
      </c>
      <c r="K536" s="736"/>
      <c r="L536" s="727"/>
      <c r="M536" s="728"/>
      <c r="N536" s="737" t="s">
        <v>595</v>
      </c>
      <c r="O536" s="737" t="s">
        <v>1753</v>
      </c>
      <c r="P536" s="728" t="s">
        <v>940</v>
      </c>
    </row>
    <row r="537" spans="2:16" s="723" customFormat="1" ht="12" customHeight="1">
      <c r="B537" s="722"/>
      <c r="J537" s="735" t="s">
        <v>903</v>
      </c>
      <c r="K537" s="736"/>
      <c r="L537" s="727"/>
      <c r="M537" s="728"/>
      <c r="N537" s="626" t="s">
        <v>201</v>
      </c>
      <c r="O537" s="626" t="s">
        <v>175</v>
      </c>
      <c r="P537" s="1400" t="s">
        <v>2856</v>
      </c>
    </row>
    <row r="538" spans="2:16" s="723" customFormat="1" ht="12" customHeight="1">
      <c r="B538" s="722"/>
      <c r="J538" s="735" t="s">
        <v>759</v>
      </c>
      <c r="K538" s="736"/>
      <c r="L538" s="727"/>
      <c r="M538" s="728"/>
      <c r="N538" s="737" t="s">
        <v>1689</v>
      </c>
      <c r="O538" s="737" t="s">
        <v>357</v>
      </c>
      <c r="P538" s="728" t="s">
        <v>941</v>
      </c>
    </row>
    <row r="539" spans="2:16" s="723" customFormat="1" ht="12" customHeight="1">
      <c r="B539" s="722"/>
      <c r="J539" s="735" t="s">
        <v>760</v>
      </c>
      <c r="K539" s="736"/>
      <c r="L539" s="727"/>
      <c r="M539" s="728"/>
      <c r="N539" s="737" t="s">
        <v>1394</v>
      </c>
      <c r="O539" s="737" t="s">
        <v>1898</v>
      </c>
      <c r="P539" s="728" t="s">
        <v>942</v>
      </c>
    </row>
    <row r="540" spans="2:16" s="723" customFormat="1" ht="12" customHeight="1">
      <c r="B540" s="722"/>
      <c r="J540" s="735" t="s">
        <v>2791</v>
      </c>
      <c r="K540" s="736"/>
      <c r="L540" s="727"/>
      <c r="M540" s="728"/>
      <c r="N540" s="626" t="s">
        <v>1466</v>
      </c>
      <c r="O540" s="626" t="s">
        <v>192</v>
      </c>
      <c r="P540" s="1400" t="s">
        <v>2856</v>
      </c>
    </row>
    <row r="541" spans="2:16" s="723" customFormat="1" ht="12" customHeight="1">
      <c r="B541" s="722"/>
      <c r="J541" s="735" t="s">
        <v>593</v>
      </c>
      <c r="K541" s="736"/>
      <c r="L541" s="727"/>
      <c r="M541" s="728"/>
      <c r="N541" s="737" t="s">
        <v>145</v>
      </c>
      <c r="O541" s="737" t="s">
        <v>3319</v>
      </c>
      <c r="P541" s="728" t="s">
        <v>943</v>
      </c>
    </row>
    <row r="542" spans="2:16" s="723" customFormat="1" ht="12" customHeight="1">
      <c r="B542" s="722"/>
      <c r="J542" s="735" t="s">
        <v>594</v>
      </c>
      <c r="K542" s="736"/>
      <c r="L542" s="727"/>
      <c r="M542" s="728"/>
      <c r="N542" s="737" t="s">
        <v>3381</v>
      </c>
      <c r="O542" s="737" t="s">
        <v>1765</v>
      </c>
      <c r="P542" s="728" t="s">
        <v>944</v>
      </c>
    </row>
    <row r="543" spans="2:16" s="723" customFormat="1" ht="12" customHeight="1">
      <c r="B543" s="722"/>
      <c r="J543" s="735" t="s">
        <v>1688</v>
      </c>
      <c r="K543" s="736"/>
      <c r="L543" s="727"/>
      <c r="M543" s="728"/>
      <c r="N543" s="737" t="s">
        <v>148</v>
      </c>
      <c r="O543" s="737" t="s">
        <v>840</v>
      </c>
      <c r="P543" s="728" t="s">
        <v>945</v>
      </c>
    </row>
    <row r="544" spans="2:16" s="723" customFormat="1" ht="12" customHeight="1">
      <c r="B544" s="722"/>
      <c r="J544" s="735" t="s">
        <v>1393</v>
      </c>
      <c r="K544" s="736"/>
      <c r="L544" s="727"/>
      <c r="M544" s="728"/>
      <c r="N544" s="737" t="s">
        <v>150</v>
      </c>
      <c r="O544" s="737" t="s">
        <v>3264</v>
      </c>
      <c r="P544" s="728" t="s">
        <v>946</v>
      </c>
    </row>
    <row r="545" spans="2:16" s="723" customFormat="1" ht="12" customHeight="1">
      <c r="B545" s="722"/>
      <c r="J545" s="735" t="s">
        <v>1395</v>
      </c>
      <c r="K545" s="736"/>
      <c r="L545" s="727"/>
      <c r="M545" s="728"/>
      <c r="N545" s="737" t="s">
        <v>3392</v>
      </c>
      <c r="O545" s="737" t="s">
        <v>1757</v>
      </c>
      <c r="P545" s="728" t="s">
        <v>947</v>
      </c>
    </row>
    <row r="546" spans="2:16" s="723" customFormat="1" ht="12" customHeight="1">
      <c r="B546" s="722"/>
      <c r="J546" s="735" t="s">
        <v>1396</v>
      </c>
      <c r="K546" s="736"/>
      <c r="L546" s="727"/>
      <c r="M546" s="728"/>
      <c r="N546" s="737" t="s">
        <v>2809</v>
      </c>
      <c r="O546" s="737" t="s">
        <v>3270</v>
      </c>
      <c r="P546" s="728" t="s">
        <v>948</v>
      </c>
    </row>
    <row r="547" spans="2:16" s="723" customFormat="1" ht="12" customHeight="1">
      <c r="B547" s="722"/>
      <c r="J547" s="735" t="s">
        <v>146</v>
      </c>
      <c r="K547" s="736"/>
      <c r="L547" s="727"/>
      <c r="M547" s="728"/>
      <c r="N547" s="737" t="s">
        <v>1058</v>
      </c>
      <c r="O547" s="737" t="s">
        <v>128</v>
      </c>
      <c r="P547" s="728" t="s">
        <v>949</v>
      </c>
    </row>
    <row r="548" spans="2:16" s="723" customFormat="1" ht="12" customHeight="1">
      <c r="B548" s="722"/>
      <c r="J548" s="735" t="s">
        <v>147</v>
      </c>
      <c r="K548" s="736"/>
      <c r="L548" s="727"/>
      <c r="M548" s="728"/>
      <c r="N548" s="737" t="s">
        <v>1059</v>
      </c>
      <c r="O548" s="737" t="s">
        <v>201</v>
      </c>
      <c r="P548" s="728" t="s">
        <v>950</v>
      </c>
    </row>
    <row r="549" spans="2:16" s="723" customFormat="1" ht="12" customHeight="1">
      <c r="B549" s="722"/>
      <c r="J549" s="735" t="s">
        <v>149</v>
      </c>
      <c r="K549" s="736"/>
      <c r="L549" s="727"/>
      <c r="M549" s="728"/>
      <c r="N549" s="737" t="s">
        <v>892</v>
      </c>
      <c r="O549" s="737" t="s">
        <v>1037</v>
      </c>
      <c r="P549" s="728" t="s">
        <v>951</v>
      </c>
    </row>
    <row r="550" spans="2:16" s="723" customFormat="1" ht="12" customHeight="1">
      <c r="B550" s="722"/>
      <c r="J550" s="735" t="s">
        <v>3391</v>
      </c>
      <c r="K550" s="736"/>
      <c r="L550" s="727"/>
      <c r="M550" s="728"/>
      <c r="N550" s="737" t="s">
        <v>894</v>
      </c>
      <c r="O550" s="737" t="s">
        <v>1512</v>
      </c>
      <c r="P550" s="728" t="s">
        <v>894</v>
      </c>
    </row>
    <row r="551" spans="2:16" s="723" customFormat="1" ht="12" customHeight="1">
      <c r="B551" s="722"/>
      <c r="J551" s="735" t="s">
        <v>2808</v>
      </c>
      <c r="K551" s="736"/>
      <c r="L551" s="727"/>
      <c r="M551" s="728"/>
      <c r="N551" s="737" t="s">
        <v>3012</v>
      </c>
      <c r="O551" s="737" t="s">
        <v>1626</v>
      </c>
      <c r="P551" s="728" t="s">
        <v>952</v>
      </c>
    </row>
    <row r="552" spans="2:16" s="723" customFormat="1" ht="12" customHeight="1">
      <c r="B552" s="722"/>
      <c r="J552" s="735" t="s">
        <v>2810</v>
      </c>
      <c r="K552" s="736"/>
      <c r="L552" s="727"/>
      <c r="M552" s="728"/>
      <c r="N552" s="626" t="s">
        <v>3012</v>
      </c>
      <c r="O552" s="626" t="s">
        <v>1626</v>
      </c>
      <c r="P552" s="1400" t="s">
        <v>2856</v>
      </c>
    </row>
    <row r="553" spans="2:16" s="723" customFormat="1" ht="12" customHeight="1">
      <c r="B553" s="722"/>
      <c r="J553" s="735" t="s">
        <v>761</v>
      </c>
      <c r="K553" s="736"/>
      <c r="L553" s="727"/>
      <c r="M553" s="728"/>
      <c r="N553" s="737" t="s">
        <v>48</v>
      </c>
      <c r="O553" s="737" t="s">
        <v>1756</v>
      </c>
      <c r="P553" s="728" t="s">
        <v>953</v>
      </c>
    </row>
    <row r="554" spans="2:16" s="723" customFormat="1" ht="12" customHeight="1">
      <c r="B554" s="722"/>
      <c r="J554" s="735" t="s">
        <v>3073</v>
      </c>
      <c r="K554" s="736"/>
      <c r="L554" s="727"/>
      <c r="M554" s="728"/>
      <c r="N554" s="737" t="s">
        <v>2975</v>
      </c>
      <c r="O554" s="737" t="s">
        <v>1750</v>
      </c>
      <c r="P554" s="728" t="s">
        <v>954</v>
      </c>
    </row>
    <row r="555" spans="2:16" s="723" customFormat="1" ht="12" customHeight="1">
      <c r="B555" s="722"/>
      <c r="J555" s="735" t="s">
        <v>891</v>
      </c>
      <c r="K555" s="736"/>
      <c r="L555" s="727"/>
      <c r="M555" s="728"/>
      <c r="N555" s="737" t="s">
        <v>1223</v>
      </c>
      <c r="O555" s="737" t="s">
        <v>192</v>
      </c>
      <c r="P555" s="1399" t="s">
        <v>1217</v>
      </c>
    </row>
    <row r="556" spans="2:16" s="723" customFormat="1" ht="12" customHeight="1">
      <c r="B556" s="722"/>
      <c r="J556" s="735" t="s">
        <v>893</v>
      </c>
      <c r="K556" s="736"/>
      <c r="L556" s="727"/>
      <c r="M556" s="728"/>
      <c r="N556" s="737" t="s">
        <v>1433</v>
      </c>
      <c r="O556" s="737" t="s">
        <v>1500</v>
      </c>
      <c r="P556" s="728" t="s">
        <v>955</v>
      </c>
    </row>
    <row r="557" spans="2:16" s="723" customFormat="1" ht="12" customHeight="1">
      <c r="B557" s="722"/>
      <c r="J557" s="735" t="s">
        <v>3011</v>
      </c>
      <c r="K557" s="736"/>
      <c r="L557" s="727"/>
      <c r="M557" s="728"/>
      <c r="N557" s="737" t="s">
        <v>428</v>
      </c>
      <c r="O557" s="737" t="s">
        <v>3386</v>
      </c>
      <c r="P557" s="728" t="s">
        <v>956</v>
      </c>
    </row>
    <row r="558" spans="2:16" s="723" customFormat="1" ht="12" customHeight="1">
      <c r="B558" s="722"/>
      <c r="J558" s="735" t="s">
        <v>46</v>
      </c>
      <c r="K558" s="736"/>
      <c r="L558" s="727"/>
      <c r="M558" s="728"/>
      <c r="N558" s="737" t="s">
        <v>430</v>
      </c>
      <c r="O558" s="737" t="s">
        <v>2886</v>
      </c>
      <c r="P558" s="728" t="s">
        <v>957</v>
      </c>
    </row>
    <row r="559" spans="2:16" s="723" customFormat="1" ht="12" customHeight="1">
      <c r="B559" s="722"/>
      <c r="J559" s="735" t="s">
        <v>47</v>
      </c>
      <c r="K559" s="736"/>
      <c r="L559" s="727"/>
      <c r="M559" s="728"/>
      <c r="N559" s="737" t="s">
        <v>432</v>
      </c>
      <c r="O559" s="737" t="s">
        <v>3319</v>
      </c>
      <c r="P559" s="728" t="s">
        <v>958</v>
      </c>
    </row>
    <row r="560" spans="2:16" s="723" customFormat="1" ht="12" customHeight="1">
      <c r="B560" s="722"/>
      <c r="J560" s="735" t="s">
        <v>2974</v>
      </c>
      <c r="K560" s="736"/>
      <c r="L560" s="727"/>
      <c r="M560" s="728"/>
      <c r="N560" s="737" t="s">
        <v>3386</v>
      </c>
      <c r="O560" s="737" t="s">
        <v>2475</v>
      </c>
      <c r="P560" s="728" t="s">
        <v>959</v>
      </c>
    </row>
    <row r="561" spans="2:16" s="723" customFormat="1" ht="12" customHeight="1">
      <c r="B561" s="722"/>
      <c r="J561" s="735" t="s">
        <v>3002</v>
      </c>
      <c r="K561" s="736"/>
      <c r="L561" s="727"/>
      <c r="M561" s="728"/>
      <c r="N561" s="737" t="s">
        <v>2043</v>
      </c>
      <c r="O561" s="737" t="s">
        <v>3268</v>
      </c>
      <c r="P561" s="728" t="s">
        <v>960</v>
      </c>
    </row>
    <row r="562" spans="2:16" s="723" customFormat="1" ht="12" customHeight="1">
      <c r="B562" s="722"/>
      <c r="J562" s="735" t="s">
        <v>427</v>
      </c>
      <c r="K562" s="736"/>
      <c r="L562" s="727"/>
      <c r="M562" s="728"/>
      <c r="N562" s="737" t="s">
        <v>2045</v>
      </c>
      <c r="O562" s="737" t="s">
        <v>355</v>
      </c>
      <c r="P562" s="728" t="s">
        <v>961</v>
      </c>
    </row>
    <row r="563" spans="2:16" s="723" customFormat="1" ht="12" customHeight="1">
      <c r="B563" s="722"/>
      <c r="J563" s="735" t="s">
        <v>429</v>
      </c>
      <c r="K563" s="736"/>
      <c r="L563" s="727"/>
      <c r="M563" s="728"/>
      <c r="N563" s="737" t="s">
        <v>1881</v>
      </c>
      <c r="O563" s="737" t="s">
        <v>127</v>
      </c>
      <c r="P563" s="728" t="s">
        <v>962</v>
      </c>
    </row>
    <row r="564" spans="2:16" s="723" customFormat="1" ht="12" customHeight="1">
      <c r="B564" s="722"/>
      <c r="J564" s="735" t="s">
        <v>431</v>
      </c>
      <c r="K564" s="736"/>
      <c r="L564" s="727"/>
      <c r="M564" s="728"/>
      <c r="N564" s="737" t="s">
        <v>3219</v>
      </c>
      <c r="O564" s="737" t="s">
        <v>3270</v>
      </c>
      <c r="P564" s="728" t="s">
        <v>963</v>
      </c>
    </row>
    <row r="565" spans="2:16" s="723" customFormat="1" ht="12" customHeight="1">
      <c r="B565" s="722"/>
      <c r="J565" s="735" t="s">
        <v>433</v>
      </c>
      <c r="K565" s="736"/>
      <c r="L565" s="727"/>
      <c r="M565" s="728"/>
      <c r="N565" s="626" t="s">
        <v>1467</v>
      </c>
      <c r="O565" s="626" t="s">
        <v>807</v>
      </c>
      <c r="P565" s="1400" t="s">
        <v>2856</v>
      </c>
    </row>
    <row r="566" spans="2:16" s="723" customFormat="1" ht="12" customHeight="1">
      <c r="B566" s="722"/>
      <c r="J566" s="735" t="s">
        <v>2042</v>
      </c>
      <c r="K566" s="736"/>
      <c r="L566" s="727"/>
      <c r="M566" s="728"/>
      <c r="N566" s="626" t="s">
        <v>1468</v>
      </c>
      <c r="O566" s="626" t="s">
        <v>807</v>
      </c>
      <c r="P566" s="1400" t="s">
        <v>2856</v>
      </c>
    </row>
    <row r="567" spans="2:16" s="723" customFormat="1" ht="12" customHeight="1">
      <c r="B567" s="722"/>
      <c r="J567" s="735" t="s">
        <v>2044</v>
      </c>
      <c r="K567" s="736"/>
      <c r="L567" s="727"/>
      <c r="M567" s="728"/>
      <c r="N567" s="626" t="s">
        <v>1469</v>
      </c>
      <c r="O567" s="626" t="s">
        <v>807</v>
      </c>
      <c r="P567" s="1400" t="s">
        <v>2856</v>
      </c>
    </row>
    <row r="568" spans="2:16" s="723" customFormat="1" ht="12" customHeight="1">
      <c r="B568" s="722"/>
      <c r="J568" s="735" t="s">
        <v>2046</v>
      </c>
      <c r="K568" s="736"/>
      <c r="L568" s="727"/>
      <c r="M568" s="728"/>
      <c r="N568" s="737" t="s">
        <v>2517</v>
      </c>
      <c r="O568" s="737" t="s">
        <v>3387</v>
      </c>
      <c r="P568" s="728" t="s">
        <v>964</v>
      </c>
    </row>
    <row r="569" spans="2:16" s="723" customFormat="1" ht="12" customHeight="1">
      <c r="B569" s="722"/>
      <c r="J569" s="735" t="s">
        <v>3390</v>
      </c>
      <c r="K569" s="736"/>
      <c r="L569" s="727"/>
      <c r="M569" s="728"/>
      <c r="N569" s="737" t="s">
        <v>2528</v>
      </c>
      <c r="O569" s="737" t="s">
        <v>110</v>
      </c>
      <c r="P569" s="728" t="s">
        <v>965</v>
      </c>
    </row>
    <row r="570" spans="2:16" s="723" customFormat="1" ht="12" customHeight="1">
      <c r="B570" s="722"/>
      <c r="J570" s="735" t="s">
        <v>3220</v>
      </c>
      <c r="K570" s="736"/>
      <c r="L570" s="727"/>
      <c r="M570" s="728"/>
      <c r="N570" s="737" t="s">
        <v>2530</v>
      </c>
      <c r="O570" s="737" t="s">
        <v>2969</v>
      </c>
      <c r="P570" s="728" t="s">
        <v>966</v>
      </c>
    </row>
    <row r="571" spans="2:16" s="723" customFormat="1" ht="12" customHeight="1">
      <c r="B571" s="722"/>
      <c r="J571" s="735" t="s">
        <v>2527</v>
      </c>
      <c r="K571" s="736"/>
      <c r="L571" s="727"/>
      <c r="M571" s="728"/>
      <c r="N571" s="737" t="s">
        <v>2533</v>
      </c>
      <c r="O571" s="737" t="s">
        <v>2969</v>
      </c>
      <c r="P571" s="728" t="s">
        <v>967</v>
      </c>
    </row>
    <row r="572" spans="2:16" s="723" customFormat="1" ht="12" customHeight="1">
      <c r="B572" s="722"/>
      <c r="J572" s="735" t="s">
        <v>2529</v>
      </c>
      <c r="K572" s="736"/>
      <c r="L572" s="727"/>
      <c r="M572" s="728"/>
      <c r="N572" s="737" t="s">
        <v>2535</v>
      </c>
      <c r="O572" s="737" t="s">
        <v>343</v>
      </c>
      <c r="P572" s="728" t="s">
        <v>968</v>
      </c>
    </row>
    <row r="573" spans="2:16" s="723" customFormat="1" ht="12" customHeight="1">
      <c r="B573" s="722"/>
      <c r="J573" s="735" t="s">
        <v>2531</v>
      </c>
      <c r="K573" s="736"/>
      <c r="L573" s="727"/>
      <c r="M573" s="728"/>
      <c r="N573" s="737" t="s">
        <v>2537</v>
      </c>
      <c r="O573" s="737" t="s">
        <v>2346</v>
      </c>
      <c r="P573" s="728" t="s">
        <v>969</v>
      </c>
    </row>
    <row r="574" spans="2:16" s="723" customFormat="1" ht="12" customHeight="1">
      <c r="B574" s="722"/>
      <c r="J574" s="735" t="s">
        <v>2532</v>
      </c>
      <c r="K574" s="736"/>
      <c r="L574" s="727"/>
      <c r="M574" s="728"/>
      <c r="N574" s="737" t="s">
        <v>2539</v>
      </c>
      <c r="O574" s="737" t="s">
        <v>353</v>
      </c>
      <c r="P574" s="728" t="s">
        <v>970</v>
      </c>
    </row>
    <row r="575" spans="2:16" s="723" customFormat="1" ht="12" customHeight="1">
      <c r="B575" s="722"/>
      <c r="J575" s="735" t="s">
        <v>2534</v>
      </c>
      <c r="K575" s="736"/>
      <c r="L575" s="727"/>
      <c r="M575" s="728"/>
      <c r="N575" s="737" t="s">
        <v>3387</v>
      </c>
      <c r="O575" s="737" t="s">
        <v>112</v>
      </c>
      <c r="P575" s="728" t="s">
        <v>971</v>
      </c>
    </row>
    <row r="576" spans="2:16" s="723" customFormat="1" ht="12" customHeight="1">
      <c r="B576" s="722"/>
      <c r="J576" s="735" t="s">
        <v>2536</v>
      </c>
      <c r="K576" s="736"/>
      <c r="L576" s="727"/>
      <c r="M576" s="728"/>
      <c r="N576" s="737" t="s">
        <v>2655</v>
      </c>
      <c r="O576" s="737" t="s">
        <v>114</v>
      </c>
      <c r="P576" s="728" t="s">
        <v>972</v>
      </c>
    </row>
    <row r="577" spans="2:16" s="723" customFormat="1" ht="12" customHeight="1">
      <c r="B577" s="722"/>
      <c r="J577" s="735" t="s">
        <v>2538</v>
      </c>
      <c r="K577" s="736"/>
      <c r="L577" s="727"/>
      <c r="M577" s="728"/>
      <c r="N577" s="737" t="s">
        <v>2508</v>
      </c>
      <c r="O577" s="737" t="s">
        <v>1501</v>
      </c>
      <c r="P577" s="728" t="s">
        <v>973</v>
      </c>
    </row>
    <row r="578" spans="2:16" s="723" customFormat="1" ht="12" customHeight="1">
      <c r="B578" s="722"/>
      <c r="J578" s="735" t="s">
        <v>2540</v>
      </c>
      <c r="K578" s="736"/>
      <c r="L578" s="727"/>
      <c r="M578" s="728"/>
      <c r="N578" s="737" t="s">
        <v>3388</v>
      </c>
      <c r="O578" s="737" t="s">
        <v>1753</v>
      </c>
      <c r="P578" s="728" t="s">
        <v>974</v>
      </c>
    </row>
    <row r="579" spans="2:16" s="723" customFormat="1" ht="12" customHeight="1">
      <c r="B579" s="722"/>
      <c r="J579" s="735" t="s">
        <v>2541</v>
      </c>
      <c r="K579" s="736"/>
      <c r="L579" s="727"/>
      <c r="M579" s="728"/>
      <c r="N579" s="737" t="s">
        <v>2321</v>
      </c>
      <c r="O579" s="737" t="s">
        <v>2886</v>
      </c>
      <c r="P579" s="728" t="s">
        <v>975</v>
      </c>
    </row>
    <row r="580" spans="2:16" s="723" customFormat="1" ht="12" customHeight="1">
      <c r="B580" s="722"/>
      <c r="J580" s="735" t="s">
        <v>2507</v>
      </c>
      <c r="K580" s="736"/>
      <c r="L580" s="727"/>
      <c r="M580" s="728"/>
      <c r="N580" s="737" t="s">
        <v>1224</v>
      </c>
      <c r="O580" s="737" t="s">
        <v>2893</v>
      </c>
      <c r="P580" s="1399" t="s">
        <v>1217</v>
      </c>
    </row>
    <row r="581" spans="2:16" s="723" customFormat="1" ht="12" customHeight="1">
      <c r="B581" s="722"/>
      <c r="J581" s="735" t="s">
        <v>2319</v>
      </c>
      <c r="K581" s="736"/>
      <c r="L581" s="727"/>
      <c r="M581" s="728"/>
      <c r="N581" s="737" t="s">
        <v>2999</v>
      </c>
      <c r="O581" s="737" t="s">
        <v>2348</v>
      </c>
      <c r="P581" s="728" t="s">
        <v>976</v>
      </c>
    </row>
    <row r="582" spans="2:16" s="723" customFormat="1" ht="12" customHeight="1">
      <c r="B582" s="722"/>
      <c r="J582" s="735" t="s">
        <v>2320</v>
      </c>
      <c r="K582" s="736"/>
      <c r="L582" s="727"/>
      <c r="M582" s="728"/>
      <c r="N582" s="737" t="s">
        <v>3001</v>
      </c>
      <c r="O582" s="737" t="s">
        <v>2890</v>
      </c>
      <c r="P582" s="728" t="s">
        <v>977</v>
      </c>
    </row>
    <row r="583" spans="2:16" s="723" customFormat="1" ht="12" customHeight="1">
      <c r="B583" s="722"/>
      <c r="J583" s="735" t="s">
        <v>2322</v>
      </c>
      <c r="K583" s="736"/>
      <c r="L583" s="727"/>
      <c r="M583" s="728"/>
      <c r="N583" s="737" t="s">
        <v>727</v>
      </c>
      <c r="O583" s="737" t="s">
        <v>3386</v>
      </c>
      <c r="P583" s="728" t="s">
        <v>978</v>
      </c>
    </row>
    <row r="584" spans="2:16" s="723" customFormat="1" ht="12" customHeight="1">
      <c r="B584" s="722"/>
      <c r="J584" s="735" t="s">
        <v>3000</v>
      </c>
      <c r="K584" s="736"/>
      <c r="L584" s="727"/>
      <c r="M584" s="728"/>
      <c r="N584" s="737" t="s">
        <v>729</v>
      </c>
      <c r="O584" s="737" t="s">
        <v>1626</v>
      </c>
      <c r="P584" s="728" t="s">
        <v>979</v>
      </c>
    </row>
    <row r="585" spans="2:16" s="723" customFormat="1" ht="12" customHeight="1">
      <c r="B585" s="722"/>
      <c r="J585" s="735" t="s">
        <v>726</v>
      </c>
      <c r="K585" s="736"/>
      <c r="L585" s="727"/>
      <c r="M585" s="728"/>
      <c r="N585" s="626" t="s">
        <v>1470</v>
      </c>
      <c r="O585" s="626" t="s">
        <v>807</v>
      </c>
      <c r="P585" s="1400" t="s">
        <v>2856</v>
      </c>
    </row>
    <row r="586" spans="2:16" s="723" customFormat="1" ht="12" customHeight="1">
      <c r="B586" s="722"/>
      <c r="J586" s="735" t="s">
        <v>728</v>
      </c>
      <c r="K586" s="736"/>
      <c r="L586" s="727"/>
      <c r="M586" s="728"/>
      <c r="N586" s="737" t="s">
        <v>731</v>
      </c>
      <c r="O586" s="737" t="s">
        <v>2345</v>
      </c>
      <c r="P586" s="728" t="s">
        <v>980</v>
      </c>
    </row>
    <row r="587" spans="2:16" s="723" customFormat="1" ht="12" customHeight="1">
      <c r="B587" s="722"/>
      <c r="J587" s="735" t="s">
        <v>730</v>
      </c>
      <c r="K587" s="736"/>
      <c r="L587" s="727"/>
      <c r="M587" s="728"/>
      <c r="N587" s="737" t="s">
        <v>1592</v>
      </c>
      <c r="O587" s="737" t="s">
        <v>1501</v>
      </c>
      <c r="P587" s="728" t="s">
        <v>981</v>
      </c>
    </row>
    <row r="588" spans="2:16" s="723" customFormat="1" ht="12" customHeight="1">
      <c r="B588" s="722"/>
      <c r="J588" s="735" t="s">
        <v>2767</v>
      </c>
      <c r="K588" s="736"/>
      <c r="L588" s="727"/>
      <c r="M588" s="728"/>
      <c r="N588" s="737" t="s">
        <v>1892</v>
      </c>
      <c r="O588" s="737" t="s">
        <v>2346</v>
      </c>
      <c r="P588" s="728" t="s">
        <v>982</v>
      </c>
    </row>
    <row r="589" spans="2:16" s="723" customFormat="1" ht="12" customHeight="1">
      <c r="B589" s="722"/>
      <c r="J589" s="735" t="s">
        <v>1891</v>
      </c>
      <c r="K589" s="736"/>
      <c r="L589" s="727"/>
      <c r="M589" s="728"/>
      <c r="N589" s="737" t="s">
        <v>1894</v>
      </c>
      <c r="O589" s="737" t="s">
        <v>1752</v>
      </c>
      <c r="P589" s="728" t="s">
        <v>1894</v>
      </c>
    </row>
    <row r="590" spans="2:16" s="723" customFormat="1" ht="12" customHeight="1">
      <c r="B590" s="722"/>
      <c r="J590" s="735" t="s">
        <v>1893</v>
      </c>
      <c r="K590" s="736"/>
      <c r="L590" s="727"/>
      <c r="M590" s="728"/>
      <c r="N590" s="737" t="s">
        <v>1896</v>
      </c>
      <c r="O590" s="737" t="s">
        <v>842</v>
      </c>
      <c r="P590" s="728" t="s">
        <v>1896</v>
      </c>
    </row>
    <row r="591" spans="2:16" s="723" customFormat="1" ht="12" customHeight="1">
      <c r="B591" s="722"/>
      <c r="J591" s="735" t="s">
        <v>1895</v>
      </c>
      <c r="K591" s="736"/>
      <c r="L591" s="727"/>
      <c r="M591" s="728"/>
      <c r="N591" s="737" t="s">
        <v>2041</v>
      </c>
      <c r="O591" s="737" t="s">
        <v>2471</v>
      </c>
      <c r="P591" s="728" t="s">
        <v>983</v>
      </c>
    </row>
    <row r="592" spans="2:16" s="723" customFormat="1" ht="12" customHeight="1">
      <c r="B592" s="722"/>
      <c r="J592" s="735" t="s">
        <v>2040</v>
      </c>
      <c r="K592" s="736"/>
      <c r="L592" s="727"/>
      <c r="M592" s="728"/>
      <c r="N592" s="737" t="s">
        <v>2834</v>
      </c>
      <c r="O592" s="737" t="s">
        <v>2235</v>
      </c>
      <c r="P592" s="728" t="s">
        <v>984</v>
      </c>
    </row>
    <row r="593" spans="2:20" s="723" customFormat="1" ht="12" customHeight="1">
      <c r="B593" s="722"/>
      <c r="J593" s="735" t="s">
        <v>2833</v>
      </c>
      <c r="K593" s="736"/>
      <c r="L593" s="727"/>
      <c r="M593" s="728"/>
      <c r="N593" s="737" t="s">
        <v>2836</v>
      </c>
      <c r="O593" s="737" t="s">
        <v>1758</v>
      </c>
      <c r="P593" s="728" t="s">
        <v>985</v>
      </c>
    </row>
    <row r="594" spans="2:20" s="723" customFormat="1" ht="12" customHeight="1">
      <c r="B594" s="722"/>
      <c r="J594" s="735" t="s">
        <v>2835</v>
      </c>
      <c r="K594" s="736"/>
      <c r="L594" s="727"/>
      <c r="M594" s="728"/>
      <c r="N594" s="737" t="s">
        <v>1882</v>
      </c>
      <c r="O594" s="737" t="s">
        <v>355</v>
      </c>
      <c r="P594" s="728" t="s">
        <v>986</v>
      </c>
      <c r="R594" s="626" t="s">
        <v>99</v>
      </c>
      <c r="S594" s="626" t="s">
        <v>101</v>
      </c>
      <c r="T594" s="626" t="s">
        <v>100</v>
      </c>
    </row>
    <row r="595" spans="2:20" s="723" customFormat="1" ht="12" customHeight="1">
      <c r="B595" s="722"/>
      <c r="J595" s="735" t="s">
        <v>2837</v>
      </c>
      <c r="K595" s="736"/>
      <c r="L595" s="727"/>
      <c r="M595" s="728"/>
      <c r="N595" s="737" t="s">
        <v>1884</v>
      </c>
      <c r="O595" s="737" t="s">
        <v>352</v>
      </c>
      <c r="P595" s="728" t="s">
        <v>987</v>
      </c>
      <c r="R595" s="626" t="s">
        <v>3358</v>
      </c>
      <c r="S595" s="626" t="s">
        <v>807</v>
      </c>
      <c r="T595" s="1400" t="s">
        <v>2856</v>
      </c>
    </row>
    <row r="596" spans="2:20" s="723" customFormat="1" ht="12" customHeight="1">
      <c r="B596" s="722"/>
      <c r="J596" s="735" t="s">
        <v>1883</v>
      </c>
      <c r="K596" s="736"/>
      <c r="L596" s="727"/>
      <c r="M596" s="728"/>
      <c r="N596" s="626" t="s">
        <v>1471</v>
      </c>
      <c r="O596" s="626" t="s">
        <v>2348</v>
      </c>
      <c r="P596" s="1400" t="s">
        <v>2856</v>
      </c>
      <c r="R596" s="626" t="s">
        <v>3359</v>
      </c>
      <c r="S596" s="626" t="s">
        <v>351</v>
      </c>
      <c r="T596" s="1400" t="s">
        <v>2856</v>
      </c>
    </row>
    <row r="597" spans="2:20" s="723" customFormat="1" ht="12" customHeight="1">
      <c r="B597" s="722"/>
      <c r="J597" s="735" t="s">
        <v>1885</v>
      </c>
      <c r="K597" s="736"/>
      <c r="L597" s="727"/>
      <c r="M597" s="728"/>
      <c r="N597" s="737" t="s">
        <v>1886</v>
      </c>
      <c r="O597" s="737" t="s">
        <v>807</v>
      </c>
      <c r="P597" s="728" t="s">
        <v>988</v>
      </c>
      <c r="R597" s="626" t="s">
        <v>3360</v>
      </c>
      <c r="S597" s="626" t="s">
        <v>3264</v>
      </c>
      <c r="T597" s="1400" t="s">
        <v>2856</v>
      </c>
    </row>
    <row r="598" spans="2:20" s="723" customFormat="1" ht="12" customHeight="1">
      <c r="B598" s="722"/>
      <c r="J598" s="735" t="s">
        <v>2014</v>
      </c>
      <c r="K598" s="736"/>
      <c r="L598" s="727"/>
      <c r="M598" s="728"/>
      <c r="N598" s="737" t="s">
        <v>2015</v>
      </c>
      <c r="O598" s="737" t="s">
        <v>347</v>
      </c>
      <c r="P598" s="728" t="s">
        <v>989</v>
      </c>
      <c r="R598" s="626" t="s">
        <v>3361</v>
      </c>
      <c r="S598" s="626"/>
      <c r="T598" s="1400" t="s">
        <v>2856</v>
      </c>
    </row>
    <row r="599" spans="2:20" s="723" customFormat="1" ht="12" customHeight="1">
      <c r="B599" s="722"/>
      <c r="J599" s="735" t="s">
        <v>2016</v>
      </c>
      <c r="K599" s="736"/>
      <c r="L599" s="727"/>
      <c r="M599" s="728"/>
      <c r="N599" s="737" t="s">
        <v>2766</v>
      </c>
      <c r="O599" s="737" t="s">
        <v>1349</v>
      </c>
      <c r="P599" s="728" t="s">
        <v>990</v>
      </c>
      <c r="R599" s="626" t="s">
        <v>3362</v>
      </c>
      <c r="S599" s="626" t="s">
        <v>2718</v>
      </c>
      <c r="T599" s="1400" t="s">
        <v>2856</v>
      </c>
    </row>
    <row r="600" spans="2:20" s="723" customFormat="1" ht="12" customHeight="1">
      <c r="B600" s="722"/>
      <c r="J600" s="735" t="s">
        <v>2765</v>
      </c>
      <c r="K600" s="736"/>
      <c r="L600" s="727"/>
      <c r="M600" s="728"/>
      <c r="N600" s="737" t="s">
        <v>2577</v>
      </c>
      <c r="O600" s="737" t="s">
        <v>2660</v>
      </c>
      <c r="P600" s="728" t="s">
        <v>991</v>
      </c>
      <c r="R600" s="626" t="s">
        <v>3363</v>
      </c>
      <c r="S600" s="626" t="s">
        <v>3264</v>
      </c>
      <c r="T600" s="1400" t="s">
        <v>2856</v>
      </c>
    </row>
    <row r="601" spans="2:20" s="723" customFormat="1" ht="12" customHeight="1">
      <c r="B601" s="722"/>
      <c r="J601" s="735" t="s">
        <v>2576</v>
      </c>
      <c r="K601" s="736"/>
      <c r="L601" s="727"/>
      <c r="M601" s="728"/>
      <c r="N601" s="737" t="s">
        <v>307</v>
      </c>
      <c r="O601" s="737" t="s">
        <v>2660</v>
      </c>
      <c r="P601" s="728" t="s">
        <v>992</v>
      </c>
      <c r="R601" s="626" t="s">
        <v>3364</v>
      </c>
      <c r="S601" s="626" t="s">
        <v>1760</v>
      </c>
      <c r="T601" s="1400" t="s">
        <v>2856</v>
      </c>
    </row>
    <row r="602" spans="2:20" s="723" customFormat="1" ht="12" customHeight="1">
      <c r="B602" s="722"/>
      <c r="J602" s="735" t="s">
        <v>306</v>
      </c>
      <c r="K602" s="736"/>
      <c r="L602" s="727"/>
      <c r="M602" s="728"/>
      <c r="N602" s="737" t="s">
        <v>2374</v>
      </c>
      <c r="O602" s="737" t="s">
        <v>2895</v>
      </c>
      <c r="P602" s="728" t="s">
        <v>993</v>
      </c>
      <c r="R602" s="626" t="s">
        <v>3365</v>
      </c>
      <c r="S602" s="626" t="s">
        <v>2720</v>
      </c>
      <c r="T602" s="1400" t="s">
        <v>2856</v>
      </c>
    </row>
    <row r="603" spans="2:20" s="723" customFormat="1" ht="12" customHeight="1">
      <c r="B603" s="722"/>
      <c r="J603" s="735" t="s">
        <v>2373</v>
      </c>
      <c r="K603" s="736"/>
      <c r="L603" s="727"/>
      <c r="M603" s="728"/>
      <c r="N603" s="737" t="s">
        <v>288</v>
      </c>
      <c r="O603" s="737" t="s">
        <v>852</v>
      </c>
      <c r="P603" s="728" t="s">
        <v>994</v>
      </c>
      <c r="R603" s="626" t="s">
        <v>3366</v>
      </c>
      <c r="S603" s="626" t="s">
        <v>851</v>
      </c>
      <c r="T603" s="1400" t="s">
        <v>2856</v>
      </c>
    </row>
    <row r="604" spans="2:20" s="723" customFormat="1" ht="12" customHeight="1">
      <c r="B604" s="722"/>
      <c r="J604" s="735" t="s">
        <v>287</v>
      </c>
      <c r="K604" s="736"/>
      <c r="L604" s="727"/>
      <c r="M604" s="728"/>
      <c r="N604" s="737" t="s">
        <v>1597</v>
      </c>
      <c r="O604" s="737" t="s">
        <v>175</v>
      </c>
      <c r="P604" s="728" t="s">
        <v>995</v>
      </c>
      <c r="R604" s="626" t="s">
        <v>3367</v>
      </c>
      <c r="S604" s="626" t="s">
        <v>807</v>
      </c>
      <c r="T604" s="1400" t="s">
        <v>2856</v>
      </c>
    </row>
    <row r="605" spans="2:20" s="723" customFormat="1" ht="12" customHeight="1">
      <c r="B605" s="722"/>
      <c r="J605" s="735" t="s">
        <v>303</v>
      </c>
      <c r="K605" s="736"/>
      <c r="L605" s="727"/>
      <c r="M605" s="728"/>
      <c r="N605" s="737" t="s">
        <v>1599</v>
      </c>
      <c r="O605" s="737" t="s">
        <v>175</v>
      </c>
      <c r="P605" s="728" t="s">
        <v>996</v>
      </c>
      <c r="R605" s="626" t="s">
        <v>3368</v>
      </c>
      <c r="S605" s="626" t="s">
        <v>2890</v>
      </c>
      <c r="T605" s="1400" t="s">
        <v>2856</v>
      </c>
    </row>
    <row r="606" spans="2:20" s="723" customFormat="1" ht="12" customHeight="1">
      <c r="B606" s="722"/>
      <c r="J606" s="735" t="s">
        <v>1598</v>
      </c>
      <c r="K606" s="736"/>
      <c r="L606" s="727"/>
      <c r="M606" s="728"/>
      <c r="N606" s="737" t="s">
        <v>1048</v>
      </c>
      <c r="O606" s="737" t="s">
        <v>1760</v>
      </c>
      <c r="P606" s="728" t="s">
        <v>997</v>
      </c>
      <c r="R606" s="626" t="s">
        <v>3369</v>
      </c>
      <c r="S606" s="626" t="s">
        <v>3319</v>
      </c>
      <c r="T606" s="1400" t="s">
        <v>2856</v>
      </c>
    </row>
    <row r="607" spans="2:20" s="723" customFormat="1" ht="12" customHeight="1">
      <c r="B607" s="722"/>
      <c r="J607" s="735" t="s">
        <v>1047</v>
      </c>
      <c r="K607" s="736"/>
      <c r="L607" s="727"/>
      <c r="M607" s="728"/>
      <c r="N607" s="737" t="s">
        <v>268</v>
      </c>
      <c r="O607" s="737" t="s">
        <v>3386</v>
      </c>
      <c r="P607" s="728" t="s">
        <v>998</v>
      </c>
      <c r="R607" s="626" t="s">
        <v>2971</v>
      </c>
      <c r="S607" s="626" t="s">
        <v>3316</v>
      </c>
      <c r="T607" s="1400" t="s">
        <v>2856</v>
      </c>
    </row>
    <row r="608" spans="2:20" s="723" customFormat="1" ht="12" customHeight="1">
      <c r="B608" s="722"/>
      <c r="J608" s="735" t="s">
        <v>1049</v>
      </c>
      <c r="K608" s="736"/>
      <c r="L608" s="727"/>
      <c r="M608" s="728"/>
      <c r="N608" s="737" t="s">
        <v>1430</v>
      </c>
      <c r="O608" s="737" t="s">
        <v>3160</v>
      </c>
      <c r="P608" s="728" t="s">
        <v>999</v>
      </c>
      <c r="R608" s="626" t="s">
        <v>3370</v>
      </c>
      <c r="S608" s="626" t="s">
        <v>2890</v>
      </c>
      <c r="T608" s="1400" t="s">
        <v>2856</v>
      </c>
    </row>
    <row r="609" spans="2:20" s="723" customFormat="1" ht="12" customHeight="1">
      <c r="B609" s="722"/>
      <c r="J609" s="735" t="s">
        <v>1429</v>
      </c>
      <c r="K609" s="736"/>
      <c r="L609" s="727"/>
      <c r="M609" s="728"/>
      <c r="N609" s="737" t="s">
        <v>2443</v>
      </c>
      <c r="O609" s="737" t="s">
        <v>3267</v>
      </c>
      <c r="P609" s="728" t="s">
        <v>1000</v>
      </c>
      <c r="R609" s="626" t="s">
        <v>3371</v>
      </c>
      <c r="S609" s="626" t="s">
        <v>3267</v>
      </c>
      <c r="T609" s="1400" t="s">
        <v>2856</v>
      </c>
    </row>
    <row r="610" spans="2:20" s="723" customFormat="1" ht="12" customHeight="1">
      <c r="B610" s="722"/>
      <c r="J610" s="735" t="s">
        <v>1431</v>
      </c>
      <c r="K610" s="736"/>
      <c r="L610" s="727"/>
      <c r="M610" s="728"/>
      <c r="N610" s="737" t="s">
        <v>2513</v>
      </c>
      <c r="O610" s="737" t="s">
        <v>116</v>
      </c>
      <c r="P610" s="1399" t="s">
        <v>1217</v>
      </c>
      <c r="R610" s="626" t="s">
        <v>3372</v>
      </c>
      <c r="S610" s="626" t="s">
        <v>2718</v>
      </c>
      <c r="T610" s="1400" t="s">
        <v>2856</v>
      </c>
    </row>
    <row r="611" spans="2:20" s="723" customFormat="1" ht="12" customHeight="1">
      <c r="B611" s="722"/>
      <c r="J611" s="735" t="s">
        <v>2512</v>
      </c>
      <c r="K611" s="736"/>
      <c r="L611" s="727"/>
      <c r="M611" s="728"/>
      <c r="N611" s="737" t="s">
        <v>1506</v>
      </c>
      <c r="O611" s="737" t="s">
        <v>1035</v>
      </c>
      <c r="P611" s="728" t="s">
        <v>1001</v>
      </c>
      <c r="R611" s="626" t="s">
        <v>1452</v>
      </c>
      <c r="S611" s="626" t="s">
        <v>1901</v>
      </c>
      <c r="T611" s="1400" t="s">
        <v>2856</v>
      </c>
    </row>
    <row r="612" spans="2:20" s="723" customFormat="1" ht="12" customHeight="1">
      <c r="B612" s="722"/>
      <c r="J612" s="735" t="s">
        <v>2514</v>
      </c>
      <c r="K612" s="736"/>
      <c r="L612" s="727"/>
      <c r="M612" s="728"/>
      <c r="N612" s="626" t="s">
        <v>1472</v>
      </c>
      <c r="O612" s="626" t="s">
        <v>1351</v>
      </c>
      <c r="P612" s="1400" t="s">
        <v>2856</v>
      </c>
      <c r="R612" s="626" t="s">
        <v>1299</v>
      </c>
      <c r="S612" s="626" t="s">
        <v>1510</v>
      </c>
      <c r="T612" s="1400" t="s">
        <v>2856</v>
      </c>
    </row>
    <row r="613" spans="2:20" s="723" customFormat="1" ht="12" customHeight="1">
      <c r="B613" s="722"/>
      <c r="J613" s="735" t="s">
        <v>2515</v>
      </c>
      <c r="K613" s="736"/>
      <c r="L613" s="727"/>
      <c r="M613" s="728"/>
      <c r="N613" s="737" t="s">
        <v>1510</v>
      </c>
      <c r="O613" s="737" t="s">
        <v>1757</v>
      </c>
      <c r="P613" s="728" t="s">
        <v>1002</v>
      </c>
      <c r="R613" s="626" t="s">
        <v>1453</v>
      </c>
      <c r="S613" s="626" t="s">
        <v>807</v>
      </c>
      <c r="T613" s="1400" t="s">
        <v>2856</v>
      </c>
    </row>
    <row r="614" spans="2:20" s="723" customFormat="1" ht="12" customHeight="1">
      <c r="B614" s="722"/>
      <c r="J614" s="735" t="s">
        <v>1546</v>
      </c>
      <c r="K614" s="736"/>
      <c r="L614" s="727"/>
      <c r="M614" s="728"/>
      <c r="N614" s="737" t="s">
        <v>437</v>
      </c>
      <c r="O614" s="737" t="s">
        <v>852</v>
      </c>
      <c r="P614" s="728" t="s">
        <v>1003</v>
      </c>
      <c r="R614" s="626" t="s">
        <v>1454</v>
      </c>
      <c r="S614" s="626" t="s">
        <v>2619</v>
      </c>
      <c r="T614" s="1400" t="s">
        <v>2856</v>
      </c>
    </row>
    <row r="615" spans="2:20" s="723" customFormat="1" ht="12" customHeight="1">
      <c r="B615" s="722"/>
      <c r="J615" s="735" t="s">
        <v>436</v>
      </c>
      <c r="K615" s="736"/>
      <c r="L615" s="727"/>
      <c r="M615" s="728"/>
      <c r="N615" s="626" t="s">
        <v>1473</v>
      </c>
      <c r="O615" s="626" t="s">
        <v>128</v>
      </c>
      <c r="P615" s="1400" t="s">
        <v>2856</v>
      </c>
      <c r="R615" s="626" t="s">
        <v>1455</v>
      </c>
      <c r="S615" s="626" t="s">
        <v>2716</v>
      </c>
      <c r="T615" s="1400" t="s">
        <v>2856</v>
      </c>
    </row>
    <row r="616" spans="2:20" s="723" customFormat="1" ht="12" customHeight="1">
      <c r="B616" s="722"/>
      <c r="J616" s="735" t="s">
        <v>4</v>
      </c>
      <c r="K616" s="736"/>
      <c r="L616" s="727"/>
      <c r="M616" s="728"/>
      <c r="N616" s="737" t="s">
        <v>5</v>
      </c>
      <c r="O616" s="737" t="s">
        <v>1750</v>
      </c>
      <c r="P616" s="728" t="s">
        <v>5</v>
      </c>
      <c r="R616" s="626" t="s">
        <v>1456</v>
      </c>
      <c r="S616" s="626" t="s">
        <v>1503</v>
      </c>
      <c r="T616" s="1400" t="s">
        <v>2856</v>
      </c>
    </row>
    <row r="617" spans="2:20" s="723" customFormat="1" ht="12" customHeight="1">
      <c r="B617" s="722"/>
      <c r="J617" s="735" t="s">
        <v>6</v>
      </c>
      <c r="K617" s="736"/>
      <c r="L617" s="727"/>
      <c r="M617" s="728"/>
      <c r="N617" s="737" t="s">
        <v>7</v>
      </c>
      <c r="O617" s="737" t="s">
        <v>3156</v>
      </c>
      <c r="P617" s="728" t="s">
        <v>1004</v>
      </c>
      <c r="Q617" s="1401"/>
      <c r="R617" s="626" t="s">
        <v>1457</v>
      </c>
      <c r="S617" s="626" t="s">
        <v>1976</v>
      </c>
      <c r="T617" s="1400" t="s">
        <v>2856</v>
      </c>
    </row>
    <row r="618" spans="2:20" s="723" customFormat="1" ht="12" customHeight="1">
      <c r="B618" s="722"/>
      <c r="J618" s="735" t="s">
        <v>8</v>
      </c>
      <c r="K618" s="736"/>
      <c r="L618" s="727"/>
      <c r="M618" s="728"/>
      <c r="N618" s="737" t="s">
        <v>9</v>
      </c>
      <c r="O618" s="737" t="s">
        <v>2625</v>
      </c>
      <c r="P618" s="728" t="s">
        <v>1005</v>
      </c>
      <c r="R618" s="626" t="s">
        <v>1458</v>
      </c>
      <c r="S618" s="626" t="s">
        <v>3264</v>
      </c>
      <c r="T618" s="1400" t="s">
        <v>2856</v>
      </c>
    </row>
    <row r="619" spans="2:20" s="723" customFormat="1" ht="12" customHeight="1">
      <c r="B619" s="722"/>
      <c r="J619" s="735" t="s">
        <v>10</v>
      </c>
      <c r="K619" s="736"/>
      <c r="L619" s="727"/>
      <c r="M619" s="728"/>
      <c r="N619" s="626" t="s">
        <v>1474</v>
      </c>
      <c r="O619" s="626" t="s">
        <v>807</v>
      </c>
      <c r="P619" s="1400" t="s">
        <v>2856</v>
      </c>
      <c r="R619" s="626" t="s">
        <v>1459</v>
      </c>
      <c r="S619" s="626" t="s">
        <v>175</v>
      </c>
      <c r="T619" s="1400" t="s">
        <v>2856</v>
      </c>
    </row>
    <row r="620" spans="2:20" s="723" customFormat="1" ht="12" customHeight="1">
      <c r="B620" s="722"/>
      <c r="J620" s="735" t="s">
        <v>2859</v>
      </c>
      <c r="K620" s="736"/>
      <c r="L620" s="727"/>
      <c r="M620" s="728"/>
      <c r="N620" s="626" t="s">
        <v>1475</v>
      </c>
      <c r="O620" s="626" t="s">
        <v>348</v>
      </c>
      <c r="P620" s="1400" t="s">
        <v>2856</v>
      </c>
      <c r="R620" s="626" t="s">
        <v>1460</v>
      </c>
      <c r="S620" s="626" t="s">
        <v>1767</v>
      </c>
      <c r="T620" s="1400" t="s">
        <v>2856</v>
      </c>
    </row>
    <row r="621" spans="2:20" s="723" customFormat="1" ht="12" customHeight="1">
      <c r="B621" s="722"/>
      <c r="J621" s="735" t="s">
        <v>2861</v>
      </c>
      <c r="K621" s="736"/>
      <c r="L621" s="727"/>
      <c r="M621" s="728"/>
      <c r="N621" s="737" t="s">
        <v>2858</v>
      </c>
      <c r="O621" s="737" t="s">
        <v>1760</v>
      </c>
      <c r="P621" s="728" t="s">
        <v>1006</v>
      </c>
      <c r="R621" s="626" t="s">
        <v>1461</v>
      </c>
      <c r="S621" s="626" t="s">
        <v>1976</v>
      </c>
      <c r="T621" s="1400" t="s">
        <v>2856</v>
      </c>
    </row>
    <row r="622" spans="2:20" s="723" customFormat="1" ht="12" customHeight="1">
      <c r="B622" s="722"/>
      <c r="J622" s="735" t="s">
        <v>2863</v>
      </c>
      <c r="K622" s="736"/>
      <c r="L622" s="727"/>
      <c r="M622" s="728"/>
      <c r="N622" s="737" t="s">
        <v>2860</v>
      </c>
      <c r="O622" s="737" t="s">
        <v>2901</v>
      </c>
      <c r="P622" s="728" t="s">
        <v>1007</v>
      </c>
      <c r="R622" s="626" t="s">
        <v>1462</v>
      </c>
      <c r="S622" s="626" t="s">
        <v>1517</v>
      </c>
      <c r="T622" s="1400" t="s">
        <v>2856</v>
      </c>
    </row>
    <row r="623" spans="2:20" s="723" customFormat="1" ht="12" customHeight="1">
      <c r="B623" s="722"/>
      <c r="J623" s="735" t="s">
        <v>2865</v>
      </c>
      <c r="K623" s="736"/>
      <c r="L623" s="727"/>
      <c r="M623" s="728"/>
      <c r="N623" s="737" t="s">
        <v>2862</v>
      </c>
      <c r="O623" s="737" t="s">
        <v>192</v>
      </c>
      <c r="P623" s="728" t="s">
        <v>1008</v>
      </c>
      <c r="R623" s="626" t="s">
        <v>1463</v>
      </c>
      <c r="S623" s="626" t="s">
        <v>2716</v>
      </c>
      <c r="T623" s="1400" t="s">
        <v>2856</v>
      </c>
    </row>
    <row r="624" spans="2:20" s="723" customFormat="1" ht="12" customHeight="1">
      <c r="B624" s="722"/>
      <c r="J624" s="735" t="s">
        <v>2867</v>
      </c>
      <c r="K624" s="736"/>
      <c r="L624" s="727"/>
      <c r="M624" s="728"/>
      <c r="N624" s="737" t="s">
        <v>2864</v>
      </c>
      <c r="O624" s="737" t="s">
        <v>1898</v>
      </c>
      <c r="P624" s="728" t="s">
        <v>1009</v>
      </c>
      <c r="R624" s="737" t="s">
        <v>1221</v>
      </c>
      <c r="S624" s="737" t="s">
        <v>1267</v>
      </c>
      <c r="T624" s="1400" t="s">
        <v>2856</v>
      </c>
    </row>
    <row r="625" spans="2:20" s="723" customFormat="1" ht="12" customHeight="1">
      <c r="B625" s="722"/>
      <c r="J625" s="735" t="s">
        <v>92</v>
      </c>
      <c r="K625" s="736"/>
      <c r="L625" s="727"/>
      <c r="M625" s="728"/>
      <c r="N625" s="737" t="s">
        <v>2866</v>
      </c>
      <c r="O625" s="737" t="s">
        <v>852</v>
      </c>
      <c r="P625" s="728" t="s">
        <v>1010</v>
      </c>
      <c r="R625" s="626" t="s">
        <v>1464</v>
      </c>
      <c r="S625" s="626" t="s">
        <v>3267</v>
      </c>
      <c r="T625" s="1400" t="s">
        <v>2856</v>
      </c>
    </row>
    <row r="626" spans="2:20" s="723" customFormat="1" ht="12" customHeight="1">
      <c r="B626" s="722"/>
      <c r="J626" s="735" t="s">
        <v>2728</v>
      </c>
      <c r="K626" s="736"/>
      <c r="L626" s="727"/>
      <c r="M626" s="728"/>
      <c r="N626" s="737" t="s">
        <v>93</v>
      </c>
      <c r="O626" s="737" t="s">
        <v>127</v>
      </c>
      <c r="P626" s="728" t="s">
        <v>1011</v>
      </c>
      <c r="R626" s="626" t="s">
        <v>2071</v>
      </c>
      <c r="S626" s="626" t="s">
        <v>3316</v>
      </c>
      <c r="T626" s="1400" t="s">
        <v>2856</v>
      </c>
    </row>
    <row r="627" spans="2:20" s="723" customFormat="1" ht="12" customHeight="1">
      <c r="B627" s="722"/>
      <c r="J627" s="735" t="s">
        <v>1970</v>
      </c>
      <c r="K627" s="736"/>
      <c r="L627" s="727"/>
      <c r="M627" s="728"/>
      <c r="N627" s="737" t="s">
        <v>1969</v>
      </c>
      <c r="O627" s="737" t="s">
        <v>2903</v>
      </c>
      <c r="P627" s="728" t="s">
        <v>1012</v>
      </c>
      <c r="R627" s="626" t="s">
        <v>1465</v>
      </c>
      <c r="S627" s="626"/>
      <c r="T627" s="1400" t="s">
        <v>2856</v>
      </c>
    </row>
    <row r="628" spans="2:20" s="723" customFormat="1" ht="12" customHeight="1">
      <c r="B628" s="722"/>
      <c r="J628" s="735" t="s">
        <v>1972</v>
      </c>
      <c r="K628" s="736"/>
      <c r="L628" s="727"/>
      <c r="M628" s="728"/>
      <c r="N628" s="737" t="s">
        <v>1971</v>
      </c>
      <c r="O628" s="737" t="s">
        <v>217</v>
      </c>
      <c r="P628" s="728" t="s">
        <v>1013</v>
      </c>
      <c r="R628" s="626" t="s">
        <v>201</v>
      </c>
      <c r="S628" s="626" t="s">
        <v>175</v>
      </c>
      <c r="T628" s="1400" t="s">
        <v>2856</v>
      </c>
    </row>
    <row r="629" spans="2:20" s="723" customFormat="1" ht="12" customHeight="1">
      <c r="B629" s="722"/>
      <c r="J629" s="735" t="s">
        <v>1974</v>
      </c>
      <c r="K629" s="736"/>
      <c r="L629" s="727"/>
      <c r="M629" s="728"/>
      <c r="N629" s="737" t="s">
        <v>1973</v>
      </c>
      <c r="O629" s="737" t="s">
        <v>1901</v>
      </c>
      <c r="P629" s="728" t="s">
        <v>1014</v>
      </c>
      <c r="R629" s="626" t="s">
        <v>1466</v>
      </c>
      <c r="S629" s="626" t="s">
        <v>192</v>
      </c>
      <c r="T629" s="1400" t="s">
        <v>2856</v>
      </c>
    </row>
    <row r="630" spans="2:20" s="723" customFormat="1" ht="12" customHeight="1">
      <c r="B630" s="722"/>
      <c r="J630" s="735" t="s">
        <v>66</v>
      </c>
      <c r="K630" s="736"/>
      <c r="L630" s="727"/>
      <c r="M630" s="728"/>
      <c r="N630" s="737" t="s">
        <v>1975</v>
      </c>
      <c r="O630" s="737" t="s">
        <v>2893</v>
      </c>
      <c r="P630" s="728" t="s">
        <v>1015</v>
      </c>
      <c r="R630" s="626" t="s">
        <v>3012</v>
      </c>
      <c r="S630" s="626" t="s">
        <v>1626</v>
      </c>
      <c r="T630" s="1400" t="s">
        <v>2856</v>
      </c>
    </row>
    <row r="631" spans="2:20" s="723" customFormat="1" ht="12" customHeight="1">
      <c r="B631" s="722"/>
      <c r="J631" s="735" t="s">
        <v>68</v>
      </c>
      <c r="K631" s="736"/>
      <c r="L631" s="727"/>
      <c r="M631" s="728"/>
      <c r="N631" s="737" t="s">
        <v>67</v>
      </c>
      <c r="O631" s="737" t="s">
        <v>1758</v>
      </c>
      <c r="P631" s="728" t="s">
        <v>1016</v>
      </c>
      <c r="R631" s="626" t="s">
        <v>1467</v>
      </c>
      <c r="S631" s="626" t="s">
        <v>807</v>
      </c>
      <c r="T631" s="1400" t="s">
        <v>2856</v>
      </c>
    </row>
    <row r="632" spans="2:20" s="723" customFormat="1" ht="12" customHeight="1">
      <c r="B632" s="722"/>
      <c r="J632" s="735" t="s">
        <v>70</v>
      </c>
      <c r="K632" s="736"/>
      <c r="L632" s="727"/>
      <c r="M632" s="728"/>
      <c r="N632" s="737" t="s">
        <v>69</v>
      </c>
      <c r="O632" s="737" t="s">
        <v>112</v>
      </c>
      <c r="P632" s="728" t="s">
        <v>1017</v>
      </c>
      <c r="R632" s="626" t="s">
        <v>1468</v>
      </c>
      <c r="S632" s="626" t="s">
        <v>807</v>
      </c>
      <c r="T632" s="1400" t="s">
        <v>2856</v>
      </c>
    </row>
    <row r="633" spans="2:20" s="723" customFormat="1" ht="12" customHeight="1">
      <c r="B633" s="722"/>
      <c r="J633" s="735" t="s">
        <v>72</v>
      </c>
      <c r="K633" s="736"/>
      <c r="L633" s="727"/>
      <c r="M633" s="728"/>
      <c r="N633" s="737" t="s">
        <v>71</v>
      </c>
      <c r="O633" s="737" t="s">
        <v>1271</v>
      </c>
      <c r="P633" s="728" t="s">
        <v>1018</v>
      </c>
      <c r="R633" s="626" t="s">
        <v>1469</v>
      </c>
      <c r="S633" s="626" t="s">
        <v>807</v>
      </c>
      <c r="T633" s="1400" t="s">
        <v>2856</v>
      </c>
    </row>
    <row r="634" spans="2:20" s="723" customFormat="1" ht="12" customHeight="1">
      <c r="B634" s="722"/>
      <c r="J634" s="735" t="s">
        <v>74</v>
      </c>
      <c r="K634" s="736"/>
      <c r="L634" s="727"/>
      <c r="M634" s="728"/>
      <c r="N634" s="737" t="s">
        <v>73</v>
      </c>
      <c r="O634" s="737" t="s">
        <v>1976</v>
      </c>
      <c r="P634" s="728" t="s">
        <v>1019</v>
      </c>
      <c r="R634" s="626" t="s">
        <v>1470</v>
      </c>
      <c r="S634" s="626" t="s">
        <v>807</v>
      </c>
      <c r="T634" s="1400" t="s">
        <v>2856</v>
      </c>
    </row>
    <row r="635" spans="2:20" s="723" customFormat="1" ht="12" customHeight="1">
      <c r="B635" s="722"/>
      <c r="J635" s="735" t="s">
        <v>1166</v>
      </c>
      <c r="K635" s="736"/>
      <c r="L635" s="727"/>
      <c r="M635" s="728"/>
      <c r="N635" s="737" t="s">
        <v>1167</v>
      </c>
      <c r="O635" s="737" t="s">
        <v>3264</v>
      </c>
      <c r="P635" s="728" t="s">
        <v>1020</v>
      </c>
      <c r="R635" s="626" t="s">
        <v>1471</v>
      </c>
      <c r="S635" s="626" t="s">
        <v>2348</v>
      </c>
      <c r="T635" s="1400" t="s">
        <v>2856</v>
      </c>
    </row>
    <row r="636" spans="2:20" s="723" customFormat="1" ht="12" customHeight="1">
      <c r="B636" s="722"/>
      <c r="J636" s="735" t="s">
        <v>1031</v>
      </c>
      <c r="K636" s="736"/>
      <c r="L636" s="727"/>
      <c r="M636" s="728"/>
      <c r="N636" s="737" t="s">
        <v>1032</v>
      </c>
      <c r="O636" s="737" t="s">
        <v>3270</v>
      </c>
      <c r="P636" s="728" t="s">
        <v>1021</v>
      </c>
      <c r="R636" s="626" t="s">
        <v>1472</v>
      </c>
      <c r="S636" s="626" t="s">
        <v>1351</v>
      </c>
      <c r="T636" s="1400" t="s">
        <v>2856</v>
      </c>
    </row>
    <row r="637" spans="2:20" s="723" customFormat="1" ht="12" customHeight="1">
      <c r="B637" s="722"/>
      <c r="J637" s="735" t="s">
        <v>1033</v>
      </c>
      <c r="K637" s="736"/>
      <c r="L637" s="727"/>
      <c r="M637" s="728"/>
      <c r="N637" s="737" t="s">
        <v>1336</v>
      </c>
      <c r="O637" s="737" t="s">
        <v>3320</v>
      </c>
      <c r="P637" s="728" t="s">
        <v>1022</v>
      </c>
      <c r="R637" s="626" t="s">
        <v>1473</v>
      </c>
      <c r="S637" s="626" t="s">
        <v>128</v>
      </c>
      <c r="T637" s="1400" t="s">
        <v>2856</v>
      </c>
    </row>
    <row r="638" spans="2:20" s="723" customFormat="1" ht="12" customHeight="1">
      <c r="B638" s="722"/>
      <c r="J638" s="735" t="s">
        <v>1593</v>
      </c>
      <c r="K638" s="736"/>
      <c r="L638" s="727"/>
      <c r="M638" s="728"/>
      <c r="N638" s="626" t="s">
        <v>1476</v>
      </c>
      <c r="O638" s="626" t="s">
        <v>352</v>
      </c>
      <c r="P638" s="1400" t="s">
        <v>2856</v>
      </c>
      <c r="R638" s="626" t="s">
        <v>1474</v>
      </c>
      <c r="S638" s="626" t="s">
        <v>807</v>
      </c>
      <c r="T638" s="1400" t="s">
        <v>2856</v>
      </c>
    </row>
    <row r="639" spans="2:20" s="723" customFormat="1" ht="12" customHeight="1">
      <c r="B639" s="722"/>
      <c r="J639" s="735" t="s">
        <v>1446</v>
      </c>
      <c r="K639" s="736"/>
      <c r="L639" s="727"/>
      <c r="M639" s="728"/>
      <c r="N639" s="737" t="s">
        <v>1594</v>
      </c>
      <c r="O639" s="737" t="s">
        <v>2660</v>
      </c>
      <c r="P639" s="728" t="s">
        <v>1023</v>
      </c>
      <c r="R639" s="626" t="s">
        <v>1475</v>
      </c>
      <c r="S639" s="626" t="s">
        <v>348</v>
      </c>
      <c r="T639" s="1400" t="s">
        <v>2856</v>
      </c>
    </row>
    <row r="640" spans="2:20" s="723" customFormat="1" ht="12" customHeight="1">
      <c r="B640" s="722"/>
      <c r="J640" s="735" t="s">
        <v>1447</v>
      </c>
      <c r="K640" s="736"/>
      <c r="L640" s="727"/>
      <c r="M640" s="728"/>
      <c r="N640" s="737" t="s">
        <v>1448</v>
      </c>
      <c r="O640" s="737" t="s">
        <v>1504</v>
      </c>
      <c r="P640" s="728" t="s">
        <v>1024</v>
      </c>
      <c r="R640" s="626" t="s">
        <v>1476</v>
      </c>
      <c r="S640" s="626" t="s">
        <v>352</v>
      </c>
      <c r="T640" s="1400" t="s">
        <v>2856</v>
      </c>
    </row>
    <row r="641" spans="2:20" s="723" customFormat="1" ht="12" customHeight="1">
      <c r="B641" s="722"/>
      <c r="J641" s="735" t="s">
        <v>1449</v>
      </c>
      <c r="K641" s="736"/>
      <c r="L641" s="727"/>
      <c r="M641" s="728"/>
      <c r="N641" s="737" t="s">
        <v>2993</v>
      </c>
      <c r="O641" s="737" t="s">
        <v>2886</v>
      </c>
      <c r="P641" s="728" t="s">
        <v>1025</v>
      </c>
      <c r="R641" s="626" t="s">
        <v>1225</v>
      </c>
      <c r="S641" s="626" t="s">
        <v>1746</v>
      </c>
      <c r="T641" s="1400" t="s">
        <v>2856</v>
      </c>
    </row>
    <row r="642" spans="2:20" s="723" customFormat="1" ht="12" customHeight="1">
      <c r="B642" s="722"/>
      <c r="J642" s="735" t="s">
        <v>2992</v>
      </c>
      <c r="K642" s="736"/>
      <c r="L642" s="727"/>
      <c r="M642" s="728"/>
      <c r="N642" s="737" t="s">
        <v>2995</v>
      </c>
      <c r="O642" s="737" t="s">
        <v>843</v>
      </c>
      <c r="P642" s="728" t="s">
        <v>1026</v>
      </c>
      <c r="R642" s="626" t="s">
        <v>1477</v>
      </c>
      <c r="S642" s="626" t="s">
        <v>851</v>
      </c>
      <c r="T642" s="1400" t="s">
        <v>2856</v>
      </c>
    </row>
    <row r="643" spans="2:20" s="723" customFormat="1" ht="12" customHeight="1">
      <c r="B643" s="722"/>
      <c r="J643" s="735" t="s">
        <v>2994</v>
      </c>
      <c r="K643" s="736"/>
      <c r="L643" s="727"/>
      <c r="M643" s="728"/>
      <c r="N643" s="737" t="s">
        <v>2464</v>
      </c>
      <c r="O643" s="737" t="s">
        <v>1037</v>
      </c>
      <c r="P643" s="728" t="s">
        <v>1027</v>
      </c>
      <c r="R643" s="626" t="s">
        <v>1478</v>
      </c>
      <c r="S643" s="626" t="s">
        <v>1976</v>
      </c>
      <c r="T643" s="1400" t="s">
        <v>2856</v>
      </c>
    </row>
    <row r="644" spans="2:20" s="723" customFormat="1" ht="12" customHeight="1">
      <c r="B644" s="722"/>
      <c r="J644" s="735" t="s">
        <v>2463</v>
      </c>
      <c r="K644" s="736"/>
      <c r="L644" s="727"/>
      <c r="M644" s="728"/>
      <c r="N644" s="737" t="s">
        <v>3307</v>
      </c>
      <c r="O644" s="737" t="s">
        <v>2718</v>
      </c>
      <c r="P644" s="728" t="s">
        <v>1028</v>
      </c>
      <c r="R644" s="626" t="s">
        <v>1479</v>
      </c>
      <c r="S644" s="626" t="s">
        <v>807</v>
      </c>
      <c r="T644" s="1400" t="s">
        <v>2856</v>
      </c>
    </row>
    <row r="645" spans="2:20" s="723" customFormat="1" ht="12" customHeight="1">
      <c r="B645" s="722"/>
      <c r="J645" s="735" t="s">
        <v>3306</v>
      </c>
      <c r="K645" s="736"/>
      <c r="L645" s="727"/>
      <c r="M645" s="728"/>
      <c r="N645" s="737" t="s">
        <v>2881</v>
      </c>
      <c r="O645" s="737" t="s">
        <v>1626</v>
      </c>
      <c r="P645" s="728" t="s">
        <v>1029</v>
      </c>
      <c r="R645" s="626" t="s">
        <v>1480</v>
      </c>
      <c r="S645" s="626" t="s">
        <v>843</v>
      </c>
      <c r="T645" s="1400" t="s">
        <v>2856</v>
      </c>
    </row>
    <row r="646" spans="2:20" s="723" customFormat="1" ht="12" customHeight="1">
      <c r="B646" s="722"/>
      <c r="J646" s="735" t="s">
        <v>2880</v>
      </c>
      <c r="K646" s="736"/>
      <c r="L646" s="727"/>
      <c r="M646" s="728"/>
      <c r="N646" s="737" t="s">
        <v>2214</v>
      </c>
      <c r="O646" s="737" t="s">
        <v>845</v>
      </c>
      <c r="P646" s="728" t="s">
        <v>641</v>
      </c>
      <c r="R646" s="626" t="s">
        <v>1481</v>
      </c>
      <c r="S646" s="626" t="s">
        <v>175</v>
      </c>
      <c r="T646" s="1400" t="s">
        <v>2856</v>
      </c>
    </row>
    <row r="647" spans="2:20" s="723" customFormat="1" ht="12" customHeight="1">
      <c r="B647" s="722"/>
      <c r="J647" s="735" t="s">
        <v>2212</v>
      </c>
      <c r="K647" s="736"/>
      <c r="L647" s="727"/>
      <c r="M647" s="728"/>
      <c r="N647" s="737" t="s">
        <v>1225</v>
      </c>
      <c r="O647" s="737" t="s">
        <v>1746</v>
      </c>
      <c r="P647" s="1399" t="s">
        <v>1217</v>
      </c>
      <c r="R647" s="626" t="s">
        <v>1482</v>
      </c>
      <c r="S647" s="626" t="s">
        <v>2619</v>
      </c>
      <c r="T647" s="1400" t="s">
        <v>2856</v>
      </c>
    </row>
    <row r="648" spans="2:20" s="723" customFormat="1" ht="12" customHeight="1">
      <c r="B648" s="722"/>
      <c r="J648" s="735" t="s">
        <v>2213</v>
      </c>
      <c r="K648" s="736"/>
      <c r="L648" s="727"/>
      <c r="M648" s="728"/>
      <c r="N648" s="626" t="s">
        <v>1225</v>
      </c>
      <c r="O648" s="626" t="s">
        <v>1746</v>
      </c>
      <c r="P648" s="1400" t="s">
        <v>2856</v>
      </c>
      <c r="R648" s="626" t="s">
        <v>1483</v>
      </c>
      <c r="S648" s="626" t="s">
        <v>2716</v>
      </c>
      <c r="T648" s="1400" t="s">
        <v>2856</v>
      </c>
    </row>
    <row r="649" spans="2:20" s="723" customFormat="1" ht="12" customHeight="1">
      <c r="B649" s="722"/>
      <c r="J649" s="735" t="s">
        <v>2215</v>
      </c>
      <c r="K649" s="736"/>
      <c r="L649" s="727"/>
      <c r="M649" s="728"/>
      <c r="N649" s="737" t="s">
        <v>2217</v>
      </c>
      <c r="O649" s="737" t="s">
        <v>3381</v>
      </c>
      <c r="P649" s="728" t="s">
        <v>642</v>
      </c>
      <c r="R649" s="626" t="s">
        <v>1484</v>
      </c>
      <c r="S649" s="626" t="s">
        <v>807</v>
      </c>
      <c r="T649" s="1400" t="s">
        <v>2856</v>
      </c>
    </row>
    <row r="650" spans="2:20" s="723" customFormat="1" ht="12" customHeight="1">
      <c r="B650" s="722"/>
      <c r="J650" s="735" t="s">
        <v>2216</v>
      </c>
      <c r="K650" s="736"/>
      <c r="L650" s="727"/>
      <c r="M650" s="728"/>
      <c r="N650" s="737" t="s">
        <v>2220</v>
      </c>
      <c r="O650" s="737" t="s">
        <v>2235</v>
      </c>
      <c r="P650" s="728" t="s">
        <v>2220</v>
      </c>
      <c r="R650" s="626" t="s">
        <v>1485</v>
      </c>
      <c r="S650" s="626" t="s">
        <v>2348</v>
      </c>
      <c r="T650" s="1400" t="s">
        <v>2856</v>
      </c>
    </row>
    <row r="651" spans="2:20" s="723" customFormat="1" ht="12" customHeight="1">
      <c r="B651" s="722"/>
      <c r="J651" s="735" t="s">
        <v>2218</v>
      </c>
      <c r="K651" s="736"/>
      <c r="L651" s="727"/>
      <c r="M651" s="728"/>
      <c r="N651" s="626" t="s">
        <v>1478</v>
      </c>
      <c r="O651" s="626" t="s">
        <v>1976</v>
      </c>
      <c r="P651" s="1400" t="s">
        <v>2856</v>
      </c>
      <c r="R651" s="626" t="s">
        <v>1486</v>
      </c>
      <c r="S651" s="626" t="s">
        <v>3267</v>
      </c>
      <c r="T651" s="1400" t="s">
        <v>2856</v>
      </c>
    </row>
    <row r="652" spans="2:20" s="723" customFormat="1" ht="12" customHeight="1">
      <c r="B652" s="722"/>
      <c r="J652" s="735" t="s">
        <v>2219</v>
      </c>
      <c r="K652" s="736"/>
      <c r="L652" s="727"/>
      <c r="M652" s="728"/>
      <c r="N652" s="737" t="s">
        <v>3181</v>
      </c>
      <c r="O652" s="737" t="s">
        <v>112</v>
      </c>
      <c r="P652" s="728" t="s">
        <v>643</v>
      </c>
      <c r="R652" s="626" t="s">
        <v>1487</v>
      </c>
      <c r="S652" s="626" t="s">
        <v>175</v>
      </c>
      <c r="T652" s="1400" t="s">
        <v>2856</v>
      </c>
    </row>
    <row r="653" spans="2:20" s="723" customFormat="1" ht="12" customHeight="1">
      <c r="B653" s="722"/>
      <c r="J653" s="735" t="s">
        <v>2221</v>
      </c>
      <c r="K653" s="736"/>
      <c r="L653" s="727"/>
      <c r="M653" s="728"/>
      <c r="N653" s="737" t="s">
        <v>1207</v>
      </c>
      <c r="O653" s="737" t="s">
        <v>1626</v>
      </c>
      <c r="P653" s="728" t="s">
        <v>644</v>
      </c>
      <c r="R653" s="626" t="s">
        <v>1488</v>
      </c>
      <c r="S653" s="626" t="s">
        <v>175</v>
      </c>
      <c r="T653" s="1400" t="s">
        <v>2856</v>
      </c>
    </row>
    <row r="654" spans="2:20" s="723" customFormat="1" ht="12" customHeight="1">
      <c r="B654" s="722"/>
      <c r="J654" s="735" t="s">
        <v>3182</v>
      </c>
      <c r="K654" s="736"/>
      <c r="L654" s="727"/>
      <c r="M654" s="728"/>
      <c r="N654" s="737" t="s">
        <v>1736</v>
      </c>
      <c r="O654" s="737" t="s">
        <v>2617</v>
      </c>
      <c r="P654" s="728" t="s">
        <v>645</v>
      </c>
    </row>
    <row r="655" spans="2:20" s="723" customFormat="1" ht="12" customHeight="1">
      <c r="B655" s="722"/>
      <c r="J655" s="735" t="s">
        <v>183</v>
      </c>
      <c r="K655" s="736"/>
      <c r="L655" s="727"/>
      <c r="M655" s="728"/>
      <c r="N655" s="737" t="s">
        <v>184</v>
      </c>
      <c r="O655" s="737" t="s">
        <v>1762</v>
      </c>
      <c r="P655" s="728" t="s">
        <v>646</v>
      </c>
    </row>
    <row r="656" spans="2:20" s="723" customFormat="1" ht="12" customHeight="1">
      <c r="B656" s="722"/>
      <c r="J656" s="735" t="s">
        <v>1387</v>
      </c>
      <c r="K656" s="736"/>
      <c r="L656" s="727"/>
      <c r="M656" s="728"/>
      <c r="N656" s="737" t="s">
        <v>1389</v>
      </c>
      <c r="O656" s="737" t="s">
        <v>2345</v>
      </c>
      <c r="P656" s="728" t="s">
        <v>647</v>
      </c>
    </row>
    <row r="657" spans="2:16" s="723" customFormat="1" ht="12" customHeight="1">
      <c r="B657" s="722"/>
      <c r="J657" s="735" t="s">
        <v>1388</v>
      </c>
      <c r="K657" s="736"/>
      <c r="L657" s="727"/>
      <c r="M657" s="728"/>
      <c r="N657" s="737" t="s">
        <v>1759</v>
      </c>
      <c r="O657" s="737" t="s">
        <v>175</v>
      </c>
      <c r="P657" s="728" t="s">
        <v>648</v>
      </c>
    </row>
    <row r="658" spans="2:16" s="723" customFormat="1" ht="12" customHeight="1">
      <c r="B658" s="722"/>
      <c r="J658" s="735" t="s">
        <v>1390</v>
      </c>
      <c r="K658" s="736"/>
      <c r="L658" s="727"/>
      <c r="M658" s="728"/>
      <c r="N658" s="737" t="s">
        <v>3314</v>
      </c>
      <c r="O658" s="737" t="s">
        <v>1265</v>
      </c>
      <c r="P658" s="728" t="s">
        <v>649</v>
      </c>
    </row>
    <row r="659" spans="2:16" s="723" customFormat="1" ht="12" customHeight="1">
      <c r="B659" s="722"/>
      <c r="J659" s="735" t="s">
        <v>3136</v>
      </c>
      <c r="K659" s="736"/>
      <c r="L659" s="727"/>
      <c r="M659" s="728"/>
      <c r="N659" s="626" t="s">
        <v>1479</v>
      </c>
      <c r="O659" s="626" t="s">
        <v>807</v>
      </c>
      <c r="P659" s="1400" t="s">
        <v>2856</v>
      </c>
    </row>
    <row r="660" spans="2:16" s="723" customFormat="1" ht="12" customHeight="1">
      <c r="B660" s="722"/>
      <c r="J660" s="735" t="s">
        <v>3313</v>
      </c>
      <c r="K660" s="736"/>
      <c r="L660" s="727"/>
      <c r="M660" s="728"/>
      <c r="N660" s="737" t="s">
        <v>2886</v>
      </c>
      <c r="O660" s="737" t="s">
        <v>114</v>
      </c>
      <c r="P660" s="728" t="s">
        <v>650</v>
      </c>
    </row>
    <row r="661" spans="2:16" s="723" customFormat="1" ht="12" customHeight="1">
      <c r="B661" s="722"/>
      <c r="J661" s="735" t="s">
        <v>2712</v>
      </c>
      <c r="K661" s="736"/>
      <c r="L661" s="727"/>
      <c r="M661" s="728"/>
      <c r="N661" s="737" t="s">
        <v>2073</v>
      </c>
      <c r="O661" s="737" t="s">
        <v>2072</v>
      </c>
      <c r="P661" s="728"/>
    </row>
    <row r="662" spans="2:16" s="723" customFormat="1" ht="12" customHeight="1">
      <c r="B662" s="722"/>
      <c r="J662" s="735" t="s">
        <v>1339</v>
      </c>
      <c r="K662" s="736"/>
      <c r="L662" s="727"/>
      <c r="M662" s="728"/>
      <c r="N662" s="737" t="s">
        <v>1916</v>
      </c>
      <c r="O662" s="737" t="s">
        <v>3319</v>
      </c>
      <c r="P662" s="728" t="s">
        <v>651</v>
      </c>
    </row>
    <row r="663" spans="2:16" s="723" customFormat="1" ht="12" customHeight="1">
      <c r="B663" s="722"/>
      <c r="J663" s="735" t="s">
        <v>1158</v>
      </c>
      <c r="K663" s="736"/>
      <c r="L663" s="727"/>
      <c r="M663" s="728"/>
      <c r="N663" s="737" t="s">
        <v>1918</v>
      </c>
      <c r="O663" s="737" t="s">
        <v>357</v>
      </c>
      <c r="P663" s="728" t="s">
        <v>652</v>
      </c>
    </row>
    <row r="664" spans="2:16" s="723" customFormat="1" ht="12" customHeight="1">
      <c r="B664" s="722"/>
      <c r="J664" s="735" t="s">
        <v>1915</v>
      </c>
      <c r="K664" s="736"/>
      <c r="L664" s="727"/>
      <c r="M664" s="728"/>
      <c r="N664" s="626" t="s">
        <v>1480</v>
      </c>
      <c r="O664" s="626" t="s">
        <v>843</v>
      </c>
      <c r="P664" s="1400" t="s">
        <v>2856</v>
      </c>
    </row>
    <row r="665" spans="2:16" s="723" customFormat="1" ht="12" customHeight="1">
      <c r="B665" s="722"/>
      <c r="J665" s="735" t="s">
        <v>1917</v>
      </c>
      <c r="K665" s="736"/>
      <c r="L665" s="727"/>
      <c r="M665" s="728"/>
      <c r="N665" s="737" t="s">
        <v>1739</v>
      </c>
      <c r="O665" s="737" t="s">
        <v>2899</v>
      </c>
      <c r="P665" s="728" t="s">
        <v>653</v>
      </c>
    </row>
    <row r="666" spans="2:16" s="723" customFormat="1" ht="12" customHeight="1">
      <c r="B666" s="722"/>
      <c r="J666" s="735" t="s">
        <v>1919</v>
      </c>
      <c r="K666" s="736"/>
      <c r="L666" s="727"/>
      <c r="M666" s="728"/>
      <c r="N666" s="737" t="s">
        <v>1741</v>
      </c>
      <c r="O666" s="737" t="s">
        <v>3319</v>
      </c>
      <c r="P666" s="728" t="s">
        <v>654</v>
      </c>
    </row>
    <row r="667" spans="2:16" s="723" customFormat="1" ht="12" customHeight="1">
      <c r="B667" s="722"/>
      <c r="J667" s="735" t="s">
        <v>1738</v>
      </c>
      <c r="K667" s="736"/>
      <c r="L667" s="727"/>
      <c r="M667" s="728"/>
      <c r="N667" s="737" t="s">
        <v>2703</v>
      </c>
      <c r="O667" s="737" t="s">
        <v>1514</v>
      </c>
      <c r="P667" s="728" t="s">
        <v>655</v>
      </c>
    </row>
    <row r="668" spans="2:16" s="723" customFormat="1" ht="12" customHeight="1">
      <c r="B668" s="722"/>
      <c r="J668" s="735" t="s">
        <v>1740</v>
      </c>
      <c r="K668" s="736"/>
      <c r="L668" s="727"/>
      <c r="M668" s="728"/>
      <c r="N668" s="737" t="s">
        <v>1039</v>
      </c>
      <c r="O668" s="737" t="s">
        <v>347</v>
      </c>
      <c r="P668" s="728" t="s">
        <v>656</v>
      </c>
    </row>
    <row r="669" spans="2:16" s="723" customFormat="1" ht="12" customHeight="1">
      <c r="B669" s="722"/>
      <c r="J669" s="735" t="s">
        <v>2702</v>
      </c>
      <c r="K669" s="736"/>
      <c r="L669" s="727"/>
      <c r="M669" s="728"/>
      <c r="N669" s="737" t="s">
        <v>1691</v>
      </c>
      <c r="O669" s="737" t="s">
        <v>856</v>
      </c>
      <c r="P669" s="728" t="s">
        <v>657</v>
      </c>
    </row>
    <row r="670" spans="2:16" s="723" customFormat="1" ht="12" customHeight="1">
      <c r="B670" s="722"/>
      <c r="J670" s="735" t="s">
        <v>1038</v>
      </c>
      <c r="K670" s="736"/>
      <c r="L670" s="727"/>
      <c r="M670" s="728"/>
      <c r="N670" s="626" t="s">
        <v>1481</v>
      </c>
      <c r="O670" s="626" t="s">
        <v>175</v>
      </c>
      <c r="P670" s="1400" t="s">
        <v>2856</v>
      </c>
    </row>
    <row r="671" spans="2:16" s="723" customFormat="1" ht="12" customHeight="1">
      <c r="B671" s="722"/>
      <c r="J671" s="735" t="s">
        <v>1690</v>
      </c>
      <c r="K671" s="736"/>
      <c r="L671" s="727"/>
      <c r="M671" s="728"/>
      <c r="N671" s="737" t="s">
        <v>2591</v>
      </c>
      <c r="O671" s="737" t="s">
        <v>1512</v>
      </c>
      <c r="P671" s="728" t="s">
        <v>658</v>
      </c>
    </row>
    <row r="672" spans="2:16" s="723" customFormat="1" ht="12" customHeight="1">
      <c r="B672" s="722"/>
      <c r="J672" s="735" t="s">
        <v>2589</v>
      </c>
      <c r="K672" s="736"/>
      <c r="L672" s="727"/>
      <c r="M672" s="728"/>
      <c r="N672" s="737" t="s">
        <v>2593</v>
      </c>
      <c r="O672" s="737" t="s">
        <v>1900</v>
      </c>
      <c r="P672" s="728" t="s">
        <v>659</v>
      </c>
    </row>
    <row r="673" spans="2:16" s="723" customFormat="1" ht="12" customHeight="1">
      <c r="B673" s="722"/>
      <c r="J673" s="735" t="s">
        <v>2590</v>
      </c>
      <c r="K673" s="736"/>
      <c r="L673" s="727"/>
      <c r="M673" s="728"/>
      <c r="N673" s="737" t="s">
        <v>2595</v>
      </c>
      <c r="O673" s="737" t="s">
        <v>3267</v>
      </c>
      <c r="P673" s="728" t="s">
        <v>660</v>
      </c>
    </row>
    <row r="674" spans="2:16" s="723" customFormat="1" ht="12" customHeight="1">
      <c r="B674" s="722"/>
      <c r="J674" s="735" t="s">
        <v>2592</v>
      </c>
      <c r="K674" s="736"/>
      <c r="L674" s="727"/>
      <c r="M674" s="728"/>
      <c r="N674" s="737" t="s">
        <v>2597</v>
      </c>
      <c r="O674" s="737" t="s">
        <v>127</v>
      </c>
      <c r="P674" s="728" t="s">
        <v>661</v>
      </c>
    </row>
    <row r="675" spans="2:16" s="723" customFormat="1" ht="12" customHeight="1">
      <c r="B675" s="722"/>
      <c r="J675" s="735" t="s">
        <v>2594</v>
      </c>
      <c r="K675" s="736"/>
      <c r="L675" s="727"/>
      <c r="M675" s="728"/>
      <c r="N675" s="737" t="s">
        <v>636</v>
      </c>
      <c r="O675" s="737" t="s">
        <v>2719</v>
      </c>
      <c r="P675" s="728" t="s">
        <v>662</v>
      </c>
    </row>
    <row r="676" spans="2:16" s="723" customFormat="1" ht="12" customHeight="1">
      <c r="B676" s="722"/>
      <c r="J676" s="735" t="s">
        <v>2596</v>
      </c>
      <c r="K676" s="736"/>
      <c r="L676" s="727"/>
      <c r="M676" s="728"/>
      <c r="N676" s="737" t="s">
        <v>3324</v>
      </c>
      <c r="O676" s="737" t="s">
        <v>2621</v>
      </c>
      <c r="P676" s="728" t="s">
        <v>663</v>
      </c>
    </row>
    <row r="677" spans="2:16" s="723" customFormat="1" ht="12" customHeight="1">
      <c r="B677" s="722"/>
      <c r="J677" s="735" t="s">
        <v>635</v>
      </c>
      <c r="K677" s="736"/>
      <c r="L677" s="727"/>
      <c r="M677" s="728"/>
      <c r="N677" s="737" t="s">
        <v>3326</v>
      </c>
      <c r="O677" s="737" t="s">
        <v>3317</v>
      </c>
      <c r="P677" s="728" t="s">
        <v>664</v>
      </c>
    </row>
    <row r="678" spans="2:16" s="723" customFormat="1" ht="12" customHeight="1">
      <c r="B678" s="722"/>
      <c r="J678" s="735" t="s">
        <v>3323</v>
      </c>
      <c r="K678" s="736"/>
      <c r="L678" s="727"/>
      <c r="M678" s="728"/>
      <c r="N678" s="737" t="s">
        <v>1568</v>
      </c>
      <c r="O678" s="737" t="s">
        <v>344</v>
      </c>
      <c r="P678" s="728" t="s">
        <v>665</v>
      </c>
    </row>
    <row r="679" spans="2:16" s="723" customFormat="1" ht="12" customHeight="1">
      <c r="B679" s="722"/>
      <c r="J679" s="735" t="s">
        <v>3325</v>
      </c>
      <c r="K679" s="736"/>
      <c r="L679" s="727"/>
      <c r="M679" s="728"/>
      <c r="N679" s="737" t="s">
        <v>3303</v>
      </c>
      <c r="O679" s="737" t="s">
        <v>1271</v>
      </c>
      <c r="P679" s="728" t="s">
        <v>666</v>
      </c>
    </row>
    <row r="680" spans="2:16" s="723" customFormat="1" ht="12" customHeight="1">
      <c r="B680" s="722"/>
      <c r="J680" s="735" t="s">
        <v>1567</v>
      </c>
      <c r="K680" s="736"/>
      <c r="L680" s="727"/>
      <c r="M680" s="728"/>
      <c r="N680" s="737" t="s">
        <v>1208</v>
      </c>
      <c r="O680" s="737" t="s">
        <v>1767</v>
      </c>
      <c r="P680" s="728" t="s">
        <v>667</v>
      </c>
    </row>
    <row r="681" spans="2:16" s="723" customFormat="1" ht="12" customHeight="1">
      <c r="B681" s="722"/>
      <c r="J681" s="735" t="s">
        <v>3302</v>
      </c>
      <c r="K681" s="736"/>
      <c r="L681" s="727"/>
      <c r="M681" s="728"/>
      <c r="N681" s="626" t="s">
        <v>1477</v>
      </c>
      <c r="O681" s="626" t="s">
        <v>851</v>
      </c>
      <c r="P681" s="1400" t="s">
        <v>2856</v>
      </c>
    </row>
    <row r="682" spans="2:16" s="723" customFormat="1" ht="12" customHeight="1">
      <c r="B682" s="722"/>
      <c r="J682" s="735" t="s">
        <v>3304</v>
      </c>
      <c r="K682" s="736"/>
      <c r="L682" s="727"/>
      <c r="M682" s="728"/>
      <c r="N682" s="737" t="s">
        <v>1989</v>
      </c>
      <c r="O682" s="737" t="s">
        <v>360</v>
      </c>
      <c r="P682" s="728" t="s">
        <v>668</v>
      </c>
    </row>
    <row r="683" spans="2:16" s="723" customFormat="1" ht="12" customHeight="1">
      <c r="B683" s="722"/>
      <c r="J683" s="735" t="s">
        <v>1987</v>
      </c>
      <c r="K683" s="736"/>
      <c r="L683" s="727"/>
      <c r="M683" s="728"/>
      <c r="N683" s="737" t="s">
        <v>2816</v>
      </c>
      <c r="O683" s="737" t="s">
        <v>1760</v>
      </c>
      <c r="P683" s="728" t="s">
        <v>669</v>
      </c>
    </row>
    <row r="684" spans="2:16" s="723" customFormat="1" ht="12" customHeight="1">
      <c r="B684" s="722"/>
      <c r="J684" s="735" t="s">
        <v>1988</v>
      </c>
      <c r="K684" s="736"/>
      <c r="L684" s="727"/>
      <c r="M684" s="728"/>
      <c r="N684" s="737" t="s">
        <v>2224</v>
      </c>
      <c r="O684" s="737" t="s">
        <v>1746</v>
      </c>
      <c r="P684" s="728" t="s">
        <v>670</v>
      </c>
    </row>
    <row r="685" spans="2:16" s="723" customFormat="1" ht="12" customHeight="1">
      <c r="B685" s="722"/>
      <c r="J685" s="735" t="s">
        <v>2814</v>
      </c>
      <c r="K685" s="736"/>
      <c r="L685" s="727"/>
      <c r="M685" s="728"/>
      <c r="N685" s="737" t="s">
        <v>1332</v>
      </c>
      <c r="O685" s="737" t="s">
        <v>2969</v>
      </c>
      <c r="P685" s="728" t="s">
        <v>671</v>
      </c>
    </row>
    <row r="686" spans="2:16" s="723" customFormat="1" ht="12" customHeight="1">
      <c r="B686" s="722"/>
      <c r="J686" s="735" t="s">
        <v>2815</v>
      </c>
      <c r="K686" s="736"/>
      <c r="L686" s="727"/>
      <c r="M686" s="728"/>
      <c r="N686" s="737" t="s">
        <v>1334</v>
      </c>
      <c r="O686" s="737" t="s">
        <v>351</v>
      </c>
      <c r="P686" s="728" t="s">
        <v>465</v>
      </c>
    </row>
    <row r="687" spans="2:16" s="723" customFormat="1" ht="12" customHeight="1">
      <c r="B687" s="722"/>
      <c r="J687" s="735" t="s">
        <v>2223</v>
      </c>
      <c r="K687" s="736"/>
      <c r="L687" s="727"/>
      <c r="M687" s="728"/>
      <c r="N687" s="737" t="s">
        <v>3283</v>
      </c>
      <c r="O687" s="737" t="s">
        <v>807</v>
      </c>
      <c r="P687" s="728" t="s">
        <v>466</v>
      </c>
    </row>
    <row r="688" spans="2:16" s="723" customFormat="1" ht="12" customHeight="1">
      <c r="B688" s="722"/>
      <c r="J688" s="735" t="s">
        <v>2225</v>
      </c>
      <c r="K688" s="736"/>
      <c r="L688" s="727"/>
      <c r="M688" s="728"/>
      <c r="N688" s="737" t="s">
        <v>2607</v>
      </c>
      <c r="O688" s="737" t="s">
        <v>127</v>
      </c>
      <c r="P688" s="728" t="s">
        <v>467</v>
      </c>
    </row>
    <row r="689" spans="2:16" s="723" customFormat="1" ht="12" customHeight="1">
      <c r="B689" s="722"/>
      <c r="J689" s="735" t="s">
        <v>1331</v>
      </c>
      <c r="K689" s="736"/>
      <c r="L689" s="727"/>
      <c r="M689" s="728"/>
      <c r="N689" s="737" t="s">
        <v>2610</v>
      </c>
      <c r="O689" s="737" t="s">
        <v>2969</v>
      </c>
      <c r="P689" s="728" t="s">
        <v>468</v>
      </c>
    </row>
    <row r="690" spans="2:16" s="723" customFormat="1" ht="12" customHeight="1">
      <c r="B690" s="722"/>
      <c r="J690" s="735" t="s">
        <v>1333</v>
      </c>
      <c r="K690" s="736"/>
      <c r="L690" s="727"/>
      <c r="M690" s="728"/>
      <c r="N690" s="737" t="s">
        <v>2612</v>
      </c>
      <c r="O690" s="737" t="s">
        <v>178</v>
      </c>
      <c r="P690" s="728" t="s">
        <v>469</v>
      </c>
    </row>
    <row r="691" spans="2:16" s="723" customFormat="1" ht="12" customHeight="1">
      <c r="B691" s="722"/>
      <c r="J691" s="735" t="s">
        <v>1335</v>
      </c>
      <c r="K691" s="736"/>
      <c r="L691" s="727"/>
      <c r="M691" s="728"/>
      <c r="N691" s="737" t="s">
        <v>827</v>
      </c>
      <c r="O691" s="737" t="s">
        <v>3160</v>
      </c>
      <c r="P691" s="728" t="s">
        <v>470</v>
      </c>
    </row>
    <row r="692" spans="2:16" s="723" customFormat="1" ht="12" customHeight="1">
      <c r="B692" s="722"/>
      <c r="J692" s="735" t="s">
        <v>3282</v>
      </c>
      <c r="K692" s="736"/>
      <c r="L692" s="727"/>
      <c r="M692" s="728"/>
      <c r="N692" s="737" t="s">
        <v>1209</v>
      </c>
      <c r="O692" s="737" t="s">
        <v>2890</v>
      </c>
      <c r="P692" s="728" t="s">
        <v>471</v>
      </c>
    </row>
    <row r="693" spans="2:16" s="723" customFormat="1" ht="12" customHeight="1">
      <c r="B693" s="722"/>
      <c r="J693" s="735" t="s">
        <v>3284</v>
      </c>
      <c r="K693" s="736"/>
      <c r="L693" s="727"/>
      <c r="M693" s="728"/>
      <c r="N693" s="626" t="s">
        <v>1482</v>
      </c>
      <c r="O693" s="626" t="s">
        <v>2619</v>
      </c>
      <c r="P693" s="1400" t="s">
        <v>2856</v>
      </c>
    </row>
    <row r="694" spans="2:16" s="723" customFormat="1" ht="12" customHeight="1">
      <c r="B694" s="722"/>
      <c r="J694" s="735" t="s">
        <v>3285</v>
      </c>
      <c r="K694" s="736"/>
      <c r="L694" s="727"/>
      <c r="M694" s="728"/>
      <c r="N694" s="626" t="s">
        <v>1483</v>
      </c>
      <c r="O694" s="626" t="s">
        <v>2716</v>
      </c>
      <c r="P694" s="1400" t="s">
        <v>2856</v>
      </c>
    </row>
    <row r="695" spans="2:16" s="723" customFormat="1" ht="12" customHeight="1">
      <c r="B695" s="722"/>
      <c r="J695" s="735" t="s">
        <v>2608</v>
      </c>
      <c r="K695" s="736"/>
      <c r="L695" s="727"/>
      <c r="M695" s="728"/>
      <c r="N695" s="737" t="s">
        <v>1909</v>
      </c>
      <c r="O695" s="737" t="s">
        <v>1630</v>
      </c>
      <c r="P695" s="728" t="s">
        <v>472</v>
      </c>
    </row>
    <row r="696" spans="2:16" s="723" customFormat="1" ht="12" customHeight="1">
      <c r="B696" s="722"/>
      <c r="J696" s="735" t="s">
        <v>2609</v>
      </c>
      <c r="K696" s="736"/>
      <c r="L696" s="727"/>
      <c r="M696" s="728"/>
      <c r="N696" s="737" t="s">
        <v>3039</v>
      </c>
      <c r="O696" s="737" t="s">
        <v>127</v>
      </c>
      <c r="P696" s="728" t="s">
        <v>473</v>
      </c>
    </row>
    <row r="697" spans="2:16" s="723" customFormat="1" ht="12" customHeight="1">
      <c r="B697" s="722"/>
      <c r="J697" s="735" t="s">
        <v>2611</v>
      </c>
      <c r="K697" s="736"/>
      <c r="L697" s="727"/>
      <c r="M697" s="728"/>
      <c r="N697" s="737" t="s">
        <v>1852</v>
      </c>
      <c r="O697" s="737" t="s">
        <v>2969</v>
      </c>
      <c r="P697" s="728" t="s">
        <v>474</v>
      </c>
    </row>
    <row r="698" spans="2:16" s="723" customFormat="1" ht="12" customHeight="1">
      <c r="B698" s="722"/>
      <c r="J698" s="735" t="s">
        <v>826</v>
      </c>
      <c r="K698" s="736"/>
      <c r="L698" s="727"/>
      <c r="M698" s="728"/>
      <c r="N698" s="737" t="s">
        <v>2983</v>
      </c>
      <c r="O698" s="737" t="s">
        <v>2625</v>
      </c>
      <c r="P698" s="728" t="s">
        <v>475</v>
      </c>
    </row>
    <row r="699" spans="2:16" s="723" customFormat="1" ht="12" customHeight="1">
      <c r="B699" s="722"/>
      <c r="J699" s="735" t="s">
        <v>828</v>
      </c>
      <c r="K699" s="736"/>
      <c r="L699" s="727"/>
      <c r="M699" s="728"/>
      <c r="N699" s="737" t="s">
        <v>2985</v>
      </c>
      <c r="O699" s="737" t="s">
        <v>2886</v>
      </c>
      <c r="P699" s="728" t="s">
        <v>476</v>
      </c>
    </row>
    <row r="700" spans="2:16" s="723" customFormat="1" ht="12" customHeight="1">
      <c r="B700" s="722"/>
      <c r="J700" s="735" t="s">
        <v>829</v>
      </c>
      <c r="K700" s="736"/>
      <c r="L700" s="727"/>
      <c r="M700" s="728"/>
      <c r="N700" s="737" t="s">
        <v>2987</v>
      </c>
      <c r="O700" s="737" t="s">
        <v>3160</v>
      </c>
      <c r="P700" s="728" t="s">
        <v>477</v>
      </c>
    </row>
    <row r="701" spans="2:16" s="723" customFormat="1" ht="12" customHeight="1">
      <c r="B701" s="722"/>
      <c r="J701" s="735" t="s">
        <v>3038</v>
      </c>
      <c r="K701" s="736"/>
      <c r="L701" s="727"/>
      <c r="M701" s="728"/>
      <c r="N701" s="737" t="s">
        <v>1523</v>
      </c>
      <c r="O701" s="737" t="s">
        <v>2897</v>
      </c>
      <c r="P701" s="728" t="s">
        <v>478</v>
      </c>
    </row>
    <row r="702" spans="2:16" s="723" customFormat="1" ht="12" customHeight="1">
      <c r="B702" s="722"/>
      <c r="J702" s="735" t="s">
        <v>75</v>
      </c>
      <c r="K702" s="736"/>
      <c r="L702" s="727"/>
      <c r="M702" s="728"/>
      <c r="N702" s="737" t="s">
        <v>1525</v>
      </c>
      <c r="O702" s="737" t="s">
        <v>1500</v>
      </c>
      <c r="P702" s="728" t="s">
        <v>479</v>
      </c>
    </row>
    <row r="703" spans="2:16" s="723" customFormat="1" ht="12" customHeight="1">
      <c r="B703" s="722"/>
      <c r="J703" s="735" t="s">
        <v>1853</v>
      </c>
      <c r="K703" s="736"/>
      <c r="L703" s="727"/>
      <c r="M703" s="728"/>
      <c r="N703" s="737" t="s">
        <v>2761</v>
      </c>
      <c r="O703" s="737" t="s">
        <v>346</v>
      </c>
      <c r="P703" s="728" t="s">
        <v>480</v>
      </c>
    </row>
    <row r="704" spans="2:16" s="723" customFormat="1" ht="12" customHeight="1">
      <c r="B704" s="722"/>
      <c r="J704" s="735" t="s">
        <v>2984</v>
      </c>
      <c r="K704" s="736"/>
      <c r="L704" s="727"/>
      <c r="M704" s="728"/>
      <c r="N704" s="737" t="s">
        <v>2679</v>
      </c>
      <c r="O704" s="737" t="s">
        <v>128</v>
      </c>
      <c r="P704" s="728" t="s">
        <v>481</v>
      </c>
    </row>
    <row r="705" spans="2:17" s="723" customFormat="1" ht="12" customHeight="1">
      <c r="B705" s="722"/>
      <c r="J705" s="735" t="s">
        <v>2986</v>
      </c>
      <c r="K705" s="736"/>
      <c r="L705" s="727"/>
      <c r="M705" s="728"/>
      <c r="N705" s="737" t="s">
        <v>2681</v>
      </c>
      <c r="O705" s="737" t="s">
        <v>355</v>
      </c>
      <c r="P705" s="728" t="s">
        <v>482</v>
      </c>
      <c r="Q705" s="1401"/>
    </row>
    <row r="706" spans="2:17" s="723" customFormat="1" ht="12" customHeight="1">
      <c r="B706" s="722"/>
      <c r="J706" s="735" t="s">
        <v>2501</v>
      </c>
      <c r="K706" s="736"/>
      <c r="L706" s="727"/>
      <c r="M706" s="728"/>
      <c r="N706" s="737" t="s">
        <v>2683</v>
      </c>
      <c r="O706" s="737" t="s">
        <v>201</v>
      </c>
      <c r="P706" s="728" t="s">
        <v>483</v>
      </c>
    </row>
    <row r="707" spans="2:17" s="723" customFormat="1" ht="12" customHeight="1">
      <c r="B707" s="722"/>
      <c r="J707" s="735" t="s">
        <v>1524</v>
      </c>
      <c r="K707" s="736"/>
      <c r="L707" s="727"/>
      <c r="M707" s="728"/>
      <c r="N707" s="737" t="s">
        <v>581</v>
      </c>
      <c r="O707" s="737" t="s">
        <v>1747</v>
      </c>
      <c r="P707" s="728" t="s">
        <v>484</v>
      </c>
    </row>
    <row r="708" spans="2:17" s="723" customFormat="1" ht="12" customHeight="1">
      <c r="B708" s="722"/>
      <c r="J708" s="735" t="s">
        <v>2760</v>
      </c>
      <c r="K708" s="736"/>
      <c r="L708" s="727"/>
      <c r="M708" s="728"/>
      <c r="N708" s="737" t="s">
        <v>2812</v>
      </c>
      <c r="O708" s="737" t="s">
        <v>1037</v>
      </c>
      <c r="P708" s="728" t="s">
        <v>485</v>
      </c>
    </row>
    <row r="709" spans="2:17" s="723" customFormat="1" ht="12" customHeight="1">
      <c r="B709" s="722"/>
      <c r="J709" s="735" t="s">
        <v>2678</v>
      </c>
      <c r="K709" s="736"/>
      <c r="L709" s="727"/>
      <c r="M709" s="728"/>
      <c r="N709" s="737" t="s">
        <v>2839</v>
      </c>
      <c r="O709" s="737" t="s">
        <v>112</v>
      </c>
      <c r="P709" s="728" t="s">
        <v>1421</v>
      </c>
    </row>
    <row r="710" spans="2:17" s="723" customFormat="1" ht="12" customHeight="1">
      <c r="B710" s="722"/>
      <c r="J710" s="735" t="s">
        <v>2680</v>
      </c>
      <c r="K710" s="736"/>
      <c r="L710" s="727"/>
      <c r="M710" s="728"/>
      <c r="N710" s="737" t="s">
        <v>1226</v>
      </c>
      <c r="O710" s="737" t="s">
        <v>2716</v>
      </c>
      <c r="P710" s="1399" t="s">
        <v>1217</v>
      </c>
    </row>
    <row r="711" spans="2:17" s="723" customFormat="1" ht="12" customHeight="1">
      <c r="B711" s="722"/>
      <c r="J711" s="735" t="s">
        <v>2682</v>
      </c>
      <c r="K711" s="736"/>
      <c r="L711" s="727"/>
      <c r="M711" s="728"/>
      <c r="N711" s="737" t="s">
        <v>2840</v>
      </c>
      <c r="O711" s="737" t="s">
        <v>2716</v>
      </c>
      <c r="P711" s="728" t="s">
        <v>486</v>
      </c>
    </row>
    <row r="712" spans="2:17" s="723" customFormat="1" ht="12" customHeight="1">
      <c r="B712" s="722"/>
      <c r="J712" s="735" t="s">
        <v>628</v>
      </c>
      <c r="K712" s="736"/>
      <c r="L712" s="727"/>
      <c r="M712" s="728"/>
      <c r="N712" s="737" t="s">
        <v>2841</v>
      </c>
      <c r="O712" s="737" t="s">
        <v>2346</v>
      </c>
      <c r="P712" s="728" t="s">
        <v>487</v>
      </c>
    </row>
    <row r="713" spans="2:17" s="723" customFormat="1" ht="12" customHeight="1">
      <c r="B713" s="722"/>
      <c r="J713" s="735" t="s">
        <v>580</v>
      </c>
      <c r="K713" s="736"/>
      <c r="L713" s="727"/>
      <c r="M713" s="728"/>
      <c r="N713" s="737" t="s">
        <v>3063</v>
      </c>
      <c r="O713" s="737" t="s">
        <v>2583</v>
      </c>
      <c r="P713" s="728" t="s">
        <v>488</v>
      </c>
    </row>
    <row r="714" spans="2:17" s="723" customFormat="1" ht="12" customHeight="1">
      <c r="B714" s="722"/>
      <c r="J714" s="735" t="s">
        <v>2811</v>
      </c>
      <c r="K714" s="736"/>
      <c r="L714" s="727"/>
      <c r="M714" s="728"/>
      <c r="N714" s="737" t="s">
        <v>3064</v>
      </c>
      <c r="O714" s="737" t="s">
        <v>175</v>
      </c>
      <c r="P714" s="728" t="s">
        <v>489</v>
      </c>
    </row>
    <row r="715" spans="2:17" s="723" customFormat="1" ht="12" customHeight="1">
      <c r="B715" s="722"/>
      <c r="J715" s="735" t="s">
        <v>2838</v>
      </c>
      <c r="K715" s="736"/>
      <c r="L715" s="727"/>
      <c r="M715" s="728"/>
      <c r="N715" s="737" t="s">
        <v>3065</v>
      </c>
      <c r="O715" s="737" t="s">
        <v>2348</v>
      </c>
      <c r="P715" s="728" t="s">
        <v>490</v>
      </c>
    </row>
    <row r="716" spans="2:17" s="723" customFormat="1" ht="12" customHeight="1">
      <c r="B716" s="722"/>
      <c r="J716" s="830"/>
      <c r="K716" s="831"/>
      <c r="L716" s="831"/>
      <c r="M716" s="832"/>
      <c r="N716" s="737" t="s">
        <v>3066</v>
      </c>
      <c r="O716" s="737" t="s">
        <v>1512</v>
      </c>
      <c r="P716" s="728" t="s">
        <v>491</v>
      </c>
    </row>
    <row r="717" spans="2:17" s="723" customFormat="1" ht="12" customHeight="1">
      <c r="B717" s="722"/>
      <c r="J717" s="743"/>
      <c r="K717" s="744"/>
      <c r="L717" s="745"/>
      <c r="N717" s="737" t="s">
        <v>3067</v>
      </c>
      <c r="O717" s="737" t="s">
        <v>3156</v>
      </c>
      <c r="P717" s="728" t="s">
        <v>492</v>
      </c>
    </row>
    <row r="718" spans="2:17" s="723" customFormat="1" ht="12" customHeight="1">
      <c r="B718" s="722"/>
      <c r="N718" s="737" t="s">
        <v>2988</v>
      </c>
      <c r="O718" s="737" t="s">
        <v>2891</v>
      </c>
      <c r="P718" s="728" t="s">
        <v>493</v>
      </c>
    </row>
    <row r="719" spans="2:17" s="723" customFormat="1" ht="12" customHeight="1">
      <c r="B719" s="722"/>
      <c r="G719" s="744"/>
      <c r="H719" s="745"/>
      <c r="N719" s="737" t="s">
        <v>2227</v>
      </c>
      <c r="O719" s="737" t="s">
        <v>3158</v>
      </c>
      <c r="P719" s="728" t="s">
        <v>494</v>
      </c>
    </row>
    <row r="720" spans="2:17" s="723" customFormat="1" ht="12" customHeight="1">
      <c r="B720" s="722"/>
      <c r="F720" s="743"/>
      <c r="G720" s="744"/>
      <c r="H720" s="745"/>
      <c r="N720" s="737" t="s">
        <v>2228</v>
      </c>
      <c r="O720" s="737" t="s">
        <v>212</v>
      </c>
      <c r="P720" s="728" t="s">
        <v>495</v>
      </c>
    </row>
    <row r="721" spans="2:16" s="723" customFormat="1" ht="12" customHeight="1">
      <c r="B721" s="722"/>
      <c r="F721" s="743"/>
      <c r="G721" s="744"/>
      <c r="H721" s="745"/>
      <c r="N721" s="737" t="s">
        <v>2375</v>
      </c>
      <c r="O721" s="737" t="s">
        <v>178</v>
      </c>
      <c r="P721" s="728" t="s">
        <v>496</v>
      </c>
    </row>
    <row r="722" spans="2:16" s="723" customFormat="1" ht="12" customHeight="1">
      <c r="B722" s="722"/>
      <c r="F722" s="743"/>
      <c r="G722" s="744"/>
      <c r="H722" s="745"/>
      <c r="N722" s="626" t="s">
        <v>1484</v>
      </c>
      <c r="O722" s="626" t="s">
        <v>807</v>
      </c>
      <c r="P722" s="1400" t="s">
        <v>2856</v>
      </c>
    </row>
    <row r="723" spans="2:16" s="723" customFormat="1" ht="12" customHeight="1">
      <c r="B723" s="722"/>
      <c r="F723" s="743"/>
      <c r="G723" s="744"/>
      <c r="H723" s="745"/>
      <c r="N723" s="737" t="s">
        <v>1210</v>
      </c>
      <c r="O723" s="737" t="s">
        <v>2659</v>
      </c>
      <c r="P723" s="728" t="s">
        <v>497</v>
      </c>
    </row>
    <row r="724" spans="2:16" s="723" customFormat="1" ht="12" customHeight="1">
      <c r="B724" s="722"/>
      <c r="F724" s="743"/>
      <c r="G724" s="744"/>
      <c r="H724" s="745"/>
      <c r="N724" s="737" t="s">
        <v>2376</v>
      </c>
      <c r="O724" s="737" t="s">
        <v>3319</v>
      </c>
      <c r="P724" s="728" t="s">
        <v>498</v>
      </c>
    </row>
    <row r="725" spans="2:16" s="723" customFormat="1" ht="12" customHeight="1">
      <c r="B725" s="722"/>
      <c r="F725" s="743"/>
      <c r="G725" s="744"/>
      <c r="H725" s="745"/>
      <c r="N725" s="737" t="s">
        <v>2377</v>
      </c>
      <c r="O725" s="737" t="s">
        <v>2969</v>
      </c>
      <c r="P725" s="728" t="s">
        <v>2377</v>
      </c>
    </row>
    <row r="726" spans="2:16" s="723" customFormat="1" ht="12" customHeight="1">
      <c r="B726" s="722"/>
      <c r="F726" s="743"/>
      <c r="G726" s="744"/>
      <c r="H726" s="745"/>
      <c r="N726" s="737" t="s">
        <v>2378</v>
      </c>
      <c r="O726" s="737" t="s">
        <v>2348</v>
      </c>
      <c r="P726" s="728" t="s">
        <v>499</v>
      </c>
    </row>
    <row r="727" spans="2:16" s="723" customFormat="1" ht="12" customHeight="1">
      <c r="B727" s="722"/>
      <c r="F727" s="743"/>
      <c r="G727" s="744"/>
      <c r="H727" s="745"/>
      <c r="N727" s="737" t="s">
        <v>2379</v>
      </c>
      <c r="O727" s="737" t="s">
        <v>175</v>
      </c>
      <c r="P727" s="728" t="s">
        <v>500</v>
      </c>
    </row>
    <row r="728" spans="2:16" s="723" customFormat="1" ht="12" customHeight="1">
      <c r="B728" s="722"/>
      <c r="F728" s="743"/>
      <c r="G728" s="744"/>
      <c r="H728" s="745"/>
      <c r="N728" s="737" t="s">
        <v>2380</v>
      </c>
      <c r="O728" s="737" t="s">
        <v>842</v>
      </c>
      <c r="P728" s="728" t="s">
        <v>501</v>
      </c>
    </row>
    <row r="729" spans="2:16" s="723" customFormat="1" ht="12" customHeight="1">
      <c r="B729" s="722"/>
      <c r="F729" s="743"/>
      <c r="G729" s="744"/>
      <c r="H729" s="745"/>
      <c r="N729" s="737" t="s">
        <v>2381</v>
      </c>
      <c r="O729" s="737" t="s">
        <v>1349</v>
      </c>
      <c r="P729" s="728" t="s">
        <v>502</v>
      </c>
    </row>
    <row r="730" spans="2:16" s="723" customFormat="1" ht="12" customHeight="1">
      <c r="B730" s="722"/>
      <c r="F730" s="743"/>
      <c r="G730" s="744"/>
      <c r="H730" s="745"/>
      <c r="N730" s="737" t="s">
        <v>2382</v>
      </c>
      <c r="O730" s="737" t="s">
        <v>1626</v>
      </c>
      <c r="P730" s="728" t="s">
        <v>2382</v>
      </c>
    </row>
    <row r="731" spans="2:16" s="723" customFormat="1" ht="12" customHeight="1">
      <c r="B731" s="722"/>
      <c r="F731" s="743"/>
      <c r="G731" s="744"/>
      <c r="H731" s="745"/>
      <c r="N731" s="737" t="s">
        <v>2383</v>
      </c>
      <c r="O731" s="737" t="s">
        <v>856</v>
      </c>
      <c r="P731" s="728" t="s">
        <v>503</v>
      </c>
    </row>
    <row r="732" spans="2:16" s="723" customFormat="1" ht="12" customHeight="1">
      <c r="B732" s="722"/>
      <c r="F732" s="743"/>
      <c r="G732" s="744"/>
      <c r="H732" s="745"/>
      <c r="N732" s="626" t="s">
        <v>1485</v>
      </c>
      <c r="O732" s="626" t="s">
        <v>2348</v>
      </c>
      <c r="P732" s="1400" t="s">
        <v>2856</v>
      </c>
    </row>
    <row r="733" spans="2:16" s="723" customFormat="1" ht="12" customHeight="1">
      <c r="B733" s="722"/>
      <c r="F733" s="743"/>
      <c r="G733" s="744"/>
      <c r="H733" s="745"/>
      <c r="N733" s="737" t="s">
        <v>2384</v>
      </c>
      <c r="O733" s="737" t="s">
        <v>201</v>
      </c>
      <c r="P733" s="728" t="s">
        <v>504</v>
      </c>
    </row>
    <row r="734" spans="2:16" s="723" customFormat="1" ht="12" customHeight="1">
      <c r="B734" s="722"/>
      <c r="F734" s="743"/>
      <c r="G734" s="744"/>
      <c r="H734" s="745"/>
      <c r="N734" s="737" t="s">
        <v>2385</v>
      </c>
      <c r="O734" s="737" t="s">
        <v>192</v>
      </c>
      <c r="P734" s="728" t="s">
        <v>505</v>
      </c>
    </row>
    <row r="735" spans="2:16" s="723" customFormat="1" ht="12" customHeight="1">
      <c r="B735" s="722"/>
      <c r="F735" s="743"/>
      <c r="G735" s="744"/>
      <c r="H735" s="745"/>
      <c r="N735" s="737" t="s">
        <v>2386</v>
      </c>
      <c r="O735" s="737" t="s">
        <v>2659</v>
      </c>
      <c r="P735" s="728" t="s">
        <v>506</v>
      </c>
    </row>
    <row r="736" spans="2:16" s="723" customFormat="1" ht="12" customHeight="1">
      <c r="B736" s="722"/>
      <c r="F736" s="743"/>
      <c r="G736" s="744"/>
      <c r="H736" s="745"/>
      <c r="N736" s="737" t="s">
        <v>2387</v>
      </c>
      <c r="O736" s="737" t="s">
        <v>175</v>
      </c>
      <c r="P736" s="728" t="s">
        <v>507</v>
      </c>
    </row>
    <row r="737" spans="2:16" s="723" customFormat="1" ht="12" customHeight="1">
      <c r="B737" s="722"/>
      <c r="F737" s="743"/>
      <c r="G737" s="744"/>
      <c r="H737" s="745"/>
      <c r="N737" s="737" t="s">
        <v>2388</v>
      </c>
      <c r="O737" s="737" t="s">
        <v>2617</v>
      </c>
      <c r="P737" s="728" t="s">
        <v>508</v>
      </c>
    </row>
    <row r="738" spans="2:16" s="723" customFormat="1" ht="12" customHeight="1">
      <c r="B738" s="722"/>
      <c r="F738" s="743"/>
      <c r="G738" s="744"/>
      <c r="H738" s="745"/>
      <c r="N738" s="737" t="s">
        <v>2389</v>
      </c>
      <c r="O738" s="737" t="s">
        <v>1762</v>
      </c>
      <c r="P738" s="1399" t="s">
        <v>1217</v>
      </c>
    </row>
    <row r="739" spans="2:16" s="723" customFormat="1" ht="12" customHeight="1">
      <c r="B739" s="722"/>
      <c r="F739" s="743"/>
      <c r="G739" s="744"/>
      <c r="H739" s="745"/>
      <c r="N739" s="737" t="s">
        <v>2390</v>
      </c>
      <c r="O739" s="737" t="s">
        <v>1349</v>
      </c>
      <c r="P739" s="728" t="s">
        <v>509</v>
      </c>
    </row>
    <row r="740" spans="2:16" s="723" customFormat="1" ht="12" customHeight="1">
      <c r="B740" s="722"/>
      <c r="F740" s="743"/>
      <c r="G740" s="744"/>
      <c r="H740" s="745"/>
      <c r="N740" s="737" t="s">
        <v>2391</v>
      </c>
      <c r="O740" s="737" t="s">
        <v>1037</v>
      </c>
      <c r="P740" s="728" t="s">
        <v>510</v>
      </c>
    </row>
    <row r="741" spans="2:16" s="723" customFormat="1" ht="12" customHeight="1">
      <c r="B741" s="722"/>
      <c r="F741" s="743"/>
      <c r="G741" s="744"/>
      <c r="H741" s="745"/>
      <c r="N741" s="626" t="s">
        <v>1486</v>
      </c>
      <c r="O741" s="626" t="s">
        <v>3267</v>
      </c>
      <c r="P741" s="1400" t="s">
        <v>2856</v>
      </c>
    </row>
    <row r="742" spans="2:16" s="723" customFormat="1" ht="12" customHeight="1">
      <c r="B742" s="722"/>
      <c r="F742" s="743"/>
      <c r="G742" s="744"/>
      <c r="H742" s="745"/>
      <c r="N742" s="737" t="s">
        <v>2392</v>
      </c>
      <c r="O742" s="737" t="s">
        <v>346</v>
      </c>
      <c r="P742" s="728" t="s">
        <v>511</v>
      </c>
    </row>
    <row r="743" spans="2:16" s="723" customFormat="1" ht="12" customHeight="1">
      <c r="B743" s="722"/>
      <c r="F743" s="743"/>
      <c r="G743" s="744"/>
      <c r="H743" s="745"/>
      <c r="N743" s="737" t="s">
        <v>2393</v>
      </c>
      <c r="O743" s="737" t="s">
        <v>360</v>
      </c>
      <c r="P743" s="728" t="s">
        <v>512</v>
      </c>
    </row>
    <row r="744" spans="2:16" s="723" customFormat="1" ht="12" customHeight="1">
      <c r="B744" s="722"/>
      <c r="F744" s="743"/>
      <c r="G744" s="744"/>
      <c r="H744" s="745"/>
      <c r="N744" s="737" t="s">
        <v>2394</v>
      </c>
      <c r="O744" s="737" t="s">
        <v>180</v>
      </c>
      <c r="P744" s="728" t="s">
        <v>513</v>
      </c>
    </row>
    <row r="745" spans="2:16" s="723" customFormat="1" ht="12" customHeight="1">
      <c r="B745" s="722"/>
      <c r="F745" s="743"/>
      <c r="G745" s="744"/>
      <c r="H745" s="745"/>
      <c r="N745" s="737" t="s">
        <v>2395</v>
      </c>
      <c r="O745" s="737" t="s">
        <v>2719</v>
      </c>
      <c r="P745" s="728" t="s">
        <v>514</v>
      </c>
    </row>
    <row r="746" spans="2:16" s="723" customFormat="1" ht="12" customHeight="1">
      <c r="B746" s="722"/>
      <c r="F746" s="743"/>
      <c r="G746" s="744"/>
      <c r="H746" s="745"/>
      <c r="N746" s="737" t="s">
        <v>2396</v>
      </c>
      <c r="O746" s="737" t="s">
        <v>1901</v>
      </c>
      <c r="P746" s="728" t="s">
        <v>515</v>
      </c>
    </row>
    <row r="747" spans="2:16" s="723" customFormat="1" ht="12" customHeight="1">
      <c r="B747" s="722"/>
      <c r="F747" s="743"/>
      <c r="G747" s="744"/>
      <c r="H747" s="745"/>
      <c r="N747" s="737" t="s">
        <v>2397</v>
      </c>
      <c r="O747" s="737" t="s">
        <v>2585</v>
      </c>
      <c r="P747" s="728" t="s">
        <v>516</v>
      </c>
    </row>
    <row r="748" spans="2:16" s="723" customFormat="1" ht="12" customHeight="1">
      <c r="B748" s="722"/>
      <c r="F748" s="743"/>
      <c r="G748" s="744"/>
      <c r="H748" s="745"/>
      <c r="N748" s="737" t="s">
        <v>2398</v>
      </c>
      <c r="O748" s="737" t="s">
        <v>352</v>
      </c>
      <c r="P748" s="728" t="s">
        <v>517</v>
      </c>
    </row>
    <row r="749" spans="2:16" s="723" customFormat="1" ht="12" customHeight="1">
      <c r="B749" s="722"/>
      <c r="F749" s="743"/>
      <c r="G749" s="744"/>
      <c r="H749" s="745"/>
      <c r="N749" s="737" t="s">
        <v>2399</v>
      </c>
      <c r="O749" s="737" t="s">
        <v>110</v>
      </c>
      <c r="P749" s="728" t="s">
        <v>518</v>
      </c>
    </row>
    <row r="750" spans="2:16" s="723" customFormat="1" ht="12" customHeight="1">
      <c r="B750" s="722"/>
      <c r="F750" s="743"/>
      <c r="G750" s="744"/>
      <c r="H750" s="745"/>
      <c r="N750" s="737" t="s">
        <v>323</v>
      </c>
      <c r="O750" s="737" t="s">
        <v>3160</v>
      </c>
      <c r="P750" s="728" t="s">
        <v>519</v>
      </c>
    </row>
    <row r="751" spans="2:16" s="723" customFormat="1" ht="12" customHeight="1">
      <c r="B751" s="722"/>
      <c r="F751" s="743"/>
      <c r="G751" s="744"/>
      <c r="H751" s="745"/>
      <c r="N751" s="737" t="s">
        <v>112</v>
      </c>
      <c r="O751" s="737" t="s">
        <v>3156</v>
      </c>
      <c r="P751" s="728" t="s">
        <v>520</v>
      </c>
    </row>
    <row r="752" spans="2:16" s="723" customFormat="1" ht="12" customHeight="1">
      <c r="B752" s="722"/>
      <c r="F752" s="743"/>
      <c r="G752" s="744"/>
      <c r="H752" s="745"/>
      <c r="N752" s="737" t="s">
        <v>324</v>
      </c>
      <c r="O752" s="737" t="s">
        <v>3387</v>
      </c>
      <c r="P752" s="728" t="s">
        <v>521</v>
      </c>
    </row>
    <row r="753" spans="2:16" s="723" customFormat="1" ht="12" customHeight="1">
      <c r="B753" s="722"/>
      <c r="F753" s="743"/>
      <c r="G753" s="744"/>
      <c r="H753" s="745"/>
      <c r="N753" s="737" t="s">
        <v>325</v>
      </c>
      <c r="O753" s="737" t="s">
        <v>347</v>
      </c>
      <c r="P753" s="728" t="s">
        <v>522</v>
      </c>
    </row>
    <row r="754" spans="2:16" s="723" customFormat="1" ht="12" customHeight="1">
      <c r="B754" s="722"/>
      <c r="F754" s="743"/>
      <c r="G754" s="744"/>
      <c r="H754" s="745"/>
      <c r="N754" s="737" t="s">
        <v>326</v>
      </c>
      <c r="O754" s="737" t="s">
        <v>2720</v>
      </c>
      <c r="P754" s="728" t="s">
        <v>523</v>
      </c>
    </row>
    <row r="755" spans="2:16" s="723" customFormat="1" ht="12" customHeight="1">
      <c r="B755" s="722"/>
      <c r="F755" s="743"/>
      <c r="G755" s="744"/>
      <c r="H755" s="745"/>
      <c r="N755" s="737" t="s">
        <v>327</v>
      </c>
      <c r="O755" s="737" t="s">
        <v>1762</v>
      </c>
      <c r="P755" s="728" t="s">
        <v>524</v>
      </c>
    </row>
    <row r="756" spans="2:16" s="723" customFormat="1" ht="12" customHeight="1">
      <c r="B756" s="722"/>
      <c r="F756" s="743"/>
      <c r="G756" s="744"/>
      <c r="H756" s="745"/>
      <c r="N756" s="737" t="s">
        <v>328</v>
      </c>
      <c r="O756" s="737" t="s">
        <v>2623</v>
      </c>
      <c r="P756" s="728" t="s">
        <v>525</v>
      </c>
    </row>
    <row r="757" spans="2:16" s="723" customFormat="1" ht="12" customHeight="1">
      <c r="B757" s="722"/>
      <c r="F757" s="743"/>
      <c r="G757" s="744"/>
      <c r="H757" s="745"/>
      <c r="N757" s="737" t="s">
        <v>329</v>
      </c>
      <c r="O757" s="737" t="s">
        <v>116</v>
      </c>
      <c r="P757" s="1399" t="s">
        <v>1217</v>
      </c>
    </row>
    <row r="758" spans="2:16" s="723" customFormat="1" ht="12" customHeight="1">
      <c r="B758" s="722"/>
      <c r="F758" s="743"/>
      <c r="G758" s="744"/>
      <c r="H758" s="745"/>
      <c r="N758" s="737" t="s">
        <v>330</v>
      </c>
      <c r="O758" s="737" t="s">
        <v>854</v>
      </c>
      <c r="P758" s="728" t="s">
        <v>526</v>
      </c>
    </row>
    <row r="759" spans="2:16" s="723" customFormat="1" ht="12" customHeight="1">
      <c r="B759" s="722"/>
      <c r="F759" s="743"/>
      <c r="G759" s="744"/>
      <c r="H759" s="745"/>
      <c r="N759" s="737" t="s">
        <v>120</v>
      </c>
      <c r="O759" s="737" t="s">
        <v>1747</v>
      </c>
      <c r="P759" s="728" t="s">
        <v>527</v>
      </c>
    </row>
    <row r="760" spans="2:16" s="723" customFormat="1" ht="12" customHeight="1">
      <c r="B760" s="722"/>
      <c r="F760" s="743"/>
      <c r="G760" s="744"/>
      <c r="H760" s="745"/>
      <c r="N760" s="737" t="s">
        <v>1998</v>
      </c>
      <c r="O760" s="737" t="s">
        <v>856</v>
      </c>
      <c r="P760" s="728" t="s">
        <v>528</v>
      </c>
    </row>
    <row r="761" spans="2:16" s="723" customFormat="1" ht="12" customHeight="1">
      <c r="B761" s="722"/>
      <c r="F761" s="743"/>
      <c r="G761" s="744"/>
      <c r="H761" s="745"/>
      <c r="N761" s="626" t="s">
        <v>1487</v>
      </c>
      <c r="O761" s="626" t="s">
        <v>175</v>
      </c>
      <c r="P761" s="1400" t="s">
        <v>2856</v>
      </c>
    </row>
    <row r="762" spans="2:16" s="723" customFormat="1" ht="12" customHeight="1">
      <c r="B762" s="722"/>
      <c r="F762" s="743"/>
      <c r="G762" s="744"/>
      <c r="H762" s="745"/>
      <c r="N762" s="737" t="s">
        <v>1999</v>
      </c>
      <c r="O762" s="737" t="s">
        <v>1037</v>
      </c>
      <c r="P762" s="728" t="s">
        <v>529</v>
      </c>
    </row>
    <row r="763" spans="2:16" s="723" customFormat="1" ht="12" customHeight="1">
      <c r="B763" s="722"/>
      <c r="F763" s="743"/>
      <c r="G763" s="744"/>
      <c r="H763" s="745"/>
      <c r="N763" s="737" t="s">
        <v>2000</v>
      </c>
      <c r="O763" s="737" t="s">
        <v>2471</v>
      </c>
      <c r="P763" s="728" t="s">
        <v>530</v>
      </c>
    </row>
    <row r="764" spans="2:16" s="723" customFormat="1" ht="12" customHeight="1">
      <c r="B764" s="722"/>
      <c r="F764" s="743"/>
      <c r="G764" s="744"/>
      <c r="H764" s="745"/>
      <c r="N764" s="737" t="s">
        <v>2001</v>
      </c>
      <c r="O764" s="737" t="s">
        <v>1503</v>
      </c>
      <c r="P764" s="728" t="s">
        <v>531</v>
      </c>
    </row>
    <row r="765" spans="2:16" s="723" customFormat="1" ht="12" customHeight="1">
      <c r="B765" s="722"/>
      <c r="F765" s="743"/>
      <c r="G765" s="744"/>
      <c r="H765" s="745"/>
      <c r="N765" s="626" t="s">
        <v>1488</v>
      </c>
      <c r="O765" s="626" t="s">
        <v>175</v>
      </c>
      <c r="P765" s="1400" t="s">
        <v>2856</v>
      </c>
    </row>
    <row r="766" spans="2:16" s="723" customFormat="1" ht="12" customHeight="1">
      <c r="B766" s="722"/>
      <c r="F766" s="743"/>
      <c r="G766" s="744"/>
      <c r="H766" s="745"/>
      <c r="N766" s="737" t="s">
        <v>2002</v>
      </c>
      <c r="O766" s="737" t="s">
        <v>1746</v>
      </c>
      <c r="P766" s="728" t="s">
        <v>532</v>
      </c>
    </row>
    <row r="767" spans="2:16" s="723" customFormat="1" ht="12" customHeight="1">
      <c r="B767" s="722"/>
      <c r="F767" s="743"/>
      <c r="G767" s="744"/>
      <c r="H767" s="745"/>
      <c r="N767" s="737" t="s">
        <v>2003</v>
      </c>
      <c r="O767" s="737" t="s">
        <v>181</v>
      </c>
      <c r="P767" s="728" t="s">
        <v>533</v>
      </c>
    </row>
    <row r="768" spans="2:16" s="723" customFormat="1" ht="12" customHeight="1">
      <c r="B768" s="722"/>
      <c r="F768" s="743"/>
      <c r="G768" s="744"/>
      <c r="H768" s="745"/>
      <c r="N768" s="737" t="s">
        <v>2004</v>
      </c>
      <c r="O768" s="737" t="s">
        <v>1767</v>
      </c>
      <c r="P768" s="728" t="s">
        <v>534</v>
      </c>
    </row>
    <row r="769" spans="2:16" s="723" customFormat="1" ht="12" customHeight="1">
      <c r="B769" s="722"/>
      <c r="F769" s="743"/>
      <c r="G769" s="744"/>
      <c r="H769" s="745"/>
      <c r="N769" s="737" t="s">
        <v>2005</v>
      </c>
      <c r="O769" s="737" t="s">
        <v>2585</v>
      </c>
      <c r="P769" s="728" t="s">
        <v>535</v>
      </c>
    </row>
    <row r="770" spans="2:16" s="723" customFormat="1" ht="12" customHeight="1">
      <c r="B770" s="722"/>
      <c r="F770" s="743"/>
      <c r="G770" s="744"/>
      <c r="H770" s="745"/>
      <c r="N770" s="737" t="s">
        <v>2006</v>
      </c>
      <c r="O770" s="737" t="s">
        <v>2897</v>
      </c>
      <c r="P770" s="728" t="s">
        <v>536</v>
      </c>
    </row>
    <row r="771" spans="2:16" s="723" customFormat="1" ht="12" customHeight="1">
      <c r="B771" s="722"/>
      <c r="F771" s="743"/>
      <c r="G771" s="744"/>
      <c r="H771" s="745"/>
      <c r="N771" s="737" t="s">
        <v>2007</v>
      </c>
      <c r="O771" s="737" t="s">
        <v>180</v>
      </c>
      <c r="P771" s="728" t="s">
        <v>537</v>
      </c>
    </row>
    <row r="772" spans="2:16" s="723" customFormat="1" ht="12" customHeight="1">
      <c r="B772" s="722"/>
      <c r="F772" s="743"/>
      <c r="G772" s="744"/>
      <c r="H772" s="745"/>
      <c r="N772" s="737" t="s">
        <v>3137</v>
      </c>
      <c r="O772" s="737" t="s">
        <v>856</v>
      </c>
      <c r="P772" s="728" t="s">
        <v>538</v>
      </c>
    </row>
    <row r="773" spans="2:16" s="723" customFormat="1" ht="12" customHeight="1">
      <c r="B773" s="722"/>
      <c r="F773" s="743"/>
      <c r="G773" s="744"/>
      <c r="H773" s="745"/>
      <c r="N773" s="737" t="s">
        <v>3138</v>
      </c>
      <c r="O773" s="737" t="s">
        <v>842</v>
      </c>
      <c r="P773" s="728" t="s">
        <v>539</v>
      </c>
    </row>
    <row r="774" spans="2:16" s="723" customFormat="1" ht="12" customHeight="1">
      <c r="B774" s="722"/>
      <c r="F774" s="743"/>
      <c r="G774" s="744"/>
      <c r="H774" s="745"/>
      <c r="N774" s="737" t="s">
        <v>3139</v>
      </c>
      <c r="O774" s="737" t="s">
        <v>360</v>
      </c>
      <c r="P774" s="728" t="s">
        <v>540</v>
      </c>
    </row>
    <row r="775" spans="2:16" s="723" customFormat="1" ht="12" customHeight="1">
      <c r="B775" s="722"/>
      <c r="F775" s="743"/>
      <c r="G775" s="744"/>
      <c r="H775" s="745"/>
      <c r="N775" s="737" t="s">
        <v>1227</v>
      </c>
      <c r="O775" s="737" t="s">
        <v>364</v>
      </c>
      <c r="P775" s="728" t="s">
        <v>541</v>
      </c>
    </row>
    <row r="776" spans="2:16" s="723" customFormat="1" ht="12" customHeight="1">
      <c r="B776" s="722"/>
      <c r="F776" s="743"/>
      <c r="G776" s="744"/>
      <c r="H776" s="745"/>
      <c r="N776" s="737" t="s">
        <v>1228</v>
      </c>
      <c r="O776" s="737" t="s">
        <v>2716</v>
      </c>
      <c r="P776" s="728" t="s">
        <v>542</v>
      </c>
    </row>
    <row r="777" spans="2:16" s="723" customFormat="1" ht="12" customHeight="1">
      <c r="B777" s="722"/>
      <c r="F777" s="743"/>
      <c r="G777" s="744"/>
      <c r="H777" s="745"/>
      <c r="N777" s="737" t="s">
        <v>1229</v>
      </c>
      <c r="O777" s="737" t="s">
        <v>2619</v>
      </c>
      <c r="P777" s="728" t="s">
        <v>543</v>
      </c>
    </row>
    <row r="778" spans="2:16" s="723" customFormat="1" ht="12" customHeight="1">
      <c r="B778" s="722"/>
      <c r="F778" s="743"/>
      <c r="G778" s="744"/>
      <c r="H778" s="745"/>
      <c r="N778" s="737" t="s">
        <v>1230</v>
      </c>
      <c r="O778" s="737" t="s">
        <v>1503</v>
      </c>
      <c r="P778" s="728" t="s">
        <v>544</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98</v>
      </c>
    </row>
    <row r="781" spans="2:16" s="723" customFormat="1" ht="12" customHeight="1">
      <c r="B781" s="722"/>
      <c r="F781" s="743"/>
      <c r="G781" s="744"/>
      <c r="H781" s="745"/>
      <c r="N781" s="737" t="s">
        <v>3290</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48">
    <mergeCell ref="C115:E115"/>
    <mergeCell ref="F115:I115"/>
    <mergeCell ref="F116:I116"/>
    <mergeCell ref="M114:P114"/>
    <mergeCell ref="M113:P113"/>
    <mergeCell ref="N34:P34"/>
    <mergeCell ref="F36:K36"/>
    <mergeCell ref="M146:O146"/>
    <mergeCell ref="C117:E117"/>
    <mergeCell ref="F117:I117"/>
    <mergeCell ref="J117:L117"/>
    <mergeCell ref="C116:E116"/>
    <mergeCell ref="M142:O142"/>
    <mergeCell ref="M106:P106"/>
    <mergeCell ref="F106:I106"/>
    <mergeCell ref="J106:L106"/>
    <mergeCell ref="J146:K146"/>
    <mergeCell ref="M117:P117"/>
    <mergeCell ref="F104:I104"/>
    <mergeCell ref="M115:P115"/>
    <mergeCell ref="E140:K140"/>
    <mergeCell ref="E139:K139"/>
    <mergeCell ref="M140:P140"/>
    <mergeCell ref="M104:P104"/>
    <mergeCell ref="M107:P107"/>
    <mergeCell ref="C114:E114"/>
    <mergeCell ref="F108:I108"/>
    <mergeCell ref="H32:I32"/>
    <mergeCell ref="C107:E107"/>
    <mergeCell ref="O24:P24"/>
    <mergeCell ref="C110:P111"/>
    <mergeCell ref="M108:P108"/>
    <mergeCell ref="J28:L28"/>
    <mergeCell ref="M89:N89"/>
    <mergeCell ref="N65:P65"/>
    <mergeCell ref="O88:P88"/>
    <mergeCell ref="M88:N88"/>
    <mergeCell ref="E92:G92"/>
    <mergeCell ref="H75:J75"/>
    <mergeCell ref="K69:L69"/>
    <mergeCell ref="K71:L71"/>
    <mergeCell ref="N36:P36"/>
    <mergeCell ref="K67:L67"/>
    <mergeCell ref="F35:H35"/>
    <mergeCell ref="N37:O37"/>
    <mergeCell ref="J108:L108"/>
    <mergeCell ref="C108:E108"/>
    <mergeCell ref="E91:G91"/>
    <mergeCell ref="F9:H9"/>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F107:I107"/>
    <mergeCell ref="C106:E106"/>
    <mergeCell ref="J107:L107"/>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O23:P23"/>
    <mergeCell ref="J7:K7"/>
    <mergeCell ref="O25:P25"/>
    <mergeCell ref="F16:H16"/>
    <mergeCell ref="J17:K17"/>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J113:L113"/>
    <mergeCell ref="O124:P124"/>
    <mergeCell ref="L151:M151"/>
    <mergeCell ref="O159:P159"/>
    <mergeCell ref="J104:L104"/>
    <mergeCell ref="J32:K32"/>
    <mergeCell ref="E88:L88"/>
    <mergeCell ref="E90:G90"/>
    <mergeCell ref="H65:I65"/>
    <mergeCell ref="I37:K37"/>
    <mergeCell ref="K65:L65"/>
    <mergeCell ref="J35:L35"/>
    <mergeCell ref="I92:J92"/>
    <mergeCell ref="I91:K91"/>
    <mergeCell ref="K90:L90"/>
    <mergeCell ref="O89:P89"/>
    <mergeCell ref="N35:P35"/>
    <mergeCell ref="E89:L89"/>
    <mergeCell ref="F34:K34"/>
    <mergeCell ref="F14:L14"/>
    <mergeCell ref="F15:L15"/>
    <mergeCell ref="N14:P14"/>
    <mergeCell ref="F25:L25"/>
    <mergeCell ref="H31:I31"/>
    <mergeCell ref="O27:P27"/>
    <mergeCell ref="F31:G31"/>
    <mergeCell ref="N31:P31"/>
    <mergeCell ref="N32:O32"/>
    <mergeCell ref="F32:G32"/>
    <mergeCell ref="F37:G37"/>
    <mergeCell ref="O15:P15"/>
    <mergeCell ref="J31:K31"/>
  </mergeCells>
  <phoneticPr fontId="6"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zoomScaleNormal="100" workbookViewId="0">
      <selection activeCell="L8" sqref="L8"/>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5703125" style="406" customWidth="1"/>
    <col min="25" max="16384" width="9.140625" style="406"/>
  </cols>
  <sheetData>
    <row r="1" spans="1:26" s="386" customFormat="1" ht="13.9" customHeight="1">
      <c r="A1" s="854" t="str">
        <f>CONCATENATE("PART TWO - DEVELOPMENT TEAM INFORMATION","  -  ",'Part I-Project Information'!$O$4," ",'Part I-Project Information'!$F$23,", ",'Part I-Project Information'!F26,", ",'Part I-Project Information'!J27," County")</f>
        <v>PART TWO - DEVELOPMENT TEAM INFORMATION  -  2013-007 Country Grove Apartments, Monroe, Walton County</v>
      </c>
      <c r="B1" s="855"/>
      <c r="C1" s="855"/>
      <c r="D1" s="855"/>
      <c r="E1" s="855"/>
      <c r="F1" s="855"/>
      <c r="G1" s="855"/>
      <c r="H1" s="855"/>
      <c r="I1" s="855"/>
      <c r="J1" s="855"/>
      <c r="K1" s="855"/>
      <c r="L1" s="855"/>
      <c r="M1" s="855"/>
      <c r="N1" s="855"/>
      <c r="O1" s="855"/>
      <c r="P1" s="855"/>
      <c r="Q1" s="855"/>
      <c r="R1" s="855"/>
      <c r="S1" s="856"/>
    </row>
    <row r="3" spans="1:26" s="386" customFormat="1" ht="13.15" customHeight="1">
      <c r="A3" s="389" t="s">
        <v>795</v>
      </c>
      <c r="B3" s="393" t="s">
        <v>2561</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2693</v>
      </c>
      <c r="C5" s="393" t="s">
        <v>2557</v>
      </c>
      <c r="H5" s="1312" t="s">
        <v>4083</v>
      </c>
      <c r="I5" s="1373"/>
      <c r="J5" s="1373"/>
      <c r="K5" s="1373"/>
      <c r="L5" s="1373"/>
      <c r="M5" s="1373"/>
      <c r="N5" s="1374"/>
      <c r="O5" s="791" t="s">
        <v>2700</v>
      </c>
      <c r="P5" s="791"/>
      <c r="Q5" s="1312" t="s">
        <v>4072</v>
      </c>
      <c r="R5" s="1373"/>
      <c r="S5" s="1374"/>
    </row>
    <row r="6" spans="1:26" s="386" customFormat="1" ht="12.6" customHeight="1">
      <c r="D6" s="431"/>
      <c r="E6" s="392" t="s">
        <v>1423</v>
      </c>
      <c r="F6" s="400"/>
      <c r="H6" s="1312" t="s">
        <v>4073</v>
      </c>
      <c r="I6" s="1373"/>
      <c r="J6" s="1373"/>
      <c r="K6" s="1373"/>
      <c r="L6" s="1373"/>
      <c r="M6" s="1373"/>
      <c r="N6" s="1374"/>
      <c r="O6" s="791" t="s">
        <v>2440</v>
      </c>
      <c r="Q6" s="1312" t="s">
        <v>4074</v>
      </c>
      <c r="R6" s="1373"/>
      <c r="S6" s="1374"/>
    </row>
    <row r="7" spans="1:26" s="386" customFormat="1" ht="12.6" customHeight="1">
      <c r="D7" s="431"/>
      <c r="E7" s="392" t="s">
        <v>797</v>
      </c>
      <c r="H7" s="1312" t="s">
        <v>2385</v>
      </c>
      <c r="I7" s="1373"/>
      <c r="J7" s="1374"/>
      <c r="K7" s="1402" t="s">
        <v>1067</v>
      </c>
      <c r="L7" s="1312"/>
      <c r="M7" s="1373"/>
      <c r="N7" s="1374"/>
      <c r="O7" s="791" t="s">
        <v>2498</v>
      </c>
      <c r="Q7" s="1320">
        <v>2293162232</v>
      </c>
      <c r="R7" s="1325"/>
      <c r="S7" s="1321"/>
    </row>
    <row r="8" spans="1:26" s="386" customFormat="1" ht="12.6" customHeight="1">
      <c r="D8" s="431"/>
      <c r="E8" s="392" t="s">
        <v>2494</v>
      </c>
      <c r="H8" s="1326" t="s">
        <v>1241</v>
      </c>
      <c r="I8" s="799" t="s">
        <v>1710</v>
      </c>
      <c r="J8" s="1323">
        <v>316021936</v>
      </c>
      <c r="K8" s="1374"/>
      <c r="L8" s="351" t="s">
        <v>3741</v>
      </c>
      <c r="M8" s="1403">
        <v>104.02</v>
      </c>
      <c r="N8" s="1404"/>
      <c r="O8" s="791" t="s">
        <v>2689</v>
      </c>
      <c r="Q8" s="1320">
        <v>2295615959</v>
      </c>
      <c r="R8" s="1325"/>
      <c r="S8" s="1321"/>
    </row>
    <row r="9" spans="1:26" s="386" customFormat="1" ht="12.6" customHeight="1">
      <c r="D9" s="431"/>
      <c r="E9" s="392" t="s">
        <v>2695</v>
      </c>
      <c r="H9" s="1320">
        <v>2292427759</v>
      </c>
      <c r="I9" s="1321"/>
      <c r="J9" s="1405">
        <v>232</v>
      </c>
      <c r="K9" s="799" t="s">
        <v>2497</v>
      </c>
      <c r="L9" s="1359">
        <v>2292471899</v>
      </c>
      <c r="M9" s="1406"/>
      <c r="N9" s="394" t="s">
        <v>2694</v>
      </c>
      <c r="O9" s="1327" t="s">
        <v>4075</v>
      </c>
      <c r="P9" s="1328"/>
      <c r="Q9" s="1328"/>
      <c r="R9" s="1328"/>
      <c r="S9" s="1329"/>
    </row>
    <row r="10" spans="1:26" s="386" customFormat="1" ht="13.15" customHeight="1">
      <c r="D10" s="431"/>
      <c r="E10" s="377" t="s">
        <v>3740</v>
      </c>
      <c r="H10" s="425"/>
      <c r="K10" s="351" t="s">
        <v>3742</v>
      </c>
      <c r="M10" s="1375">
        <v>8</v>
      </c>
      <c r="N10" s="472" t="s">
        <v>1711</v>
      </c>
      <c r="Q10" s="799"/>
    </row>
    <row r="11" spans="1:26" s="386" customFormat="1" ht="4.1500000000000004" customHeight="1">
      <c r="D11" s="432"/>
      <c r="E11" s="392"/>
      <c r="F11" s="393"/>
      <c r="G11" s="393"/>
      <c r="H11" s="393"/>
      <c r="I11" s="393"/>
      <c r="J11" s="393"/>
      <c r="N11" s="393"/>
      <c r="O11" s="393"/>
      <c r="P11" s="393"/>
      <c r="Q11" s="393"/>
      <c r="R11" s="393"/>
      <c r="S11" s="393"/>
      <c r="T11" s="393"/>
    </row>
    <row r="12" spans="1:26" s="386" customFormat="1" ht="13.15" customHeight="1">
      <c r="B12" s="430" t="s">
        <v>2696</v>
      </c>
      <c r="C12" s="393" t="s">
        <v>2558</v>
      </c>
      <c r="F12" s="393"/>
      <c r="G12" s="393"/>
      <c r="H12" s="393"/>
      <c r="I12" s="393"/>
      <c r="J12" s="393"/>
      <c r="N12" s="786" t="s">
        <v>3913</v>
      </c>
      <c r="P12" s="1407" t="s">
        <v>1709</v>
      </c>
      <c r="W12" s="1407"/>
      <c r="X12" s="1407"/>
      <c r="Y12" s="1407"/>
      <c r="Z12" s="1407"/>
    </row>
    <row r="13" spans="1:26" s="386" customFormat="1" ht="4.1500000000000004" customHeight="1">
      <c r="D13" s="432"/>
      <c r="E13" s="392"/>
      <c r="F13" s="393"/>
      <c r="G13" s="393"/>
      <c r="H13" s="393"/>
      <c r="I13" s="393"/>
      <c r="J13" s="393"/>
      <c r="N13" s="443"/>
      <c r="P13" s="440"/>
      <c r="W13" s="440"/>
      <c r="X13" s="440"/>
      <c r="Y13" s="351"/>
      <c r="Z13" s="351"/>
    </row>
    <row r="14" spans="1:26" s="386" customFormat="1" ht="13.15" customHeight="1">
      <c r="C14" s="433" t="s">
        <v>2697</v>
      </c>
      <c r="D14" s="430" t="s">
        <v>2698</v>
      </c>
      <c r="H14" s="796"/>
      <c r="I14" s="796"/>
      <c r="J14" s="796"/>
      <c r="N14" s="786" t="s">
        <v>3952</v>
      </c>
      <c r="P14" s="773" t="s">
        <v>3951</v>
      </c>
      <c r="W14" s="1408"/>
      <c r="X14" s="1408"/>
      <c r="Y14" s="1408"/>
      <c r="Z14" s="1408"/>
    </row>
    <row r="15" spans="1:26" s="386" customFormat="1" ht="4.1500000000000004" customHeight="1">
      <c r="D15" s="433"/>
      <c r="E15" s="434"/>
      <c r="H15" s="1409"/>
      <c r="I15" s="1409"/>
      <c r="J15" s="1409"/>
      <c r="K15" s="792"/>
      <c r="L15" s="1409"/>
      <c r="M15" s="1409"/>
      <c r="N15" s="792"/>
      <c r="O15" s="1410"/>
      <c r="P15" s="1410"/>
      <c r="Q15" s="799"/>
      <c r="R15" s="1410"/>
      <c r="S15" s="1410"/>
    </row>
    <row r="16" spans="1:26" s="386" customFormat="1" ht="12.6" customHeight="1">
      <c r="D16" s="389" t="s">
        <v>2830</v>
      </c>
      <c r="E16" s="386" t="s">
        <v>2559</v>
      </c>
      <c r="H16" s="1312" t="s">
        <v>4089</v>
      </c>
      <c r="I16" s="1373"/>
      <c r="J16" s="1373"/>
      <c r="K16" s="1373"/>
      <c r="L16" s="1373"/>
      <c r="M16" s="1373"/>
      <c r="N16" s="1374"/>
      <c r="O16" s="791" t="s">
        <v>2700</v>
      </c>
      <c r="P16" s="791"/>
      <c r="Q16" s="1312" t="s">
        <v>4072</v>
      </c>
      <c r="R16" s="1373"/>
      <c r="S16" s="1374"/>
    </row>
    <row r="17" spans="4:19" s="386" customFormat="1" ht="12.6" customHeight="1">
      <c r="D17" s="431"/>
      <c r="E17" s="392" t="s">
        <v>1423</v>
      </c>
      <c r="F17" s="400"/>
      <c r="H17" s="1312" t="s">
        <v>4073</v>
      </c>
      <c r="I17" s="1373"/>
      <c r="J17" s="1373"/>
      <c r="K17" s="1373"/>
      <c r="L17" s="1373"/>
      <c r="M17" s="1373"/>
      <c r="N17" s="1374"/>
      <c r="O17" s="791" t="s">
        <v>2440</v>
      </c>
      <c r="Q17" s="1312" t="s">
        <v>4074</v>
      </c>
      <c r="R17" s="1373"/>
      <c r="S17" s="1374"/>
    </row>
    <row r="18" spans="4:19" s="386" customFormat="1" ht="12.6" customHeight="1">
      <c r="D18" s="431"/>
      <c r="E18" s="392" t="s">
        <v>797</v>
      </c>
      <c r="H18" s="1312" t="s">
        <v>2385</v>
      </c>
      <c r="I18" s="1373"/>
      <c r="J18" s="1374"/>
      <c r="O18" s="791" t="s">
        <v>2498</v>
      </c>
      <c r="Q18" s="1320">
        <v>2293162232</v>
      </c>
      <c r="R18" s="1325"/>
      <c r="S18" s="1321"/>
    </row>
    <row r="19" spans="4:19" s="386" customFormat="1" ht="12.6" customHeight="1">
      <c r="D19" s="389"/>
      <c r="E19" s="392" t="s">
        <v>2494</v>
      </c>
      <c r="H19" s="1326" t="s">
        <v>1241</v>
      </c>
      <c r="I19" s="799" t="s">
        <v>1710</v>
      </c>
      <c r="J19" s="1323">
        <v>316021936</v>
      </c>
      <c r="K19" s="1374"/>
      <c r="L19" s="351" t="s">
        <v>1712</v>
      </c>
      <c r="N19" s="1375">
        <v>8</v>
      </c>
      <c r="O19" s="791" t="s">
        <v>2689</v>
      </c>
      <c r="Q19" s="1320">
        <v>2295615959</v>
      </c>
      <c r="R19" s="1325"/>
      <c r="S19" s="1321"/>
    </row>
    <row r="20" spans="4:19" s="386" customFormat="1" ht="12.6" customHeight="1">
      <c r="D20" s="431"/>
      <c r="E20" s="392" t="s">
        <v>2695</v>
      </c>
      <c r="H20" s="1320">
        <v>2292427759</v>
      </c>
      <c r="I20" s="1321"/>
      <c r="J20" s="1405">
        <v>232</v>
      </c>
      <c r="K20" s="799" t="s">
        <v>2497</v>
      </c>
      <c r="L20" s="1359">
        <v>2292471899</v>
      </c>
      <c r="M20" s="1374"/>
      <c r="N20" s="394" t="s">
        <v>2694</v>
      </c>
      <c r="O20" s="1327" t="s">
        <v>4075</v>
      </c>
      <c r="P20" s="1328"/>
      <c r="Q20" s="1328"/>
      <c r="R20" s="1328"/>
      <c r="S20" s="1329"/>
    </row>
    <row r="21" spans="4:19" ht="4.1500000000000004" customHeight="1">
      <c r="D21" s="415"/>
      <c r="H21" s="1411"/>
      <c r="I21" s="1411"/>
      <c r="J21" s="1411"/>
      <c r="K21" s="799"/>
      <c r="L21" s="1411"/>
      <c r="M21" s="1411"/>
      <c r="N21" s="792"/>
      <c r="O21" s="1410"/>
      <c r="P21" s="1410"/>
      <c r="Q21" s="799"/>
      <c r="R21" s="1410"/>
      <c r="S21" s="1410"/>
    </row>
    <row r="22" spans="4:19" s="386" customFormat="1" ht="12.6" customHeight="1">
      <c r="D22" s="389" t="s">
        <v>2831</v>
      </c>
      <c r="E22" s="386" t="s">
        <v>2560</v>
      </c>
      <c r="F22" s="796"/>
      <c r="H22" s="1312" t="s">
        <v>1368</v>
      </c>
      <c r="I22" s="1373"/>
      <c r="J22" s="1373"/>
      <c r="K22" s="1373"/>
      <c r="L22" s="1373"/>
      <c r="M22" s="1373"/>
      <c r="N22" s="1374"/>
      <c r="O22" s="791" t="s">
        <v>2700</v>
      </c>
      <c r="P22" s="791"/>
      <c r="Q22" s="1312" t="s">
        <v>1368</v>
      </c>
      <c r="R22" s="1373"/>
      <c r="S22" s="1374"/>
    </row>
    <row r="23" spans="4:19" s="386" customFormat="1" ht="12.6" customHeight="1">
      <c r="D23" s="431"/>
      <c r="E23" s="392" t="s">
        <v>1423</v>
      </c>
      <c r="F23" s="400"/>
      <c r="H23" s="1312" t="s">
        <v>1368</v>
      </c>
      <c r="I23" s="1373"/>
      <c r="J23" s="1373"/>
      <c r="K23" s="1373"/>
      <c r="L23" s="1373"/>
      <c r="M23" s="1373"/>
      <c r="N23" s="1374"/>
      <c r="O23" s="791" t="s">
        <v>2440</v>
      </c>
      <c r="Q23" s="1312" t="s">
        <v>1368</v>
      </c>
      <c r="R23" s="1373"/>
      <c r="S23" s="1374"/>
    </row>
    <row r="24" spans="4:19" s="386" customFormat="1" ht="12.6" customHeight="1">
      <c r="D24" s="431"/>
      <c r="E24" s="392" t="s">
        <v>797</v>
      </c>
      <c r="H24" s="1312" t="s">
        <v>1368</v>
      </c>
      <c r="I24" s="1373"/>
      <c r="J24" s="1374"/>
      <c r="O24" s="791" t="s">
        <v>2498</v>
      </c>
      <c r="Q24" s="1320"/>
      <c r="R24" s="1325"/>
      <c r="S24" s="1321"/>
    </row>
    <row r="25" spans="4:19" s="386" customFormat="1" ht="12.6" customHeight="1">
      <c r="E25" s="392" t="s">
        <v>2494</v>
      </c>
      <c r="H25" s="1326"/>
      <c r="I25" s="417" t="s">
        <v>2953</v>
      </c>
      <c r="J25" s="1323"/>
      <c r="K25" s="1374"/>
      <c r="O25" s="791" t="s">
        <v>2689</v>
      </c>
      <c r="Q25" s="1320"/>
      <c r="R25" s="1325"/>
      <c r="S25" s="1321"/>
    </row>
    <row r="26" spans="4:19" s="386" customFormat="1" ht="12.6" customHeight="1">
      <c r="D26" s="431"/>
      <c r="E26" s="392" t="s">
        <v>2695</v>
      </c>
      <c r="H26" s="1320"/>
      <c r="I26" s="1321"/>
      <c r="J26" s="1405"/>
      <c r="K26" s="799" t="s">
        <v>2497</v>
      </c>
      <c r="L26" s="1359"/>
      <c r="M26" s="1374"/>
      <c r="N26" s="394" t="s">
        <v>2694</v>
      </c>
      <c r="O26" s="1327" t="s">
        <v>1368</v>
      </c>
      <c r="P26" s="1328"/>
      <c r="Q26" s="1328"/>
      <c r="R26" s="1328"/>
      <c r="S26" s="1329"/>
    </row>
    <row r="27" spans="4:19" s="386" customFormat="1" ht="4.1500000000000004" customHeight="1">
      <c r="D27" s="431"/>
      <c r="E27" s="796"/>
      <c r="F27" s="796"/>
      <c r="G27" s="791"/>
      <c r="H27" s="1411"/>
      <c r="I27" s="1411"/>
      <c r="J27" s="1411"/>
      <c r="K27" s="799"/>
      <c r="L27" s="1411"/>
      <c r="M27" s="1411"/>
      <c r="N27" s="792"/>
      <c r="O27" s="1410"/>
      <c r="P27" s="1410"/>
      <c r="Q27" s="799"/>
      <c r="R27" s="1410"/>
      <c r="S27" s="1410"/>
    </row>
    <row r="28" spans="4:19" s="386" customFormat="1" ht="12.6" customHeight="1">
      <c r="D28" s="389" t="s">
        <v>2426</v>
      </c>
      <c r="E28" s="386" t="s">
        <v>2560</v>
      </c>
      <c r="F28" s="796"/>
      <c r="H28" s="1312" t="s">
        <v>1368</v>
      </c>
      <c r="I28" s="1373"/>
      <c r="J28" s="1373"/>
      <c r="K28" s="1373"/>
      <c r="L28" s="1373"/>
      <c r="M28" s="1373"/>
      <c r="N28" s="1374"/>
      <c r="O28" s="791" t="s">
        <v>2700</v>
      </c>
      <c r="P28" s="791"/>
      <c r="Q28" s="1312" t="s">
        <v>1368</v>
      </c>
      <c r="R28" s="1373"/>
      <c r="S28" s="1374"/>
    </row>
    <row r="29" spans="4:19" s="386" customFormat="1" ht="12.6" customHeight="1">
      <c r="D29" s="431"/>
      <c r="E29" s="392" t="s">
        <v>1423</v>
      </c>
      <c r="F29" s="400"/>
      <c r="H29" s="1312" t="s">
        <v>1368</v>
      </c>
      <c r="I29" s="1373"/>
      <c r="J29" s="1373"/>
      <c r="K29" s="1373"/>
      <c r="L29" s="1373"/>
      <c r="M29" s="1373"/>
      <c r="N29" s="1374"/>
      <c r="O29" s="791" t="s">
        <v>2440</v>
      </c>
      <c r="Q29" s="1312" t="s">
        <v>1368</v>
      </c>
      <c r="R29" s="1373"/>
      <c r="S29" s="1374"/>
    </row>
    <row r="30" spans="4:19" s="386" customFormat="1" ht="12.6" customHeight="1">
      <c r="D30" s="431"/>
      <c r="E30" s="392" t="s">
        <v>797</v>
      </c>
      <c r="H30" s="1312" t="s">
        <v>1368</v>
      </c>
      <c r="I30" s="1373"/>
      <c r="J30" s="1374"/>
      <c r="O30" s="791" t="s">
        <v>2498</v>
      </c>
      <c r="Q30" s="1320"/>
      <c r="R30" s="1325"/>
      <c r="S30" s="1321"/>
    </row>
    <row r="31" spans="4:19" s="386" customFormat="1" ht="12.6" customHeight="1">
      <c r="E31" s="392" t="s">
        <v>2494</v>
      </c>
      <c r="H31" s="1326"/>
      <c r="I31" s="417" t="s">
        <v>2953</v>
      </c>
      <c r="J31" s="1323"/>
      <c r="K31" s="1374"/>
      <c r="O31" s="791" t="s">
        <v>2689</v>
      </c>
      <c r="Q31" s="1320"/>
      <c r="R31" s="1325"/>
      <c r="S31" s="1321"/>
    </row>
    <row r="32" spans="4:19" s="386" customFormat="1" ht="12.6" customHeight="1">
      <c r="D32" s="431"/>
      <c r="E32" s="392" t="s">
        <v>2695</v>
      </c>
      <c r="H32" s="1320"/>
      <c r="I32" s="1321"/>
      <c r="J32" s="1405"/>
      <c r="K32" s="799" t="s">
        <v>2497</v>
      </c>
      <c r="L32" s="1359"/>
      <c r="M32" s="1374"/>
      <c r="N32" s="394" t="s">
        <v>2694</v>
      </c>
      <c r="O32" s="1327" t="s">
        <v>1368</v>
      </c>
      <c r="P32" s="1328"/>
      <c r="Q32" s="1328"/>
      <c r="R32" s="1328"/>
      <c r="S32" s="1329"/>
    </row>
    <row r="33" spans="3:19" ht="4.1500000000000004" customHeight="1"/>
    <row r="34" spans="3:19" s="386" customFormat="1" ht="13.15" customHeight="1">
      <c r="C34" s="433" t="s">
        <v>2699</v>
      </c>
      <c r="D34" s="430" t="s">
        <v>2562</v>
      </c>
      <c r="H34" s="796"/>
      <c r="I34" s="796"/>
      <c r="J34" s="796"/>
      <c r="K34" s="796"/>
      <c r="L34" s="796"/>
      <c r="M34" s="796"/>
    </row>
    <row r="35" spans="3:19" s="386" customFormat="1" ht="4.1500000000000004" customHeight="1">
      <c r="C35" s="435"/>
      <c r="D35" s="430"/>
      <c r="H35" s="1409"/>
      <c r="I35" s="1409"/>
      <c r="J35" s="1409"/>
      <c r="K35" s="792"/>
      <c r="L35" s="1409"/>
      <c r="M35" s="1409"/>
      <c r="N35" s="792"/>
      <c r="O35" s="1410"/>
      <c r="P35" s="1410"/>
      <c r="Q35" s="799"/>
      <c r="R35" s="1410"/>
      <c r="S35" s="1410"/>
    </row>
    <row r="36" spans="3:19" s="386" customFormat="1" ht="12.6" customHeight="1">
      <c r="D36" s="389" t="s">
        <v>2830</v>
      </c>
      <c r="E36" s="386" t="s">
        <v>1054</v>
      </c>
      <c r="H36" s="1312" t="s">
        <v>4090</v>
      </c>
      <c r="I36" s="1373"/>
      <c r="J36" s="1373"/>
      <c r="K36" s="1373"/>
      <c r="L36" s="1373"/>
      <c r="M36" s="1373"/>
      <c r="N36" s="1374"/>
      <c r="O36" s="791" t="s">
        <v>2700</v>
      </c>
      <c r="P36" s="791"/>
      <c r="Q36" s="1312" t="s">
        <v>4092</v>
      </c>
      <c r="R36" s="1373"/>
      <c r="S36" s="1374"/>
    </row>
    <row r="37" spans="3:19" s="386" customFormat="1" ht="12.6" customHeight="1">
      <c r="D37" s="431"/>
      <c r="E37" s="392" t="s">
        <v>1423</v>
      </c>
      <c r="F37" s="400"/>
      <c r="H37" s="1312" t="s">
        <v>4177</v>
      </c>
      <c r="I37" s="1373"/>
      <c r="J37" s="1373"/>
      <c r="K37" s="1373"/>
      <c r="L37" s="1373"/>
      <c r="M37" s="1373"/>
      <c r="N37" s="1374"/>
      <c r="O37" s="791" t="s">
        <v>2440</v>
      </c>
      <c r="Q37" s="1312" t="s">
        <v>4093</v>
      </c>
      <c r="R37" s="1373"/>
      <c r="S37" s="1374"/>
    </row>
    <row r="38" spans="3:19" s="386" customFormat="1" ht="12.6" customHeight="1">
      <c r="D38" s="431"/>
      <c r="E38" s="392" t="s">
        <v>797</v>
      </c>
      <c r="H38" s="1312" t="s">
        <v>4091</v>
      </c>
      <c r="I38" s="1373"/>
      <c r="J38" s="1374"/>
      <c r="O38" s="791" t="s">
        <v>2498</v>
      </c>
      <c r="Q38" s="1320">
        <v>2058030331</v>
      </c>
      <c r="R38" s="1325"/>
      <c r="S38" s="1321"/>
    </row>
    <row r="39" spans="3:19" s="386" customFormat="1" ht="12.6" customHeight="1">
      <c r="E39" s="392" t="s">
        <v>2494</v>
      </c>
      <c r="H39" s="1326" t="s">
        <v>1240</v>
      </c>
      <c r="I39" s="417" t="s">
        <v>2953</v>
      </c>
      <c r="J39" s="1323">
        <v>337160000</v>
      </c>
      <c r="K39" s="1374"/>
      <c r="O39" s="791" t="s">
        <v>2689</v>
      </c>
      <c r="Q39" s="1320">
        <v>2055163099</v>
      </c>
      <c r="R39" s="1325"/>
      <c r="S39" s="1321"/>
    </row>
    <row r="40" spans="3:19" s="386" customFormat="1" ht="12.6" customHeight="1">
      <c r="D40" s="431"/>
      <c r="E40" s="392" t="s">
        <v>2695</v>
      </c>
      <c r="H40" s="1320">
        <v>8004388088</v>
      </c>
      <c r="I40" s="1321"/>
      <c r="J40" s="1405"/>
      <c r="K40" s="799" t="s">
        <v>2497</v>
      </c>
      <c r="L40" s="1359">
        <v>7275678455</v>
      </c>
      <c r="M40" s="1374"/>
      <c r="N40" s="394" t="s">
        <v>2694</v>
      </c>
      <c r="O40" s="1327" t="s">
        <v>4094</v>
      </c>
      <c r="P40" s="1328"/>
      <c r="Q40" s="1328"/>
      <c r="R40" s="1328"/>
      <c r="S40" s="1329"/>
    </row>
    <row r="41" spans="3:19" ht="4.1500000000000004" customHeight="1">
      <c r="H41" s="1411"/>
      <c r="I41" s="1411"/>
      <c r="J41" s="1411"/>
      <c r="K41" s="799"/>
      <c r="L41" s="1411"/>
      <c r="M41" s="1411"/>
      <c r="N41" s="792"/>
      <c r="O41" s="1410"/>
      <c r="P41" s="1410"/>
      <c r="Q41" s="799"/>
      <c r="R41" s="1410"/>
      <c r="S41" s="1410"/>
    </row>
    <row r="42" spans="3:19" s="386" customFormat="1" ht="12.6" customHeight="1">
      <c r="D42" s="389" t="s">
        <v>2831</v>
      </c>
      <c r="E42" s="386" t="s">
        <v>1055</v>
      </c>
      <c r="F42" s="389"/>
      <c r="H42" s="1312" t="s">
        <v>4165</v>
      </c>
      <c r="I42" s="1373"/>
      <c r="J42" s="1373"/>
      <c r="K42" s="1373"/>
      <c r="L42" s="1373"/>
      <c r="M42" s="1373"/>
      <c r="N42" s="1374"/>
      <c r="O42" s="791" t="s">
        <v>2700</v>
      </c>
      <c r="P42" s="791"/>
      <c r="Q42" s="1312" t="s">
        <v>4072</v>
      </c>
      <c r="R42" s="1373"/>
      <c r="S42" s="1374"/>
    </row>
    <row r="43" spans="3:19" s="386" customFormat="1" ht="12.6" customHeight="1">
      <c r="D43" s="431"/>
      <c r="E43" s="392" t="s">
        <v>1423</v>
      </c>
      <c r="F43" s="400"/>
      <c r="H43" s="1312" t="s">
        <v>4073</v>
      </c>
      <c r="I43" s="1373"/>
      <c r="J43" s="1373"/>
      <c r="K43" s="1373"/>
      <c r="L43" s="1373"/>
      <c r="M43" s="1373"/>
      <c r="N43" s="1374"/>
      <c r="O43" s="791" t="s">
        <v>2440</v>
      </c>
      <c r="Q43" s="1312" t="s">
        <v>4074</v>
      </c>
      <c r="R43" s="1373"/>
      <c r="S43" s="1374"/>
    </row>
    <row r="44" spans="3:19" s="386" customFormat="1" ht="12.6" customHeight="1">
      <c r="D44" s="431"/>
      <c r="E44" s="392" t="s">
        <v>797</v>
      </c>
      <c r="H44" s="1312" t="s">
        <v>2385</v>
      </c>
      <c r="I44" s="1373"/>
      <c r="J44" s="1374"/>
      <c r="O44" s="791" t="s">
        <v>2498</v>
      </c>
      <c r="Q44" s="1320">
        <v>2293162232</v>
      </c>
      <c r="R44" s="1325"/>
      <c r="S44" s="1321"/>
    </row>
    <row r="45" spans="3:19" s="386" customFormat="1" ht="12.6" customHeight="1">
      <c r="D45" s="389"/>
      <c r="E45" s="392" t="s">
        <v>2494</v>
      </c>
      <c r="H45" s="1326" t="s">
        <v>1241</v>
      </c>
      <c r="I45" s="417" t="s">
        <v>2953</v>
      </c>
      <c r="J45" s="1323">
        <v>316021936</v>
      </c>
      <c r="K45" s="1374"/>
      <c r="O45" s="791" t="s">
        <v>2689</v>
      </c>
      <c r="Q45" s="1320">
        <v>2295615959</v>
      </c>
      <c r="R45" s="1325"/>
      <c r="S45" s="1321"/>
    </row>
    <row r="46" spans="3:19" s="386" customFormat="1" ht="12.6" customHeight="1">
      <c r="D46" s="431"/>
      <c r="E46" s="392" t="s">
        <v>2695</v>
      </c>
      <c r="H46" s="1320">
        <v>2292427759</v>
      </c>
      <c r="I46" s="1321"/>
      <c r="J46" s="1405"/>
      <c r="K46" s="799" t="s">
        <v>2497</v>
      </c>
      <c r="L46" s="1359">
        <v>2292471899</v>
      </c>
      <c r="M46" s="1374"/>
      <c r="N46" s="394" t="s">
        <v>2694</v>
      </c>
      <c r="O46" s="1327" t="s">
        <v>4075</v>
      </c>
      <c r="P46" s="1328"/>
      <c r="Q46" s="1328"/>
      <c r="R46" s="1328"/>
      <c r="S46" s="1329"/>
    </row>
    <row r="47" spans="3:19" s="386" customFormat="1" ht="4.1500000000000004" customHeight="1">
      <c r="D47" s="431"/>
      <c r="E47" s="392"/>
      <c r="F47" s="389"/>
      <c r="H47" s="425"/>
      <c r="I47" s="425"/>
      <c r="J47" s="1412"/>
      <c r="K47" s="799"/>
      <c r="L47" s="425"/>
      <c r="M47" s="425"/>
      <c r="N47" s="799"/>
      <c r="O47" s="425"/>
      <c r="P47" s="425"/>
      <c r="Q47" s="799"/>
      <c r="R47" s="425"/>
      <c r="S47" s="425"/>
    </row>
    <row r="48" spans="3:19" s="386" customFormat="1" ht="13.15" customHeight="1">
      <c r="C48" s="435" t="s">
        <v>3322</v>
      </c>
      <c r="D48" s="430" t="s">
        <v>835</v>
      </c>
      <c r="H48" s="796"/>
      <c r="I48" s="796"/>
      <c r="J48" s="796"/>
      <c r="K48" s="796"/>
      <c r="L48" s="796"/>
      <c r="M48" s="796"/>
    </row>
    <row r="49" spans="1:19" s="386" customFormat="1" ht="4.1500000000000004" customHeight="1">
      <c r="D49" s="435"/>
      <c r="E49" s="434"/>
      <c r="H49" s="1409"/>
      <c r="I49" s="1409"/>
      <c r="J49" s="1409"/>
      <c r="K49" s="792"/>
      <c r="L49" s="1409"/>
      <c r="M49" s="1409"/>
      <c r="N49" s="792"/>
      <c r="O49" s="1410"/>
      <c r="P49" s="1410"/>
      <c r="Q49" s="799"/>
      <c r="R49" s="1410"/>
      <c r="S49" s="1410"/>
    </row>
    <row r="50" spans="1:19" s="386" customFormat="1" ht="12.6" customHeight="1">
      <c r="E50" s="386" t="s">
        <v>96</v>
      </c>
      <c r="H50" s="1312" t="s">
        <v>4124</v>
      </c>
      <c r="I50" s="1373"/>
      <c r="J50" s="1373"/>
      <c r="K50" s="1373"/>
      <c r="L50" s="1373"/>
      <c r="M50" s="1373"/>
      <c r="N50" s="1374"/>
      <c r="O50" s="791" t="s">
        <v>2700</v>
      </c>
      <c r="P50" s="791"/>
      <c r="Q50" s="1312" t="s">
        <v>1368</v>
      </c>
      <c r="R50" s="1373"/>
      <c r="S50" s="1374"/>
    </row>
    <row r="51" spans="1:19" s="386" customFormat="1" ht="12.6" customHeight="1">
      <c r="D51" s="431"/>
      <c r="E51" s="392" t="s">
        <v>1423</v>
      </c>
      <c r="F51" s="400"/>
      <c r="H51" s="1312" t="s">
        <v>1368</v>
      </c>
      <c r="I51" s="1373"/>
      <c r="J51" s="1373"/>
      <c r="K51" s="1373"/>
      <c r="L51" s="1373"/>
      <c r="M51" s="1373"/>
      <c r="N51" s="1374"/>
      <c r="O51" s="791" t="s">
        <v>2440</v>
      </c>
      <c r="Q51" s="1312" t="s">
        <v>1368</v>
      </c>
      <c r="R51" s="1373"/>
      <c r="S51" s="1374"/>
    </row>
    <row r="52" spans="1:19" s="386" customFormat="1" ht="12.6" customHeight="1">
      <c r="D52" s="431"/>
      <c r="E52" s="392" t="s">
        <v>797</v>
      </c>
      <c r="H52" s="1312" t="s">
        <v>1368</v>
      </c>
      <c r="I52" s="1373"/>
      <c r="J52" s="1374"/>
      <c r="O52" s="791" t="s">
        <v>2498</v>
      </c>
      <c r="Q52" s="1320"/>
      <c r="R52" s="1325"/>
      <c r="S52" s="1321"/>
    </row>
    <row r="53" spans="1:19" s="386" customFormat="1" ht="12.6" customHeight="1">
      <c r="E53" s="392" t="s">
        <v>2494</v>
      </c>
      <c r="H53" s="1326"/>
      <c r="I53" s="417" t="s">
        <v>2953</v>
      </c>
      <c r="J53" s="1323"/>
      <c r="K53" s="1374"/>
      <c r="O53" s="791" t="s">
        <v>2689</v>
      </c>
      <c r="Q53" s="1320"/>
      <c r="R53" s="1325"/>
      <c r="S53" s="1321"/>
    </row>
    <row r="54" spans="1:19" s="386" customFormat="1" ht="12.6" customHeight="1">
      <c r="D54" s="431"/>
      <c r="E54" s="392" t="s">
        <v>2695</v>
      </c>
      <c r="H54" s="1320"/>
      <c r="I54" s="1321"/>
      <c r="J54" s="1405"/>
      <c r="K54" s="799" t="s">
        <v>2497</v>
      </c>
      <c r="L54" s="1359"/>
      <c r="M54" s="1374"/>
      <c r="N54" s="394" t="s">
        <v>2694</v>
      </c>
      <c r="O54" s="1327" t="s">
        <v>1368</v>
      </c>
      <c r="P54" s="1328"/>
      <c r="Q54" s="1328"/>
      <c r="R54" s="1328"/>
      <c r="S54" s="1329"/>
    </row>
    <row r="55" spans="1:19" ht="13.15" customHeight="1"/>
    <row r="56" spans="1:19" s="386" customFormat="1" ht="13.15" customHeight="1">
      <c r="A56" s="389" t="s">
        <v>1044</v>
      </c>
      <c r="B56" s="389" t="s">
        <v>836</v>
      </c>
      <c r="F56" s="389"/>
      <c r="G56" s="799"/>
      <c r="H56" s="799"/>
      <c r="I56" s="799"/>
      <c r="J56" s="796"/>
      <c r="K56" s="796"/>
      <c r="L56" s="796"/>
      <c r="M56" s="796"/>
      <c r="N56" s="796"/>
      <c r="O56" s="796"/>
      <c r="P56" s="796"/>
      <c r="Q56" s="796"/>
      <c r="R56" s="796"/>
      <c r="S56" s="796"/>
    </row>
    <row r="57" spans="1:19" s="386" customFormat="1" ht="9" customHeight="1">
      <c r="A57" s="389"/>
      <c r="B57" s="389"/>
      <c r="F57" s="389"/>
      <c r="G57" s="799"/>
      <c r="H57" s="1409"/>
      <c r="I57" s="1409"/>
      <c r="J57" s="1409"/>
      <c r="K57" s="792"/>
      <c r="L57" s="1409"/>
      <c r="M57" s="1409"/>
      <c r="N57" s="792"/>
      <c r="O57" s="1410"/>
      <c r="P57" s="1410"/>
      <c r="Q57" s="799"/>
      <c r="R57" s="1410"/>
      <c r="S57" s="1410"/>
    </row>
    <row r="58" spans="1:19" s="386" customFormat="1" ht="13.15" customHeight="1">
      <c r="B58" s="389" t="s">
        <v>2693</v>
      </c>
      <c r="C58" s="389" t="s">
        <v>312</v>
      </c>
      <c r="H58" s="1312" t="s">
        <v>4095</v>
      </c>
      <c r="I58" s="1373"/>
      <c r="J58" s="1373"/>
      <c r="K58" s="1373"/>
      <c r="L58" s="1373"/>
      <c r="M58" s="1373"/>
      <c r="N58" s="1374"/>
      <c r="O58" s="791" t="s">
        <v>2700</v>
      </c>
      <c r="P58" s="791"/>
      <c r="Q58" s="1312" t="s">
        <v>4072</v>
      </c>
      <c r="R58" s="1373"/>
      <c r="S58" s="1374"/>
    </row>
    <row r="59" spans="1:19" s="386" customFormat="1" ht="13.15" customHeight="1">
      <c r="D59" s="431"/>
      <c r="E59" s="392" t="s">
        <v>1423</v>
      </c>
      <c r="F59" s="400"/>
      <c r="H59" s="1312" t="s">
        <v>4073</v>
      </c>
      <c r="I59" s="1373"/>
      <c r="J59" s="1373"/>
      <c r="K59" s="1373"/>
      <c r="L59" s="1373"/>
      <c r="M59" s="1373"/>
      <c r="N59" s="1374"/>
      <c r="O59" s="791" t="s">
        <v>2440</v>
      </c>
      <c r="Q59" s="1312" t="s">
        <v>4096</v>
      </c>
      <c r="R59" s="1373"/>
      <c r="S59" s="1374"/>
    </row>
    <row r="60" spans="1:19" s="386" customFormat="1" ht="13.15" customHeight="1">
      <c r="D60" s="431"/>
      <c r="E60" s="392" t="s">
        <v>797</v>
      </c>
      <c r="H60" s="1312" t="s">
        <v>2385</v>
      </c>
      <c r="I60" s="1373"/>
      <c r="J60" s="1374"/>
      <c r="O60" s="791" t="s">
        <v>2498</v>
      </c>
      <c r="Q60" s="1320">
        <v>2293162232</v>
      </c>
      <c r="R60" s="1325"/>
      <c r="S60" s="1321"/>
    </row>
    <row r="61" spans="1:19" s="386" customFormat="1" ht="13.15" customHeight="1">
      <c r="E61" s="392" t="s">
        <v>2494</v>
      </c>
      <c r="H61" s="1326" t="s">
        <v>1241</v>
      </c>
      <c r="I61" s="417" t="s">
        <v>2953</v>
      </c>
      <c r="J61" s="1323">
        <v>316021936</v>
      </c>
      <c r="K61" s="1374"/>
      <c r="O61" s="791" t="s">
        <v>2689</v>
      </c>
      <c r="Q61" s="1320">
        <v>2295615959</v>
      </c>
      <c r="R61" s="1325"/>
      <c r="S61" s="1321"/>
    </row>
    <row r="62" spans="1:19" s="386" customFormat="1" ht="13.15" customHeight="1">
      <c r="D62" s="431"/>
      <c r="E62" s="392" t="s">
        <v>2695</v>
      </c>
      <c r="H62" s="1320">
        <v>2292427759</v>
      </c>
      <c r="I62" s="1321"/>
      <c r="J62" s="1405">
        <v>232</v>
      </c>
      <c r="K62" s="799" t="s">
        <v>2497</v>
      </c>
      <c r="L62" s="1359">
        <v>2292471899</v>
      </c>
      <c r="M62" s="1374"/>
      <c r="N62" s="394" t="s">
        <v>2694</v>
      </c>
      <c r="O62" s="1327" t="s">
        <v>4075</v>
      </c>
      <c r="P62" s="1328"/>
      <c r="Q62" s="1328"/>
      <c r="R62" s="1328"/>
      <c r="S62" s="1329"/>
    </row>
    <row r="63" spans="1:19" s="386" customFormat="1" ht="6.6" customHeight="1">
      <c r="D63" s="431"/>
      <c r="E63" s="796"/>
      <c r="F63" s="796"/>
      <c r="G63" s="791"/>
      <c r="H63" s="1411"/>
      <c r="I63" s="1411"/>
      <c r="J63" s="1411"/>
      <c r="K63" s="799"/>
      <c r="L63" s="1411"/>
      <c r="M63" s="1411"/>
      <c r="N63" s="792"/>
      <c r="O63" s="1410"/>
      <c r="P63" s="1410"/>
      <c r="Q63" s="799"/>
      <c r="R63" s="1410"/>
      <c r="S63" s="1410"/>
    </row>
    <row r="64" spans="1:19" s="386" customFormat="1" ht="13.15" customHeight="1">
      <c r="B64" s="389" t="s">
        <v>2696</v>
      </c>
      <c r="C64" s="389" t="s">
        <v>313</v>
      </c>
      <c r="H64" s="1312" t="s">
        <v>4124</v>
      </c>
      <c r="I64" s="1373"/>
      <c r="J64" s="1373"/>
      <c r="K64" s="1373"/>
      <c r="L64" s="1373"/>
      <c r="M64" s="1373"/>
      <c r="N64" s="1374"/>
      <c r="O64" s="791" t="s">
        <v>2700</v>
      </c>
      <c r="P64" s="791"/>
      <c r="Q64" s="1312" t="s">
        <v>1368</v>
      </c>
      <c r="R64" s="1373"/>
      <c r="S64" s="1374"/>
    </row>
    <row r="65" spans="2:19" s="386" customFormat="1" ht="13.15" customHeight="1">
      <c r="D65" s="431"/>
      <c r="E65" s="392" t="s">
        <v>1423</v>
      </c>
      <c r="F65" s="400"/>
      <c r="H65" s="1312" t="s">
        <v>1368</v>
      </c>
      <c r="I65" s="1373"/>
      <c r="J65" s="1373"/>
      <c r="K65" s="1373"/>
      <c r="L65" s="1373"/>
      <c r="M65" s="1373"/>
      <c r="N65" s="1374"/>
      <c r="O65" s="791" t="s">
        <v>2440</v>
      </c>
      <c r="Q65" s="1312" t="s">
        <v>1368</v>
      </c>
      <c r="R65" s="1373"/>
      <c r="S65" s="1374"/>
    </row>
    <row r="66" spans="2:19" s="386" customFormat="1" ht="13.15" customHeight="1">
      <c r="D66" s="431"/>
      <c r="E66" s="392" t="s">
        <v>797</v>
      </c>
      <c r="H66" s="1312" t="s">
        <v>1368</v>
      </c>
      <c r="I66" s="1373"/>
      <c r="J66" s="1374"/>
      <c r="O66" s="791" t="s">
        <v>2498</v>
      </c>
      <c r="Q66" s="1320"/>
      <c r="R66" s="1325"/>
      <c r="S66" s="1321"/>
    </row>
    <row r="67" spans="2:19" s="386" customFormat="1" ht="13.15" customHeight="1">
      <c r="E67" s="392" t="s">
        <v>2494</v>
      </c>
      <c r="H67" s="1326"/>
      <c r="I67" s="417" t="s">
        <v>2953</v>
      </c>
      <c r="J67" s="1323"/>
      <c r="K67" s="1374"/>
      <c r="O67" s="791" t="s">
        <v>2689</v>
      </c>
      <c r="Q67" s="1320"/>
      <c r="R67" s="1325"/>
      <c r="S67" s="1321"/>
    </row>
    <row r="68" spans="2:19" s="386" customFormat="1" ht="13.15" customHeight="1">
      <c r="D68" s="431"/>
      <c r="E68" s="392" t="s">
        <v>2695</v>
      </c>
      <c r="H68" s="1320"/>
      <c r="I68" s="1321"/>
      <c r="J68" s="1405"/>
      <c r="K68" s="799" t="s">
        <v>2497</v>
      </c>
      <c r="L68" s="1359"/>
      <c r="M68" s="1374"/>
      <c r="N68" s="394" t="s">
        <v>2694</v>
      </c>
      <c r="O68" s="1327" t="s">
        <v>1368</v>
      </c>
      <c r="P68" s="1328"/>
      <c r="Q68" s="1328"/>
      <c r="R68" s="1328"/>
      <c r="S68" s="1329"/>
    </row>
    <row r="69" spans="2:19" s="386" customFormat="1" ht="6.6" customHeight="1">
      <c r="D69" s="431"/>
      <c r="E69" s="796"/>
      <c r="F69" s="796"/>
      <c r="G69" s="791"/>
      <c r="H69" s="1411"/>
      <c r="I69" s="1411"/>
      <c r="J69" s="1411"/>
      <c r="K69" s="799"/>
      <c r="L69" s="1411"/>
      <c r="M69" s="1411"/>
      <c r="N69" s="792"/>
      <c r="O69" s="1410"/>
      <c r="P69" s="1410"/>
      <c r="Q69" s="799"/>
      <c r="R69" s="1410"/>
      <c r="S69" s="1410"/>
    </row>
    <row r="70" spans="2:19" s="386" customFormat="1" ht="13.15" customHeight="1">
      <c r="B70" s="389" t="s">
        <v>1053</v>
      </c>
      <c r="C70" s="389" t="s">
        <v>1984</v>
      </c>
      <c r="H70" s="1312" t="s">
        <v>4124</v>
      </c>
      <c r="I70" s="1373"/>
      <c r="J70" s="1373"/>
      <c r="K70" s="1373"/>
      <c r="L70" s="1373"/>
      <c r="M70" s="1373"/>
      <c r="N70" s="1374"/>
      <c r="O70" s="791" t="s">
        <v>2700</v>
      </c>
      <c r="P70" s="791"/>
      <c r="Q70" s="1312" t="s">
        <v>1368</v>
      </c>
      <c r="R70" s="1373"/>
      <c r="S70" s="1374"/>
    </row>
    <row r="71" spans="2:19" s="386" customFormat="1" ht="13.15" customHeight="1">
      <c r="D71" s="431"/>
      <c r="E71" s="392" t="s">
        <v>1423</v>
      </c>
      <c r="F71" s="400"/>
      <c r="H71" s="1312" t="s">
        <v>1368</v>
      </c>
      <c r="I71" s="1373"/>
      <c r="J71" s="1373"/>
      <c r="K71" s="1373"/>
      <c r="L71" s="1373"/>
      <c r="M71" s="1373"/>
      <c r="N71" s="1374"/>
      <c r="O71" s="791" t="s">
        <v>2440</v>
      </c>
      <c r="Q71" s="1312" t="s">
        <v>1368</v>
      </c>
      <c r="R71" s="1373"/>
      <c r="S71" s="1374"/>
    </row>
    <row r="72" spans="2:19" s="386" customFormat="1" ht="13.15" customHeight="1">
      <c r="D72" s="431"/>
      <c r="E72" s="392" t="s">
        <v>797</v>
      </c>
      <c r="H72" s="1312" t="s">
        <v>1368</v>
      </c>
      <c r="I72" s="1373"/>
      <c r="J72" s="1374"/>
      <c r="O72" s="791" t="s">
        <v>2498</v>
      </c>
      <c r="Q72" s="1320"/>
      <c r="R72" s="1325"/>
      <c r="S72" s="1321"/>
    </row>
    <row r="73" spans="2:19" s="386" customFormat="1" ht="13.15" customHeight="1">
      <c r="E73" s="392" t="s">
        <v>2494</v>
      </c>
      <c r="H73" s="1326"/>
      <c r="I73" s="417" t="s">
        <v>2953</v>
      </c>
      <c r="J73" s="1323"/>
      <c r="K73" s="1374"/>
      <c r="O73" s="791" t="s">
        <v>2689</v>
      </c>
      <c r="Q73" s="1320"/>
      <c r="R73" s="1325"/>
      <c r="S73" s="1321"/>
    </row>
    <row r="74" spans="2:19" s="386" customFormat="1" ht="13.15" customHeight="1">
      <c r="D74" s="431"/>
      <c r="E74" s="392" t="s">
        <v>2695</v>
      </c>
      <c r="H74" s="1320"/>
      <c r="I74" s="1321"/>
      <c r="J74" s="1405"/>
      <c r="K74" s="799" t="s">
        <v>2497</v>
      </c>
      <c r="L74" s="1359"/>
      <c r="M74" s="1374"/>
      <c r="N74" s="394" t="s">
        <v>2694</v>
      </c>
      <c r="O74" s="1327" t="s">
        <v>1368</v>
      </c>
      <c r="P74" s="1328"/>
      <c r="Q74" s="1328"/>
      <c r="R74" s="1328"/>
      <c r="S74" s="1329"/>
    </row>
    <row r="75" spans="2:19" ht="6.6" customHeight="1">
      <c r="H75" s="1411"/>
      <c r="I75" s="1411"/>
      <c r="J75" s="1411"/>
      <c r="K75" s="799"/>
      <c r="L75" s="1411"/>
      <c r="M75" s="1411"/>
      <c r="N75" s="792"/>
      <c r="O75" s="1410"/>
      <c r="P75" s="1410"/>
      <c r="Q75" s="799"/>
      <c r="R75" s="1410"/>
      <c r="S75" s="1410"/>
    </row>
    <row r="76" spans="2:19" s="386" customFormat="1" ht="13.15" customHeight="1">
      <c r="B76" s="389" t="s">
        <v>2829</v>
      </c>
      <c r="C76" s="389" t="s">
        <v>314</v>
      </c>
      <c r="H76" s="1312" t="s">
        <v>4124</v>
      </c>
      <c r="I76" s="1373"/>
      <c r="J76" s="1373"/>
      <c r="K76" s="1373"/>
      <c r="L76" s="1373"/>
      <c r="M76" s="1373"/>
      <c r="N76" s="1374"/>
      <c r="O76" s="791" t="s">
        <v>2700</v>
      </c>
      <c r="P76" s="791"/>
      <c r="Q76" s="1312" t="s">
        <v>1368</v>
      </c>
      <c r="R76" s="1373"/>
      <c r="S76" s="1374"/>
    </row>
    <row r="77" spans="2:19" s="386" customFormat="1" ht="13.15" customHeight="1">
      <c r="D77" s="431"/>
      <c r="E77" s="392" t="s">
        <v>1423</v>
      </c>
      <c r="F77" s="400"/>
      <c r="H77" s="1312" t="s">
        <v>1368</v>
      </c>
      <c r="I77" s="1373"/>
      <c r="J77" s="1373"/>
      <c r="K77" s="1373"/>
      <c r="L77" s="1373"/>
      <c r="M77" s="1373"/>
      <c r="N77" s="1374"/>
      <c r="O77" s="791" t="s">
        <v>2440</v>
      </c>
      <c r="Q77" s="1312" t="s">
        <v>1368</v>
      </c>
      <c r="R77" s="1373"/>
      <c r="S77" s="1374"/>
    </row>
    <row r="78" spans="2:19" s="386" customFormat="1" ht="13.15" customHeight="1">
      <c r="D78" s="431"/>
      <c r="E78" s="392" t="s">
        <v>797</v>
      </c>
      <c r="H78" s="1312" t="s">
        <v>1368</v>
      </c>
      <c r="I78" s="1373"/>
      <c r="J78" s="1374"/>
      <c r="O78" s="791" t="s">
        <v>2498</v>
      </c>
      <c r="Q78" s="1320"/>
      <c r="R78" s="1325"/>
      <c r="S78" s="1321"/>
    </row>
    <row r="79" spans="2:19" s="386" customFormat="1" ht="13.15" customHeight="1">
      <c r="E79" s="392" t="s">
        <v>2494</v>
      </c>
      <c r="H79" s="1326"/>
      <c r="I79" s="417" t="s">
        <v>2953</v>
      </c>
      <c r="J79" s="1323"/>
      <c r="K79" s="1374"/>
      <c r="O79" s="791" t="s">
        <v>2689</v>
      </c>
      <c r="Q79" s="1320"/>
      <c r="R79" s="1325"/>
      <c r="S79" s="1321"/>
    </row>
    <row r="80" spans="2:19" s="386" customFormat="1" ht="13.15" customHeight="1">
      <c r="D80" s="431"/>
      <c r="E80" s="392" t="s">
        <v>2695</v>
      </c>
      <c r="H80" s="1320"/>
      <c r="I80" s="1321"/>
      <c r="J80" s="1405"/>
      <c r="K80" s="799" t="s">
        <v>2497</v>
      </c>
      <c r="L80" s="1359"/>
      <c r="M80" s="1374"/>
      <c r="N80" s="394" t="s">
        <v>2694</v>
      </c>
      <c r="O80" s="1327" t="s">
        <v>1368</v>
      </c>
      <c r="P80" s="1328"/>
      <c r="Q80" s="1328"/>
      <c r="R80" s="1328"/>
      <c r="S80" s="1329"/>
    </row>
    <row r="81" spans="1:19" ht="13.15" customHeight="1"/>
    <row r="82" spans="1:19" s="392" customFormat="1" ht="13.15" customHeight="1">
      <c r="A82" s="393" t="s">
        <v>1046</v>
      </c>
      <c r="B82" s="393" t="s">
        <v>315</v>
      </c>
      <c r="D82" s="393"/>
      <c r="E82" s="791"/>
      <c r="F82" s="350"/>
      <c r="G82" s="350"/>
      <c r="H82" s="350"/>
      <c r="I82" s="350"/>
      <c r="J82" s="350"/>
      <c r="K82" s="350"/>
      <c r="L82" s="350"/>
      <c r="M82" s="350"/>
    </row>
    <row r="83" spans="1:19" s="392" customFormat="1" ht="9" customHeight="1">
      <c r="A83" s="393"/>
      <c r="B83" s="393"/>
      <c r="D83" s="393"/>
      <c r="E83" s="791"/>
      <c r="F83" s="350"/>
      <c r="G83" s="350"/>
      <c r="H83" s="1409"/>
      <c r="I83" s="1409"/>
      <c r="J83" s="1409"/>
      <c r="K83" s="792"/>
      <c r="L83" s="1409"/>
      <c r="M83" s="1409"/>
      <c r="N83" s="792"/>
      <c r="O83" s="1410"/>
      <c r="P83" s="1410"/>
      <c r="Q83" s="799"/>
      <c r="R83" s="1410"/>
      <c r="S83" s="1410"/>
    </row>
    <row r="84" spans="1:19" s="386" customFormat="1" ht="13.15" customHeight="1">
      <c r="B84" s="389" t="s">
        <v>2693</v>
      </c>
      <c r="C84" s="389" t="s">
        <v>316</v>
      </c>
      <c r="H84" s="1312" t="s">
        <v>4124</v>
      </c>
      <c r="I84" s="1373"/>
      <c r="J84" s="1373"/>
      <c r="K84" s="1373"/>
      <c r="L84" s="1373"/>
      <c r="M84" s="1373"/>
      <c r="N84" s="1374"/>
      <c r="O84" s="791" t="s">
        <v>2700</v>
      </c>
      <c r="P84" s="791"/>
      <c r="Q84" s="1312" t="s">
        <v>1368</v>
      </c>
      <c r="R84" s="1373"/>
      <c r="S84" s="1374"/>
    </row>
    <row r="85" spans="1:19" s="386" customFormat="1" ht="13.15" customHeight="1">
      <c r="D85" s="431"/>
      <c r="E85" s="392" t="s">
        <v>1423</v>
      </c>
      <c r="F85" s="400"/>
      <c r="H85" s="1312" t="s">
        <v>1368</v>
      </c>
      <c r="I85" s="1373"/>
      <c r="J85" s="1373"/>
      <c r="K85" s="1373"/>
      <c r="L85" s="1373"/>
      <c r="M85" s="1373"/>
      <c r="N85" s="1374"/>
      <c r="O85" s="791" t="s">
        <v>2440</v>
      </c>
      <c r="Q85" s="1312" t="s">
        <v>1368</v>
      </c>
      <c r="R85" s="1373"/>
      <c r="S85" s="1374"/>
    </row>
    <row r="86" spans="1:19" s="386" customFormat="1" ht="13.15" customHeight="1">
      <c r="D86" s="431"/>
      <c r="E86" s="392" t="s">
        <v>797</v>
      </c>
      <c r="H86" s="1312" t="s">
        <v>1368</v>
      </c>
      <c r="I86" s="1373"/>
      <c r="J86" s="1374"/>
      <c r="O86" s="791" t="s">
        <v>2498</v>
      </c>
      <c r="Q86" s="1320"/>
      <c r="R86" s="1325"/>
      <c r="S86" s="1321"/>
    </row>
    <row r="87" spans="1:19" s="386" customFormat="1" ht="13.15" customHeight="1">
      <c r="E87" s="392" t="s">
        <v>2494</v>
      </c>
      <c r="H87" s="1326"/>
      <c r="I87" s="417" t="s">
        <v>2953</v>
      </c>
      <c r="J87" s="1323"/>
      <c r="K87" s="1374"/>
      <c r="O87" s="791" t="s">
        <v>2689</v>
      </c>
      <c r="Q87" s="1320"/>
      <c r="R87" s="1325"/>
      <c r="S87" s="1321"/>
    </row>
    <row r="88" spans="1:19" s="386" customFormat="1" ht="13.15" customHeight="1">
      <c r="D88" s="431"/>
      <c r="E88" s="392" t="s">
        <v>2695</v>
      </c>
      <c r="H88" s="1320"/>
      <c r="I88" s="1321"/>
      <c r="J88" s="1405"/>
      <c r="K88" s="799" t="s">
        <v>2497</v>
      </c>
      <c r="L88" s="1359"/>
      <c r="M88" s="1374"/>
      <c r="N88" s="394" t="s">
        <v>2694</v>
      </c>
      <c r="O88" s="1327" t="s">
        <v>1368</v>
      </c>
      <c r="P88" s="1328"/>
      <c r="Q88" s="1328"/>
      <c r="R88" s="1328"/>
      <c r="S88" s="1329"/>
    </row>
    <row r="89" spans="1:19" ht="6.6" customHeight="1">
      <c r="H89" s="1411"/>
      <c r="I89" s="1411"/>
      <c r="J89" s="1411"/>
      <c r="K89" s="799"/>
      <c r="L89" s="1411"/>
      <c r="M89" s="1411"/>
      <c r="N89" s="792"/>
      <c r="O89" s="1410"/>
      <c r="P89" s="1410"/>
      <c r="Q89" s="799"/>
      <c r="R89" s="1410"/>
      <c r="S89" s="1410"/>
    </row>
    <row r="90" spans="1:19" s="386" customFormat="1" ht="13.15" customHeight="1">
      <c r="B90" s="389" t="s">
        <v>2696</v>
      </c>
      <c r="C90" s="389" t="s">
        <v>317</v>
      </c>
      <c r="H90" s="1312" t="s">
        <v>4097</v>
      </c>
      <c r="I90" s="1373"/>
      <c r="J90" s="1373"/>
      <c r="K90" s="1373"/>
      <c r="L90" s="1373"/>
      <c r="M90" s="1373"/>
      <c r="N90" s="1374"/>
      <c r="O90" s="791" t="s">
        <v>2700</v>
      </c>
      <c r="P90" s="791"/>
      <c r="Q90" s="1312" t="s">
        <v>4072</v>
      </c>
      <c r="R90" s="1373"/>
      <c r="S90" s="1374"/>
    </row>
    <row r="91" spans="1:19" s="386" customFormat="1" ht="13.15" customHeight="1">
      <c r="D91" s="431"/>
      <c r="E91" s="392" t="s">
        <v>1423</v>
      </c>
      <c r="F91" s="400"/>
      <c r="H91" s="1312" t="s">
        <v>4073</v>
      </c>
      <c r="I91" s="1373"/>
      <c r="J91" s="1373"/>
      <c r="K91" s="1373"/>
      <c r="L91" s="1373"/>
      <c r="M91" s="1373"/>
      <c r="N91" s="1374"/>
      <c r="O91" s="791" t="s">
        <v>2440</v>
      </c>
      <c r="Q91" s="1312" t="s">
        <v>4096</v>
      </c>
      <c r="R91" s="1373"/>
      <c r="S91" s="1374"/>
    </row>
    <row r="92" spans="1:19" s="386" customFormat="1" ht="13.15" customHeight="1">
      <c r="D92" s="431"/>
      <c r="E92" s="392" t="s">
        <v>797</v>
      </c>
      <c r="H92" s="1312" t="s">
        <v>2385</v>
      </c>
      <c r="I92" s="1373"/>
      <c r="J92" s="1374"/>
      <c r="O92" s="791" t="s">
        <v>2498</v>
      </c>
      <c r="Q92" s="1320">
        <v>2293162232</v>
      </c>
      <c r="R92" s="1325"/>
      <c r="S92" s="1321"/>
    </row>
    <row r="93" spans="1:19" s="386" customFormat="1" ht="13.15" customHeight="1">
      <c r="E93" s="392" t="s">
        <v>2494</v>
      </c>
      <c r="H93" s="1326" t="s">
        <v>1241</v>
      </c>
      <c r="I93" s="417" t="s">
        <v>2953</v>
      </c>
      <c r="J93" s="1323">
        <v>316021936</v>
      </c>
      <c r="K93" s="1374"/>
      <c r="O93" s="791" t="s">
        <v>2689</v>
      </c>
      <c r="Q93" s="1320">
        <v>2295615959</v>
      </c>
      <c r="R93" s="1325"/>
      <c r="S93" s="1321"/>
    </row>
    <row r="94" spans="1:19" s="386" customFormat="1" ht="13.15" customHeight="1">
      <c r="D94" s="431"/>
      <c r="E94" s="392" t="s">
        <v>2695</v>
      </c>
      <c r="H94" s="1320">
        <v>2292427759</v>
      </c>
      <c r="I94" s="1321"/>
      <c r="J94" s="1405">
        <v>232</v>
      </c>
      <c r="K94" s="799" t="s">
        <v>2497</v>
      </c>
      <c r="L94" s="1359">
        <v>2292471899</v>
      </c>
      <c r="M94" s="1374"/>
      <c r="N94" s="394" t="s">
        <v>2694</v>
      </c>
      <c r="O94" s="1327" t="s">
        <v>4075</v>
      </c>
      <c r="P94" s="1328"/>
      <c r="Q94" s="1328"/>
      <c r="R94" s="1328"/>
      <c r="S94" s="1329"/>
    </row>
    <row r="95" spans="1:19" ht="6.6" customHeight="1">
      <c r="H95" s="1411"/>
      <c r="I95" s="1411"/>
      <c r="J95" s="1411"/>
      <c r="K95" s="799"/>
      <c r="L95" s="1411"/>
      <c r="M95" s="1411"/>
      <c r="N95" s="792"/>
      <c r="O95" s="1410"/>
      <c r="P95" s="1410"/>
      <c r="Q95" s="799"/>
      <c r="R95" s="1410"/>
      <c r="S95" s="1410"/>
    </row>
    <row r="96" spans="1:19" s="386" customFormat="1" ht="13.15" customHeight="1">
      <c r="B96" s="389" t="s">
        <v>1053</v>
      </c>
      <c r="C96" s="389" t="s">
        <v>318</v>
      </c>
      <c r="F96" s="406"/>
      <c r="H96" s="1312" t="s">
        <v>4098</v>
      </c>
      <c r="I96" s="1373"/>
      <c r="J96" s="1373"/>
      <c r="K96" s="1373"/>
      <c r="L96" s="1373"/>
      <c r="M96" s="1373"/>
      <c r="N96" s="1374"/>
      <c r="O96" s="791" t="s">
        <v>2700</v>
      </c>
      <c r="P96" s="791"/>
      <c r="Q96" s="1312" t="s">
        <v>4072</v>
      </c>
      <c r="R96" s="1373"/>
      <c r="S96" s="1374"/>
    </row>
    <row r="97" spans="2:19" s="386" customFormat="1" ht="13.15" customHeight="1">
      <c r="D97" s="431"/>
      <c r="E97" s="392" t="s">
        <v>1423</v>
      </c>
      <c r="F97" s="400"/>
      <c r="H97" s="1312" t="s">
        <v>4073</v>
      </c>
      <c r="I97" s="1373"/>
      <c r="J97" s="1373"/>
      <c r="K97" s="1373"/>
      <c r="L97" s="1373"/>
      <c r="M97" s="1373"/>
      <c r="N97" s="1374"/>
      <c r="O97" s="791" t="s">
        <v>2440</v>
      </c>
      <c r="Q97" s="1312" t="s">
        <v>4096</v>
      </c>
      <c r="R97" s="1373"/>
      <c r="S97" s="1374"/>
    </row>
    <row r="98" spans="2:19" s="386" customFormat="1" ht="13.15" customHeight="1">
      <c r="D98" s="431"/>
      <c r="E98" s="392" t="s">
        <v>797</v>
      </c>
      <c r="H98" s="1312" t="s">
        <v>2385</v>
      </c>
      <c r="I98" s="1373"/>
      <c r="J98" s="1374"/>
      <c r="O98" s="791" t="s">
        <v>2498</v>
      </c>
      <c r="Q98" s="1320">
        <v>2293162232</v>
      </c>
      <c r="R98" s="1325"/>
      <c r="S98" s="1321"/>
    </row>
    <row r="99" spans="2:19" s="386" customFormat="1" ht="13.15" customHeight="1">
      <c r="D99" s="431"/>
      <c r="E99" s="392" t="s">
        <v>2494</v>
      </c>
      <c r="H99" s="1326" t="s">
        <v>1241</v>
      </c>
      <c r="I99" s="417" t="s">
        <v>2953</v>
      </c>
      <c r="J99" s="1323">
        <v>316021936</v>
      </c>
      <c r="K99" s="1374"/>
      <c r="O99" s="791" t="s">
        <v>2689</v>
      </c>
      <c r="Q99" s="1320">
        <v>2295615959</v>
      </c>
      <c r="R99" s="1325"/>
      <c r="S99" s="1321"/>
    </row>
    <row r="100" spans="2:19" s="386" customFormat="1" ht="13.15" customHeight="1">
      <c r="D100" s="431"/>
      <c r="E100" s="392" t="s">
        <v>2695</v>
      </c>
      <c r="H100" s="1320">
        <v>2292427759</v>
      </c>
      <c r="I100" s="1321"/>
      <c r="J100" s="1405">
        <v>232</v>
      </c>
      <c r="K100" s="799" t="s">
        <v>2497</v>
      </c>
      <c r="L100" s="1359">
        <v>2292471899</v>
      </c>
      <c r="M100" s="1374"/>
      <c r="N100" s="394" t="s">
        <v>2694</v>
      </c>
      <c r="O100" s="1327" t="s">
        <v>4075</v>
      </c>
      <c r="P100" s="1328"/>
      <c r="Q100" s="1328"/>
      <c r="R100" s="1328"/>
      <c r="S100" s="1329"/>
    </row>
    <row r="101" spans="2:19" ht="6.6" customHeight="1">
      <c r="H101" s="1411"/>
      <c r="I101" s="1411"/>
      <c r="J101" s="1411"/>
      <c r="K101" s="799"/>
      <c r="L101" s="1411"/>
      <c r="M101" s="1411"/>
      <c r="N101" s="792"/>
      <c r="O101" s="1410"/>
      <c r="P101" s="1410"/>
      <c r="Q101" s="799"/>
      <c r="R101" s="1410"/>
      <c r="S101" s="1410"/>
    </row>
    <row r="102" spans="2:19" s="386" customFormat="1" ht="13.15" customHeight="1">
      <c r="B102" s="389" t="s">
        <v>2829</v>
      </c>
      <c r="C102" s="389" t="s">
        <v>319</v>
      </c>
      <c r="H102" s="1312" t="s">
        <v>4099</v>
      </c>
      <c r="I102" s="1373"/>
      <c r="J102" s="1373"/>
      <c r="K102" s="1373"/>
      <c r="L102" s="1373"/>
      <c r="M102" s="1373"/>
      <c r="N102" s="1374"/>
      <c r="O102" s="791" t="s">
        <v>2700</v>
      </c>
      <c r="P102" s="791"/>
      <c r="Q102" s="1312" t="s">
        <v>4101</v>
      </c>
      <c r="R102" s="1373"/>
      <c r="S102" s="1374"/>
    </row>
    <row r="103" spans="2:19" s="386" customFormat="1" ht="13.15" customHeight="1">
      <c r="D103" s="431"/>
      <c r="E103" s="392" t="s">
        <v>1423</v>
      </c>
      <c r="F103" s="400"/>
      <c r="H103" s="1312" t="s">
        <v>4100</v>
      </c>
      <c r="I103" s="1373"/>
      <c r="J103" s="1373"/>
      <c r="K103" s="1373"/>
      <c r="L103" s="1373"/>
      <c r="M103" s="1373"/>
      <c r="N103" s="1374"/>
      <c r="O103" s="791" t="s">
        <v>2440</v>
      </c>
      <c r="Q103" s="1312" t="s">
        <v>4102</v>
      </c>
      <c r="R103" s="1373"/>
      <c r="S103" s="1374"/>
    </row>
    <row r="104" spans="2:19" s="386" customFormat="1" ht="13.15" customHeight="1">
      <c r="D104" s="431"/>
      <c r="E104" s="392" t="s">
        <v>797</v>
      </c>
      <c r="H104" s="1312" t="s">
        <v>1625</v>
      </c>
      <c r="I104" s="1373"/>
      <c r="J104" s="1374"/>
      <c r="O104" s="791" t="s">
        <v>2498</v>
      </c>
      <c r="Q104" s="1320">
        <v>4048738738</v>
      </c>
      <c r="R104" s="1325"/>
      <c r="S104" s="1321"/>
    </row>
    <row r="105" spans="2:19" s="386" customFormat="1" ht="13.15" customHeight="1">
      <c r="D105" s="431"/>
      <c r="E105" s="392" t="s">
        <v>2494</v>
      </c>
      <c r="H105" s="1326" t="s">
        <v>1241</v>
      </c>
      <c r="I105" s="417" t="s">
        <v>2953</v>
      </c>
      <c r="J105" s="1323">
        <v>303631031</v>
      </c>
      <c r="K105" s="1374"/>
      <c r="O105" s="791" t="s">
        <v>2689</v>
      </c>
      <c r="Q105" s="1320">
        <v>4047295708</v>
      </c>
      <c r="R105" s="1325"/>
      <c r="S105" s="1321"/>
    </row>
    <row r="106" spans="2:19" ht="13.15" customHeight="1">
      <c r="E106" s="392" t="s">
        <v>2695</v>
      </c>
      <c r="F106" s="386"/>
      <c r="G106" s="386"/>
      <c r="H106" s="1320">
        <v>4048738500</v>
      </c>
      <c r="I106" s="1321"/>
      <c r="J106" s="1405"/>
      <c r="K106" s="799" t="s">
        <v>2497</v>
      </c>
      <c r="L106" s="1359">
        <v>4048738500</v>
      </c>
      <c r="M106" s="1374"/>
      <c r="N106" s="394" t="s">
        <v>2694</v>
      </c>
      <c r="O106" s="1327" t="s">
        <v>4103</v>
      </c>
      <c r="P106" s="1328"/>
      <c r="Q106" s="1328"/>
      <c r="R106" s="1328"/>
      <c r="S106" s="1329"/>
    </row>
    <row r="107" spans="2:19" ht="6" customHeight="1">
      <c r="E107" s="392"/>
      <c r="F107" s="386"/>
      <c r="G107" s="386"/>
      <c r="H107" s="386"/>
      <c r="I107" s="386"/>
      <c r="J107" s="386"/>
      <c r="K107" s="386"/>
      <c r="L107" s="386"/>
      <c r="M107" s="386"/>
      <c r="N107" s="386"/>
      <c r="O107" s="386"/>
      <c r="P107" s="386"/>
      <c r="Q107" s="799"/>
      <c r="R107" s="799"/>
      <c r="S107" s="1413"/>
    </row>
    <row r="108" spans="2:19" ht="0.6" customHeight="1">
      <c r="E108" s="392"/>
      <c r="F108" s="386"/>
      <c r="G108" s="796"/>
      <c r="H108" s="1409"/>
      <c r="I108" s="1409"/>
      <c r="J108" s="1409"/>
      <c r="K108" s="792"/>
      <c r="L108" s="1409"/>
      <c r="M108" s="1409"/>
      <c r="N108" s="792"/>
      <c r="O108" s="1410"/>
      <c r="P108" s="1410"/>
      <c r="Q108" s="799"/>
      <c r="R108" s="1410"/>
      <c r="S108" s="1410"/>
    </row>
    <row r="109" spans="2:19" s="386" customFormat="1" ht="13.15" customHeight="1">
      <c r="B109" s="389" t="s">
        <v>2427</v>
      </c>
      <c r="C109" s="389" t="s">
        <v>320</v>
      </c>
      <c r="H109" s="1312" t="s">
        <v>4178</v>
      </c>
      <c r="I109" s="1373"/>
      <c r="J109" s="1373"/>
      <c r="K109" s="1373"/>
      <c r="L109" s="1373"/>
      <c r="M109" s="1373"/>
      <c r="N109" s="1374"/>
      <c r="O109" s="791" t="s">
        <v>2700</v>
      </c>
      <c r="P109" s="791"/>
      <c r="Q109" s="1312" t="s">
        <v>4180</v>
      </c>
      <c r="R109" s="1373"/>
      <c r="S109" s="1374"/>
    </row>
    <row r="110" spans="2:19" s="386" customFormat="1" ht="13.15" customHeight="1">
      <c r="D110" s="431"/>
      <c r="E110" s="392" t="s">
        <v>1423</v>
      </c>
      <c r="F110" s="400"/>
      <c r="H110" s="1312" t="s">
        <v>4179</v>
      </c>
      <c r="I110" s="1373"/>
      <c r="J110" s="1373"/>
      <c r="K110" s="1373"/>
      <c r="L110" s="1373"/>
      <c r="M110" s="1373"/>
      <c r="N110" s="1374"/>
      <c r="O110" s="791" t="s">
        <v>2440</v>
      </c>
      <c r="Q110" s="1312" t="s">
        <v>3255</v>
      </c>
      <c r="R110" s="1373"/>
      <c r="S110" s="1374"/>
    </row>
    <row r="111" spans="2:19" s="386" customFormat="1" ht="13.15" customHeight="1">
      <c r="D111" s="431"/>
      <c r="E111" s="392" t="s">
        <v>797</v>
      </c>
      <c r="H111" s="1312" t="s">
        <v>1625</v>
      </c>
      <c r="I111" s="1373"/>
      <c r="J111" s="1374"/>
      <c r="O111" s="791" t="s">
        <v>2498</v>
      </c>
      <c r="Q111" s="1320">
        <v>4048479447</v>
      </c>
      <c r="R111" s="1325"/>
      <c r="S111" s="1321"/>
    </row>
    <row r="112" spans="2:19" s="386" customFormat="1" ht="13.15" customHeight="1">
      <c r="D112" s="431"/>
      <c r="E112" s="392" t="s">
        <v>2494</v>
      </c>
      <c r="H112" s="1326" t="s">
        <v>1241</v>
      </c>
      <c r="I112" s="417" t="s">
        <v>2953</v>
      </c>
      <c r="J112" s="1323">
        <v>303264276</v>
      </c>
      <c r="K112" s="1374"/>
      <c r="O112" s="791" t="s">
        <v>2689</v>
      </c>
      <c r="Q112" s="1320">
        <v>4042504050</v>
      </c>
      <c r="R112" s="1325"/>
      <c r="S112" s="1321"/>
    </row>
    <row r="113" spans="1:19" ht="13.15" customHeight="1">
      <c r="E113" s="392" t="s">
        <v>2695</v>
      </c>
      <c r="F113" s="386"/>
      <c r="G113" s="386"/>
      <c r="H113" s="1320">
        <v>4048479447</v>
      </c>
      <c r="I113" s="1321"/>
      <c r="J113" s="1405"/>
      <c r="K113" s="799" t="s">
        <v>2497</v>
      </c>
      <c r="L113" s="1359">
        <v>4048479495</v>
      </c>
      <c r="M113" s="1374"/>
      <c r="N113" s="394" t="s">
        <v>2694</v>
      </c>
      <c r="O113" s="1327" t="s">
        <v>4181</v>
      </c>
      <c r="P113" s="1328"/>
      <c r="Q113" s="1328"/>
      <c r="R113" s="1328"/>
      <c r="S113" s="1329"/>
    </row>
    <row r="114" spans="1:19" ht="6.6" customHeight="1">
      <c r="E114" s="392"/>
      <c r="F114" s="386"/>
      <c r="G114" s="796"/>
      <c r="H114" s="1411"/>
      <c r="I114" s="1411"/>
      <c r="J114" s="1411"/>
      <c r="K114" s="799"/>
      <c r="L114" s="1411"/>
      <c r="M114" s="1411"/>
      <c r="N114" s="792"/>
      <c r="O114" s="1410"/>
      <c r="P114" s="1410"/>
      <c r="Q114" s="799"/>
      <c r="R114" s="1410"/>
      <c r="S114" s="1410"/>
    </row>
    <row r="115" spans="1:19" s="386" customFormat="1" ht="13.15" customHeight="1">
      <c r="B115" s="389" t="s">
        <v>2428</v>
      </c>
      <c r="C115" s="389" t="s">
        <v>321</v>
      </c>
      <c r="H115" s="1312" t="s">
        <v>4104</v>
      </c>
      <c r="I115" s="1373"/>
      <c r="J115" s="1373"/>
      <c r="K115" s="1373"/>
      <c r="L115" s="1373"/>
      <c r="M115" s="1373"/>
      <c r="N115" s="1374"/>
      <c r="O115" s="791" t="s">
        <v>2700</v>
      </c>
      <c r="P115" s="791"/>
      <c r="Q115" s="1312" t="s">
        <v>4174</v>
      </c>
      <c r="R115" s="1373"/>
      <c r="S115" s="1374"/>
    </row>
    <row r="116" spans="1:19" s="386" customFormat="1" ht="13.15" customHeight="1">
      <c r="D116" s="431"/>
      <c r="E116" s="392" t="s">
        <v>1423</v>
      </c>
      <c r="F116" s="400"/>
      <c r="H116" s="1312" t="s">
        <v>4105</v>
      </c>
      <c r="I116" s="1373"/>
      <c r="J116" s="1373"/>
      <c r="K116" s="1373"/>
      <c r="L116" s="1373"/>
      <c r="M116" s="1373"/>
      <c r="N116" s="1374"/>
      <c r="O116" s="791" t="s">
        <v>2440</v>
      </c>
      <c r="Q116" s="1312" t="s">
        <v>4175</v>
      </c>
      <c r="R116" s="1373"/>
      <c r="S116" s="1374"/>
    </row>
    <row r="117" spans="1:19" s="386" customFormat="1" ht="13.15" customHeight="1">
      <c r="D117" s="431"/>
      <c r="E117" s="392" t="s">
        <v>797</v>
      </c>
      <c r="H117" s="1312" t="s">
        <v>2385</v>
      </c>
      <c r="I117" s="1373"/>
      <c r="J117" s="1374"/>
      <c r="O117" s="791" t="s">
        <v>2498</v>
      </c>
      <c r="Q117" s="1320">
        <v>2292423557</v>
      </c>
      <c r="R117" s="1325"/>
      <c r="S117" s="1321"/>
    </row>
    <row r="118" spans="1:19" s="386" customFormat="1" ht="13.15" customHeight="1">
      <c r="D118" s="436"/>
      <c r="E118" s="392" t="s">
        <v>2494</v>
      </c>
      <c r="H118" s="1326" t="s">
        <v>1241</v>
      </c>
      <c r="I118" s="417" t="s">
        <v>2953</v>
      </c>
      <c r="J118" s="1323">
        <v>316021393</v>
      </c>
      <c r="K118" s="1374"/>
      <c r="O118" s="791" t="s">
        <v>2689</v>
      </c>
      <c r="Q118" s="1320">
        <v>2295061807</v>
      </c>
      <c r="R118" s="1325"/>
      <c r="S118" s="1321"/>
    </row>
    <row r="119" spans="1:19" s="386" customFormat="1" ht="13.15" customHeight="1">
      <c r="D119" s="436"/>
      <c r="E119" s="392" t="s">
        <v>2695</v>
      </c>
      <c r="H119" s="1320">
        <v>2292423557</v>
      </c>
      <c r="I119" s="1321"/>
      <c r="J119" s="1405"/>
      <c r="K119" s="799" t="s">
        <v>2497</v>
      </c>
      <c r="L119" s="1359">
        <v>2292424339</v>
      </c>
      <c r="M119" s="1374"/>
      <c r="N119" s="394" t="s">
        <v>2694</v>
      </c>
      <c r="O119" s="1327" t="s">
        <v>4176</v>
      </c>
      <c r="P119" s="1328"/>
      <c r="Q119" s="1328"/>
      <c r="R119" s="1328"/>
      <c r="S119" s="1329"/>
    </row>
    <row r="120" spans="1:19" ht="13.15" customHeight="1"/>
    <row r="121" spans="1:19" s="386" customFormat="1" ht="13.15" customHeight="1">
      <c r="A121" s="389" t="s">
        <v>2487</v>
      </c>
      <c r="B121" s="389" t="s">
        <v>3400</v>
      </c>
      <c r="F121" s="389"/>
      <c r="G121" s="799"/>
      <c r="H121" s="799"/>
      <c r="I121" s="799"/>
      <c r="J121" s="799"/>
      <c r="K121" s="799"/>
      <c r="L121" s="799"/>
      <c r="M121" s="799"/>
      <c r="N121" s="799"/>
      <c r="O121" s="799"/>
      <c r="P121" s="799"/>
      <c r="Q121" s="788"/>
    </row>
    <row r="122" spans="1:19" s="386" customFormat="1" ht="6.6" customHeight="1">
      <c r="A122" s="389"/>
      <c r="B122" s="389"/>
      <c r="F122" s="389"/>
      <c r="G122" s="799"/>
      <c r="H122" s="799"/>
      <c r="I122" s="799"/>
      <c r="J122" s="799"/>
      <c r="K122" s="799"/>
      <c r="L122" s="799"/>
      <c r="M122" s="799"/>
      <c r="N122" s="799"/>
      <c r="O122" s="799"/>
      <c r="P122" s="799"/>
      <c r="Q122" s="788"/>
    </row>
    <row r="123" spans="1:19" s="386" customFormat="1" ht="21.6" customHeight="1">
      <c r="A123" s="857" t="s">
        <v>819</v>
      </c>
      <c r="B123" s="1414"/>
      <c r="C123" s="1414"/>
      <c r="D123" s="1415"/>
      <c r="E123" s="858" t="s">
        <v>3948</v>
      </c>
      <c r="F123" s="861" t="s">
        <v>3097</v>
      </c>
      <c r="G123" s="865" t="s">
        <v>3098</v>
      </c>
      <c r="H123" s="866"/>
      <c r="I123" s="867"/>
      <c r="J123" s="865" t="s">
        <v>3099</v>
      </c>
      <c r="K123" s="874"/>
      <c r="L123" s="865" t="s">
        <v>3100</v>
      </c>
      <c r="M123" s="879"/>
      <c r="N123" s="865" t="s">
        <v>3101</v>
      </c>
      <c r="O123" s="867"/>
      <c r="P123" s="865" t="s">
        <v>3102</v>
      </c>
      <c r="Q123" s="867"/>
      <c r="R123" s="865" t="s">
        <v>3103</v>
      </c>
      <c r="S123" s="884"/>
    </row>
    <row r="124" spans="1:19" s="386" customFormat="1" ht="21.6" customHeight="1">
      <c r="A124" s="1416"/>
      <c r="B124" s="1417"/>
      <c r="C124" s="1417"/>
      <c r="D124" s="1418"/>
      <c r="E124" s="859"/>
      <c r="F124" s="862"/>
      <c r="G124" s="868"/>
      <c r="H124" s="869"/>
      <c r="I124" s="870"/>
      <c r="J124" s="875"/>
      <c r="K124" s="876"/>
      <c r="L124" s="868"/>
      <c r="M124" s="880"/>
      <c r="N124" s="868"/>
      <c r="O124" s="870"/>
      <c r="P124" s="868"/>
      <c r="Q124" s="870"/>
      <c r="R124" s="868"/>
      <c r="S124" s="885"/>
    </row>
    <row r="125" spans="1:19" s="386" customFormat="1" ht="21.6" customHeight="1">
      <c r="A125" s="1416"/>
      <c r="B125" s="1417"/>
      <c r="C125" s="1417"/>
      <c r="D125" s="1418"/>
      <c r="E125" s="859"/>
      <c r="F125" s="863"/>
      <c r="G125" s="868"/>
      <c r="H125" s="869"/>
      <c r="I125" s="870"/>
      <c r="J125" s="875"/>
      <c r="K125" s="876"/>
      <c r="L125" s="881"/>
      <c r="M125" s="880"/>
      <c r="N125" s="868"/>
      <c r="O125" s="870"/>
      <c r="P125" s="868"/>
      <c r="Q125" s="870"/>
      <c r="R125" s="886"/>
      <c r="S125" s="885"/>
    </row>
    <row r="126" spans="1:19" s="386" customFormat="1" ht="21.6" customHeight="1">
      <c r="A126" s="1416"/>
      <c r="B126" s="1417"/>
      <c r="C126" s="1417"/>
      <c r="D126" s="1418"/>
      <c r="E126" s="859"/>
      <c r="F126" s="863"/>
      <c r="G126" s="868"/>
      <c r="H126" s="869"/>
      <c r="I126" s="870"/>
      <c r="J126" s="875"/>
      <c r="K126" s="876"/>
      <c r="L126" s="881"/>
      <c r="M126" s="880"/>
      <c r="N126" s="868"/>
      <c r="O126" s="870"/>
      <c r="P126" s="868"/>
      <c r="Q126" s="870"/>
      <c r="R126" s="886"/>
      <c r="S126" s="885"/>
    </row>
    <row r="127" spans="1:19" s="386" customFormat="1" ht="21.6" customHeight="1">
      <c r="A127" s="1419"/>
      <c r="B127" s="1420"/>
      <c r="C127" s="1420"/>
      <c r="D127" s="1421"/>
      <c r="E127" s="860"/>
      <c r="F127" s="864"/>
      <c r="G127" s="871"/>
      <c r="H127" s="872"/>
      <c r="I127" s="873"/>
      <c r="J127" s="877"/>
      <c r="K127" s="878"/>
      <c r="L127" s="882"/>
      <c r="M127" s="883"/>
      <c r="N127" s="871"/>
      <c r="O127" s="873"/>
      <c r="P127" s="871"/>
      <c r="Q127" s="873"/>
      <c r="R127" s="887"/>
      <c r="S127" s="888"/>
    </row>
    <row r="128" spans="1:19" s="386" customFormat="1" ht="15" customHeight="1">
      <c r="A128" s="797" t="s">
        <v>3096</v>
      </c>
      <c r="B128" s="798"/>
      <c r="C128" s="798"/>
      <c r="D128" s="804"/>
      <c r="E128" s="1422" t="s">
        <v>4063</v>
      </c>
      <c r="F128" s="1422" t="s">
        <v>4063</v>
      </c>
      <c r="G128" s="1423" t="s">
        <v>4063</v>
      </c>
      <c r="H128" s="1424"/>
      <c r="I128" s="1425"/>
      <c r="J128" s="1423" t="s">
        <v>4068</v>
      </c>
      <c r="K128" s="1425"/>
      <c r="L128" s="1423" t="s">
        <v>4063</v>
      </c>
      <c r="M128" s="1425"/>
      <c r="N128" s="1423" t="s">
        <v>4063</v>
      </c>
      <c r="O128" s="1425"/>
      <c r="P128" s="1426" t="s">
        <v>4106</v>
      </c>
      <c r="Q128" s="1427"/>
      <c r="R128" s="1428">
        <v>1E-4</v>
      </c>
      <c r="S128" s="1429"/>
    </row>
    <row r="129" spans="1:19" s="386" customFormat="1" ht="15" customHeight="1">
      <c r="A129" s="795" t="s">
        <v>3086</v>
      </c>
      <c r="B129" s="796"/>
      <c r="C129" s="796"/>
      <c r="D129" s="802"/>
      <c r="E129" s="1430"/>
      <c r="F129" s="1430"/>
      <c r="G129" s="1431"/>
      <c r="H129" s="1432"/>
      <c r="I129" s="1433"/>
      <c r="J129" s="1431"/>
      <c r="K129" s="1433"/>
      <c r="L129" s="1431"/>
      <c r="M129" s="1433"/>
      <c r="N129" s="1431"/>
      <c r="O129" s="1433"/>
      <c r="P129" s="1434"/>
      <c r="Q129" s="1435"/>
      <c r="R129" s="1436"/>
      <c r="S129" s="1437"/>
    </row>
    <row r="130" spans="1:19" s="386" customFormat="1" ht="15" customHeight="1">
      <c r="A130" s="795" t="s">
        <v>3087</v>
      </c>
      <c r="B130" s="796"/>
      <c r="C130" s="796"/>
      <c r="D130" s="802"/>
      <c r="E130" s="1430"/>
      <c r="F130" s="1430"/>
      <c r="G130" s="1431"/>
      <c r="H130" s="1432"/>
      <c r="I130" s="1433"/>
      <c r="J130" s="1431"/>
      <c r="K130" s="1433"/>
      <c r="L130" s="1431"/>
      <c r="M130" s="1433"/>
      <c r="N130" s="1431"/>
      <c r="O130" s="1433"/>
      <c r="P130" s="1434"/>
      <c r="Q130" s="1435"/>
      <c r="R130" s="1436"/>
      <c r="S130" s="1437"/>
    </row>
    <row r="131" spans="1:19" s="386" customFormat="1" ht="15" customHeight="1">
      <c r="A131" s="795" t="s">
        <v>3088</v>
      </c>
      <c r="B131" s="796"/>
      <c r="C131" s="796"/>
      <c r="D131" s="802"/>
      <c r="E131" s="1430" t="s">
        <v>4063</v>
      </c>
      <c r="F131" s="1430" t="s">
        <v>4063</v>
      </c>
      <c r="G131" s="1431" t="s">
        <v>4063</v>
      </c>
      <c r="H131" s="1432"/>
      <c r="I131" s="1433"/>
      <c r="J131" s="1431" t="s">
        <v>4063</v>
      </c>
      <c r="K131" s="1433"/>
      <c r="L131" s="1431" t="s">
        <v>4063</v>
      </c>
      <c r="M131" s="1433"/>
      <c r="N131" s="1431" t="s">
        <v>4063</v>
      </c>
      <c r="O131" s="1433"/>
      <c r="P131" s="1434" t="s">
        <v>4106</v>
      </c>
      <c r="Q131" s="1435"/>
      <c r="R131" s="1436">
        <v>0.999</v>
      </c>
      <c r="S131" s="1437"/>
    </row>
    <row r="132" spans="1:19" s="386" customFormat="1" ht="15" customHeight="1">
      <c r="A132" s="795" t="s">
        <v>3089</v>
      </c>
      <c r="B132" s="796"/>
      <c r="C132" s="796"/>
      <c r="D132" s="802"/>
      <c r="E132" s="1430" t="s">
        <v>4063</v>
      </c>
      <c r="F132" s="1430" t="s">
        <v>4063</v>
      </c>
      <c r="G132" s="1431" t="s">
        <v>4063</v>
      </c>
      <c r="H132" s="1432"/>
      <c r="I132" s="1433"/>
      <c r="J132" s="1431" t="s">
        <v>4068</v>
      </c>
      <c r="K132" s="1433"/>
      <c r="L132" s="1431" t="s">
        <v>4063</v>
      </c>
      <c r="M132" s="1433"/>
      <c r="N132" s="1431" t="s">
        <v>4063</v>
      </c>
      <c r="O132" s="1433"/>
      <c r="P132" s="1434" t="s">
        <v>4106</v>
      </c>
      <c r="Q132" s="1435"/>
      <c r="R132" s="1436">
        <v>8.9999999999999998E-4</v>
      </c>
      <c r="S132" s="1437"/>
    </row>
    <row r="133" spans="1:19" s="386" customFormat="1" ht="15" customHeight="1">
      <c r="A133" s="795" t="s">
        <v>3090</v>
      </c>
      <c r="B133" s="796"/>
      <c r="C133" s="796"/>
      <c r="D133" s="802"/>
      <c r="E133" s="1430"/>
      <c r="F133" s="1430"/>
      <c r="G133" s="1431"/>
      <c r="H133" s="1432"/>
      <c r="I133" s="1433"/>
      <c r="J133" s="1431"/>
      <c r="K133" s="1433"/>
      <c r="L133" s="1431"/>
      <c r="M133" s="1433"/>
      <c r="N133" s="1431"/>
      <c r="O133" s="1433"/>
      <c r="P133" s="1434"/>
      <c r="Q133" s="1435"/>
      <c r="R133" s="1436"/>
      <c r="S133" s="1437"/>
    </row>
    <row r="134" spans="1:19" s="386" customFormat="1" ht="15" customHeight="1">
      <c r="A134" s="795" t="s">
        <v>837</v>
      </c>
      <c r="B134" s="796"/>
      <c r="C134" s="796"/>
      <c r="D134" s="802"/>
      <c r="E134" s="1430" t="s">
        <v>4063</v>
      </c>
      <c r="F134" s="1430" t="s">
        <v>4063</v>
      </c>
      <c r="G134" s="1431" t="s">
        <v>4063</v>
      </c>
      <c r="H134" s="1432"/>
      <c r="I134" s="1433"/>
      <c r="J134" s="1431" t="s">
        <v>4068</v>
      </c>
      <c r="K134" s="1433"/>
      <c r="L134" s="1431" t="s">
        <v>4063</v>
      </c>
      <c r="M134" s="1433"/>
      <c r="N134" s="1431" t="s">
        <v>4063</v>
      </c>
      <c r="O134" s="1433"/>
      <c r="P134" s="1434" t="s">
        <v>4106</v>
      </c>
      <c r="Q134" s="1435"/>
      <c r="R134" s="1436">
        <v>0</v>
      </c>
      <c r="S134" s="1437"/>
    </row>
    <row r="135" spans="1:19" s="386" customFormat="1" ht="15" customHeight="1">
      <c r="A135" s="795" t="s">
        <v>3091</v>
      </c>
      <c r="B135" s="796"/>
      <c r="C135" s="796"/>
      <c r="D135" s="802"/>
      <c r="E135" s="1430"/>
      <c r="F135" s="1430"/>
      <c r="G135" s="1431"/>
      <c r="H135" s="1432"/>
      <c r="I135" s="1433"/>
      <c r="J135" s="1431"/>
      <c r="K135" s="1433"/>
      <c r="L135" s="1431"/>
      <c r="M135" s="1433"/>
      <c r="N135" s="1431"/>
      <c r="O135" s="1433"/>
      <c r="P135" s="1434"/>
      <c r="Q135" s="1435"/>
      <c r="R135" s="1436"/>
      <c r="S135" s="1437"/>
    </row>
    <row r="136" spans="1:19" s="386" customFormat="1" ht="15" customHeight="1">
      <c r="A136" s="795" t="s">
        <v>3092</v>
      </c>
      <c r="B136" s="796"/>
      <c r="C136" s="796"/>
      <c r="D136" s="802"/>
      <c r="E136" s="1430"/>
      <c r="F136" s="1430"/>
      <c r="G136" s="1431"/>
      <c r="H136" s="1432"/>
      <c r="I136" s="1433"/>
      <c r="J136" s="1431"/>
      <c r="K136" s="1433"/>
      <c r="L136" s="1431"/>
      <c r="M136" s="1433"/>
      <c r="N136" s="1431"/>
      <c r="O136" s="1433"/>
      <c r="P136" s="1434"/>
      <c r="Q136" s="1435"/>
      <c r="R136" s="1436"/>
      <c r="S136" s="1437"/>
    </row>
    <row r="137" spans="1:19" s="386" customFormat="1" ht="15" customHeight="1">
      <c r="A137" s="795" t="s">
        <v>3093</v>
      </c>
      <c r="B137" s="796"/>
      <c r="C137" s="796"/>
      <c r="D137" s="802"/>
      <c r="E137" s="1430"/>
      <c r="F137" s="1430"/>
      <c r="G137" s="1431"/>
      <c r="H137" s="1432"/>
      <c r="I137" s="1433"/>
      <c r="J137" s="1431"/>
      <c r="K137" s="1433"/>
      <c r="L137" s="1431"/>
      <c r="M137" s="1433"/>
      <c r="N137" s="1431"/>
      <c r="O137" s="1433"/>
      <c r="P137" s="1434"/>
      <c r="Q137" s="1435"/>
      <c r="R137" s="1436"/>
      <c r="S137" s="1437"/>
    </row>
    <row r="138" spans="1:19" s="386" customFormat="1" ht="15" customHeight="1">
      <c r="A138" s="795" t="s">
        <v>3094</v>
      </c>
      <c r="B138" s="796"/>
      <c r="C138" s="796"/>
      <c r="D138" s="802"/>
      <c r="E138" s="1430"/>
      <c r="F138" s="1430"/>
      <c r="G138" s="1431"/>
      <c r="H138" s="1432"/>
      <c r="I138" s="1433"/>
      <c r="J138" s="1431"/>
      <c r="K138" s="1433"/>
      <c r="L138" s="1431"/>
      <c r="M138" s="1433"/>
      <c r="N138" s="1431"/>
      <c r="O138" s="1433"/>
      <c r="P138" s="1434"/>
      <c r="Q138" s="1435"/>
      <c r="R138" s="1436"/>
      <c r="S138" s="1437"/>
    </row>
    <row r="139" spans="1:19" s="386" customFormat="1" ht="15" customHeight="1">
      <c r="A139" s="795" t="s">
        <v>1985</v>
      </c>
      <c r="B139" s="796"/>
      <c r="C139" s="796"/>
      <c r="D139" s="802"/>
      <c r="E139" s="1430" t="s">
        <v>4063</v>
      </c>
      <c r="F139" s="1430" t="s">
        <v>4063</v>
      </c>
      <c r="G139" s="1431" t="s">
        <v>4063</v>
      </c>
      <c r="H139" s="1432"/>
      <c r="I139" s="1433"/>
      <c r="J139" s="1431" t="s">
        <v>4068</v>
      </c>
      <c r="K139" s="1433"/>
      <c r="L139" s="1431" t="s">
        <v>4063</v>
      </c>
      <c r="M139" s="1433"/>
      <c r="N139" s="1431" t="s">
        <v>4063</v>
      </c>
      <c r="O139" s="1433"/>
      <c r="P139" s="1434" t="s">
        <v>4106</v>
      </c>
      <c r="Q139" s="1435"/>
      <c r="R139" s="1436">
        <v>0</v>
      </c>
      <c r="S139" s="1437"/>
    </row>
    <row r="140" spans="1:19" s="386" customFormat="1" ht="15" customHeight="1">
      <c r="A140" s="800" t="s">
        <v>3095</v>
      </c>
      <c r="B140" s="801"/>
      <c r="C140" s="801"/>
      <c r="D140" s="437"/>
      <c r="E140" s="1438" t="s">
        <v>4063</v>
      </c>
      <c r="F140" s="1438" t="s">
        <v>4063</v>
      </c>
      <c r="G140" s="1439" t="s">
        <v>4063</v>
      </c>
      <c r="H140" s="1440"/>
      <c r="I140" s="1441"/>
      <c r="J140" s="1439" t="s">
        <v>4068</v>
      </c>
      <c r="K140" s="1441"/>
      <c r="L140" s="1439" t="s">
        <v>4063</v>
      </c>
      <c r="M140" s="1441"/>
      <c r="N140" s="1439" t="s">
        <v>4063</v>
      </c>
      <c r="O140" s="1441"/>
      <c r="P140" s="1442" t="s">
        <v>4106</v>
      </c>
      <c r="Q140" s="1443"/>
      <c r="R140" s="1444">
        <v>0</v>
      </c>
      <c r="S140" s="1445"/>
    </row>
    <row r="141" spans="1:19" s="796" customFormat="1" ht="13.9" customHeight="1">
      <c r="G141" s="398"/>
      <c r="H141" s="398"/>
      <c r="I141" s="398"/>
      <c r="J141" s="799"/>
      <c r="K141" s="799"/>
      <c r="L141" s="799"/>
      <c r="M141" s="799"/>
      <c r="P141" s="396"/>
      <c r="Q141" s="413" t="s">
        <v>705</v>
      </c>
      <c r="R141" s="889">
        <f>SUM(R128:S140)</f>
        <v>1</v>
      </c>
      <c r="S141" s="890"/>
    </row>
    <row r="142" spans="1:19" s="796" customFormat="1" ht="12" customHeight="1">
      <c r="G142" s="398"/>
      <c r="H142" s="398"/>
      <c r="I142" s="398"/>
      <c r="J142" s="799"/>
      <c r="K142" s="799"/>
      <c r="L142" s="799"/>
      <c r="M142" s="799"/>
      <c r="P142" s="396"/>
      <c r="R142" s="387"/>
      <c r="S142" s="438"/>
    </row>
    <row r="143" spans="1:19" ht="12" customHeight="1">
      <c r="A143" s="415" t="s">
        <v>2489</v>
      </c>
      <c r="B143" s="430"/>
      <c r="C143" s="415" t="s">
        <v>743</v>
      </c>
      <c r="N143" s="415" t="s">
        <v>696</v>
      </c>
      <c r="O143" s="415" t="s">
        <v>83</v>
      </c>
    </row>
    <row r="144" spans="1:19" ht="3.6" customHeight="1">
      <c r="B144" s="430"/>
    </row>
    <row r="145" spans="1:24" ht="111.75" customHeight="1">
      <c r="A145" s="1393" t="s">
        <v>4182</v>
      </c>
      <c r="B145" s="1394"/>
      <c r="C145" s="1394"/>
      <c r="D145" s="1394"/>
      <c r="E145" s="1394"/>
      <c r="F145" s="1394"/>
      <c r="G145" s="1394"/>
      <c r="H145" s="1394"/>
      <c r="I145" s="1394"/>
      <c r="J145" s="1394"/>
      <c r="K145" s="1394"/>
      <c r="L145" s="1394"/>
      <c r="M145" s="1395"/>
      <c r="N145" s="1396"/>
      <c r="O145" s="1397"/>
      <c r="P145" s="1397"/>
      <c r="Q145" s="1397"/>
      <c r="R145" s="1397"/>
      <c r="S145" s="1398"/>
      <c r="T145" s="826" t="s">
        <v>3594</v>
      </c>
      <c r="U145" s="826"/>
      <c r="V145" s="826"/>
      <c r="W145" s="826"/>
      <c r="X145" s="826"/>
    </row>
    <row r="146" spans="1:24" s="386" customFormat="1" ht="12" customHeight="1">
      <c r="A146" s="393"/>
      <c r="B146" s="406"/>
      <c r="C146" s="406"/>
      <c r="D146" s="406"/>
      <c r="E146" s="406"/>
      <c r="F146" s="406"/>
      <c r="G146" s="406"/>
      <c r="H146" s="406"/>
      <c r="I146" s="406"/>
      <c r="J146" s="406"/>
      <c r="K146" s="406"/>
      <c r="L146" s="406"/>
      <c r="M146" s="406"/>
      <c r="N146" s="406"/>
      <c r="O146" s="406"/>
      <c r="T146" s="826"/>
      <c r="U146" s="826"/>
      <c r="V146" s="826"/>
      <c r="W146" s="826"/>
      <c r="X146" s="826"/>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1446" t="s">
        <v>2494</v>
      </c>
    </row>
    <row r="151" spans="1:24" s="386" customFormat="1" ht="12" customHeight="1">
      <c r="A151" s="431"/>
      <c r="B151" s="406"/>
      <c r="C151" s="406"/>
      <c r="D151" s="406"/>
      <c r="E151" s="406"/>
      <c r="F151" s="406"/>
      <c r="G151" s="406"/>
      <c r="H151" s="406"/>
      <c r="I151" s="406"/>
      <c r="J151" s="406"/>
      <c r="K151" s="406"/>
      <c r="L151" s="406"/>
      <c r="M151" s="406"/>
      <c r="N151" s="406"/>
      <c r="O151" s="406"/>
      <c r="P151" s="1447" t="s">
        <v>1231</v>
      </c>
    </row>
    <row r="152" spans="1:24" s="386" customFormat="1" ht="12" customHeight="1">
      <c r="A152" s="431"/>
      <c r="B152" s="406"/>
      <c r="C152" s="406"/>
      <c r="D152" s="406"/>
      <c r="E152" s="406"/>
      <c r="F152" s="406"/>
      <c r="G152" s="406"/>
      <c r="H152" s="406"/>
      <c r="I152" s="406"/>
      <c r="J152" s="406"/>
      <c r="K152" s="406"/>
      <c r="L152" s="406"/>
      <c r="M152" s="406"/>
      <c r="N152" s="406"/>
      <c r="O152" s="406"/>
      <c r="P152" s="1447" t="s">
        <v>1232</v>
      </c>
    </row>
    <row r="153" spans="1:24" s="386" customFormat="1" ht="12" customHeight="1">
      <c r="A153" s="431"/>
      <c r="B153" s="406"/>
      <c r="C153" s="406"/>
      <c r="D153" s="406"/>
      <c r="E153" s="406"/>
      <c r="F153" s="406"/>
      <c r="G153" s="406"/>
      <c r="H153" s="406"/>
      <c r="I153" s="406"/>
      <c r="J153" s="406"/>
      <c r="K153" s="406"/>
      <c r="L153" s="406"/>
      <c r="M153" s="406"/>
      <c r="N153" s="406"/>
      <c r="O153" s="406"/>
      <c r="P153" s="1447" t="s">
        <v>1233</v>
      </c>
    </row>
    <row r="154" spans="1:24" s="386" customFormat="1" ht="12" customHeight="1">
      <c r="A154" s="687"/>
      <c r="B154" s="406"/>
      <c r="C154" s="406"/>
      <c r="D154" s="406"/>
      <c r="E154" s="406"/>
      <c r="F154" s="406"/>
      <c r="G154" s="406"/>
      <c r="H154" s="406"/>
      <c r="I154" s="406"/>
      <c r="J154" s="406"/>
      <c r="K154" s="406"/>
      <c r="L154" s="406"/>
      <c r="M154" s="406"/>
      <c r="N154" s="406"/>
      <c r="O154" s="406"/>
      <c r="P154" s="1447" t="s">
        <v>1234</v>
      </c>
    </row>
    <row r="155" spans="1:24" s="386" customFormat="1" ht="12" customHeight="1">
      <c r="B155" s="406"/>
      <c r="C155" s="406"/>
      <c r="D155" s="406"/>
      <c r="E155" s="406"/>
      <c r="F155" s="406"/>
      <c r="G155" s="406"/>
      <c r="H155" s="406"/>
      <c r="I155" s="406"/>
      <c r="J155" s="406"/>
      <c r="K155" s="406"/>
      <c r="L155" s="406"/>
      <c r="M155" s="406"/>
      <c r="N155" s="406"/>
      <c r="O155" s="406"/>
      <c r="P155" s="1447" t="s">
        <v>1235</v>
      </c>
    </row>
    <row r="156" spans="1:24" s="386" customFormat="1" ht="12" customHeight="1">
      <c r="B156" s="406"/>
      <c r="C156" s="406"/>
      <c r="D156" s="406"/>
      <c r="E156" s="406"/>
      <c r="F156" s="406"/>
      <c r="G156" s="406"/>
      <c r="H156" s="406"/>
      <c r="I156" s="406"/>
      <c r="J156" s="406"/>
      <c r="K156" s="406"/>
      <c r="L156" s="406"/>
      <c r="M156" s="406"/>
      <c r="N156" s="406"/>
      <c r="O156" s="406"/>
      <c r="P156" s="1447" t="s">
        <v>1236</v>
      </c>
    </row>
    <row r="157" spans="1:24" s="386" customFormat="1" ht="12" customHeight="1">
      <c r="B157" s="406"/>
      <c r="C157" s="406"/>
      <c r="D157" s="406"/>
      <c r="E157" s="406"/>
      <c r="F157" s="406"/>
      <c r="G157" s="406"/>
      <c r="H157" s="406"/>
      <c r="I157" s="406"/>
      <c r="J157" s="406"/>
      <c r="K157" s="406"/>
      <c r="L157" s="406"/>
      <c r="M157" s="406"/>
      <c r="N157" s="406"/>
      <c r="O157" s="406"/>
      <c r="P157" s="1447" t="s">
        <v>1237</v>
      </c>
    </row>
    <row r="158" spans="1:24" s="386" customFormat="1" ht="12" customHeight="1">
      <c r="B158" s="406"/>
      <c r="C158" s="406"/>
      <c r="D158" s="406"/>
      <c r="E158" s="406"/>
      <c r="F158" s="406"/>
      <c r="G158" s="406"/>
      <c r="H158" s="406"/>
      <c r="I158" s="406"/>
      <c r="J158" s="406"/>
      <c r="K158" s="406"/>
      <c r="L158" s="406"/>
      <c r="M158" s="406"/>
      <c r="N158" s="406"/>
      <c r="O158" s="406"/>
      <c r="P158" s="1447" t="s">
        <v>1238</v>
      </c>
    </row>
    <row r="159" spans="1:24" ht="12" customHeight="1">
      <c r="P159" s="1447" t="s">
        <v>1239</v>
      </c>
    </row>
    <row r="160" spans="1:24" ht="12" customHeight="1">
      <c r="A160" s="415"/>
      <c r="P160" s="1447" t="s">
        <v>1240</v>
      </c>
    </row>
    <row r="161" spans="16:16" ht="12" customHeight="1">
      <c r="P161" s="1447" t="s">
        <v>1241</v>
      </c>
    </row>
    <row r="162" spans="16:16" ht="12" customHeight="1">
      <c r="P162" s="1447" t="s">
        <v>1242</v>
      </c>
    </row>
    <row r="163" spans="16:16" ht="12" customHeight="1">
      <c r="P163" s="1447" t="s">
        <v>1243</v>
      </c>
    </row>
    <row r="164" spans="16:16" ht="12" customHeight="1">
      <c r="P164" s="1447" t="s">
        <v>1244</v>
      </c>
    </row>
    <row r="165" spans="16:16" ht="12" customHeight="1">
      <c r="P165" s="1447" t="s">
        <v>1245</v>
      </c>
    </row>
    <row r="166" spans="16:16" ht="12" customHeight="1">
      <c r="P166" s="1447" t="s">
        <v>1246</v>
      </c>
    </row>
    <row r="167" spans="16:16" ht="12" customHeight="1">
      <c r="P167" s="1447" t="s">
        <v>1247</v>
      </c>
    </row>
    <row r="168" spans="16:16" ht="12" customHeight="1">
      <c r="P168" s="1447" t="s">
        <v>1248</v>
      </c>
    </row>
    <row r="169" spans="16:16" ht="12" customHeight="1">
      <c r="P169" s="1447" t="s">
        <v>1249</v>
      </c>
    </row>
    <row r="170" spans="16:16" ht="12" customHeight="1">
      <c r="P170" s="1447" t="s">
        <v>1250</v>
      </c>
    </row>
    <row r="171" spans="16:16" ht="12" customHeight="1">
      <c r="P171" s="1447" t="s">
        <v>1251</v>
      </c>
    </row>
    <row r="172" spans="16:16" ht="12" customHeight="1">
      <c r="P172" s="1447" t="s">
        <v>1252</v>
      </c>
    </row>
    <row r="173" spans="16:16" ht="12" customHeight="1">
      <c r="P173" s="1447" t="s">
        <v>1253</v>
      </c>
    </row>
    <row r="174" spans="16:16" ht="12" customHeight="1">
      <c r="P174" s="1447" t="s">
        <v>1254</v>
      </c>
    </row>
    <row r="175" spans="16:16" ht="12" customHeight="1">
      <c r="P175" s="1447" t="s">
        <v>1255</v>
      </c>
    </row>
    <row r="176" spans="16:16" ht="12" customHeight="1">
      <c r="P176" s="1447" t="s">
        <v>1775</v>
      </c>
    </row>
    <row r="177" spans="16:16" ht="12" customHeight="1">
      <c r="P177" s="1447" t="s">
        <v>1776</v>
      </c>
    </row>
    <row r="178" spans="16:16" ht="12" customHeight="1">
      <c r="P178" s="1447" t="s">
        <v>1777</v>
      </c>
    </row>
    <row r="179" spans="16:16" ht="12" customHeight="1">
      <c r="P179" s="1447" t="s">
        <v>1778</v>
      </c>
    </row>
    <row r="180" spans="16:16" ht="12" customHeight="1">
      <c r="P180" s="1447" t="s">
        <v>1779</v>
      </c>
    </row>
    <row r="181" spans="16:16" ht="13.5">
      <c r="P181" s="1447" t="s">
        <v>1780</v>
      </c>
    </row>
    <row r="182" spans="16:16" ht="12" customHeight="1">
      <c r="P182" s="1447" t="s">
        <v>1781</v>
      </c>
    </row>
    <row r="183" spans="16:16" ht="12" customHeight="1">
      <c r="P183" s="1447" t="s">
        <v>1782</v>
      </c>
    </row>
    <row r="184" spans="16:16" ht="12" customHeight="1">
      <c r="P184" s="1447" t="s">
        <v>1783</v>
      </c>
    </row>
    <row r="185" spans="16:16" ht="12" customHeight="1">
      <c r="P185" s="1447" t="s">
        <v>1784</v>
      </c>
    </row>
    <row r="186" spans="16:16" ht="12" customHeight="1">
      <c r="P186" s="1447" t="s">
        <v>1785</v>
      </c>
    </row>
    <row r="187" spans="16:16" ht="12" customHeight="1">
      <c r="P187" s="1447" t="s">
        <v>1786</v>
      </c>
    </row>
    <row r="188" spans="16:16" ht="12" customHeight="1">
      <c r="P188" s="1447" t="s">
        <v>1787</v>
      </c>
    </row>
    <row r="189" spans="16:16" ht="12" customHeight="1">
      <c r="P189" s="1447" t="s">
        <v>1788</v>
      </c>
    </row>
    <row r="190" spans="16:16" ht="12" customHeight="1">
      <c r="P190" s="1447" t="s">
        <v>1789</v>
      </c>
    </row>
    <row r="191" spans="16:16" ht="12" customHeight="1">
      <c r="P191" s="1447" t="s">
        <v>1790</v>
      </c>
    </row>
    <row r="192" spans="16:16" ht="12" customHeight="1">
      <c r="P192" s="1447" t="s">
        <v>1791</v>
      </c>
    </row>
    <row r="193" spans="16:16" ht="12" customHeight="1">
      <c r="P193" s="1447" t="s">
        <v>1792</v>
      </c>
    </row>
    <row r="194" spans="16:16" ht="12" customHeight="1">
      <c r="P194" s="1447" t="s">
        <v>1793</v>
      </c>
    </row>
    <row r="195" spans="16:16" ht="12" customHeight="1">
      <c r="P195" s="1447" t="s">
        <v>1794</v>
      </c>
    </row>
    <row r="196" spans="16:16" ht="12" customHeight="1">
      <c r="P196" s="1447" t="s">
        <v>1795</v>
      </c>
    </row>
    <row r="197" spans="16:16" ht="12" customHeight="1">
      <c r="P197" s="1447" t="s">
        <v>1796</v>
      </c>
    </row>
    <row r="198" spans="16:16" ht="12" customHeight="1">
      <c r="P198" s="1447" t="s">
        <v>1797</v>
      </c>
    </row>
    <row r="199" spans="16:16" ht="12" customHeight="1">
      <c r="P199" s="1447" t="s">
        <v>1798</v>
      </c>
    </row>
    <row r="200" spans="16:16" ht="12" customHeight="1">
      <c r="P200" s="1447" t="s">
        <v>1799</v>
      </c>
    </row>
    <row r="201" spans="16:16" ht="12" customHeight="1">
      <c r="P201" s="1447" t="s">
        <v>1800</v>
      </c>
    </row>
  </sheetData>
  <sheetProtection password="BD88" sheet="1" objects="1" scenarios="1" formatColumns="0" formatRows="0"/>
  <mergeCells count="281">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16:N16"/>
    <mergeCell ref="Q16:S16"/>
    <mergeCell ref="H22:N22"/>
    <mergeCell ref="Q22:S22"/>
    <mergeCell ref="H23:N23"/>
    <mergeCell ref="Q23:S23"/>
    <mergeCell ref="J19:K19"/>
    <mergeCell ref="Q19:S19"/>
    <mergeCell ref="H20:I20"/>
    <mergeCell ref="L20:M20"/>
    <mergeCell ref="O20:S20"/>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s>
  <phoneticPr fontId="6"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110" zoomScaleNormal="110" zoomScaleSheetLayoutView="90" workbookViewId="0">
      <selection sqref="A1:XFD1048576"/>
    </sheetView>
  </sheetViews>
  <sheetFormatPr defaultColWidth="9.140625" defaultRowHeight="13.5"/>
  <cols>
    <col min="1" max="1" width="4.28515625" style="439" customWidth="1"/>
    <col min="2" max="17" width="7.7109375" style="439" customWidth="1"/>
    <col min="18" max="18" width="3.28515625" style="439" customWidth="1"/>
    <col min="19" max="19" width="13.5703125" style="439" customWidth="1"/>
    <col min="20" max="20" width="98.7109375" style="439" customWidth="1"/>
    <col min="21" max="16384" width="9.140625" style="439"/>
  </cols>
  <sheetData>
    <row r="1" spans="1:20" s="351" customFormat="1" ht="13.9" customHeight="1">
      <c r="A1" s="854" t="str">
        <f>CONCATENATE("PART THREE - SOURCES OF FUNDS","  -  ",'Part I-Project Information'!$O$4," ",'Part I-Project Information'!$F$23,", ",'Part I-Project Information'!$F$26,", ",'Part I-Project Information'!$J$27," County")</f>
        <v>PART THREE - SOURCES OF FUNDS  -  2013-007 Country Grove Apartments, Monroe, Walton County</v>
      </c>
      <c r="B1" s="855"/>
      <c r="C1" s="855"/>
      <c r="D1" s="855"/>
      <c r="E1" s="855"/>
      <c r="F1" s="855"/>
      <c r="G1" s="855"/>
      <c r="H1" s="855"/>
      <c r="I1" s="855"/>
      <c r="J1" s="855"/>
      <c r="K1" s="855"/>
      <c r="L1" s="855"/>
      <c r="M1" s="855"/>
      <c r="N1" s="855"/>
      <c r="O1" s="855"/>
      <c r="P1" s="855"/>
      <c r="Q1" s="856"/>
      <c r="S1" s="925" t="str">
        <f>$A$1</f>
        <v>PART THREE - SOURCES OF FUNDS  -  2013-007 Country Grove Apartments, Monroe, Walton County</v>
      </c>
      <c r="T1" s="925"/>
    </row>
    <row r="2" spans="1:20" ht="17.45" customHeight="1">
      <c r="A2" s="406"/>
      <c r="B2" s="406"/>
      <c r="C2" s="406"/>
      <c r="D2" s="406"/>
      <c r="E2" s="406"/>
      <c r="F2" s="406"/>
      <c r="G2" s="406"/>
      <c r="H2" s="406"/>
      <c r="I2" s="406"/>
      <c r="J2" s="406"/>
      <c r="K2" s="406"/>
      <c r="L2" s="406"/>
      <c r="M2" s="406"/>
      <c r="N2" s="406"/>
      <c r="O2" s="406"/>
      <c r="P2" s="406"/>
      <c r="Q2" s="406"/>
    </row>
    <row r="3" spans="1:20" s="351" customFormat="1" ht="13.15" customHeight="1">
      <c r="A3" s="389" t="s">
        <v>795</v>
      </c>
      <c r="B3" s="409" t="s">
        <v>3272</v>
      </c>
      <c r="C3" s="386"/>
      <c r="D3" s="796"/>
      <c r="E3" s="796"/>
      <c r="F3" s="796"/>
      <c r="G3" s="796"/>
      <c r="J3" s="796"/>
      <c r="K3" s="796"/>
      <c r="L3" s="796"/>
      <c r="M3" s="796"/>
      <c r="N3" s="796"/>
      <c r="S3" s="440" t="str">
        <f>B3</f>
        <v>GOVERNMENT FUNDING SOURCES  (check all that apply)</v>
      </c>
    </row>
    <row r="4" spans="1:20" s="351" customFormat="1" ht="13.9" customHeight="1">
      <c r="A4" s="415"/>
      <c r="B4" s="687"/>
      <c r="C4" s="409"/>
      <c r="D4" s="796"/>
      <c r="E4" s="796"/>
      <c r="F4" s="796"/>
      <c r="G4" s="796"/>
      <c r="I4" s="386"/>
      <c r="J4" s="386"/>
      <c r="K4" s="386"/>
      <c r="L4" s="386"/>
      <c r="M4" s="386"/>
      <c r="S4" s="915" t="s">
        <v>3547</v>
      </c>
      <c r="T4" s="915"/>
    </row>
    <row r="5" spans="1:20" s="351" customFormat="1" ht="16.899999999999999" customHeight="1">
      <c r="A5" s="687"/>
      <c r="B5" s="1326" t="s">
        <v>4068</v>
      </c>
      <c r="C5" s="791" t="s">
        <v>3174</v>
      </c>
      <c r="D5" s="386"/>
      <c r="E5" s="1326" t="s">
        <v>4063</v>
      </c>
      <c r="F5" s="790" t="s">
        <v>2342</v>
      </c>
      <c r="G5" s="386"/>
      <c r="J5" s="1448" t="s">
        <v>1368</v>
      </c>
      <c r="K5" s="1449"/>
      <c r="M5" s="1326" t="s">
        <v>4063</v>
      </c>
      <c r="N5" s="386" t="s">
        <v>3409</v>
      </c>
      <c r="S5" s="1450"/>
      <c r="T5" s="1451"/>
    </row>
    <row r="6" spans="1:20" s="351" customFormat="1" ht="16.899999999999999" customHeight="1">
      <c r="A6" s="687"/>
      <c r="B6" s="1326" t="s">
        <v>4063</v>
      </c>
      <c r="C6" s="791" t="s">
        <v>2499</v>
      </c>
      <c r="D6" s="386"/>
      <c r="E6" s="1326" t="s">
        <v>4063</v>
      </c>
      <c r="F6" s="386" t="s">
        <v>3407</v>
      </c>
      <c r="H6" s="1326" t="s">
        <v>4063</v>
      </c>
      <c r="I6" s="392" t="s">
        <v>3406</v>
      </c>
      <c r="J6" s="791"/>
      <c r="K6" s="377"/>
      <c r="L6" s="377"/>
      <c r="M6" s="1326" t="s">
        <v>4063</v>
      </c>
      <c r="N6" s="791" t="s">
        <v>715</v>
      </c>
      <c r="Q6" s="775"/>
      <c r="S6" s="1452"/>
      <c r="T6" s="1453"/>
    </row>
    <row r="7" spans="1:20" s="351" customFormat="1" ht="16.899999999999999" customHeight="1">
      <c r="A7" s="386"/>
      <c r="B7" s="1326" t="s">
        <v>4063</v>
      </c>
      <c r="C7" s="791" t="s">
        <v>2500</v>
      </c>
      <c r="E7" s="1326" t="s">
        <v>4063</v>
      </c>
      <c r="F7" s="790" t="s">
        <v>2919</v>
      </c>
      <c r="G7" s="386"/>
      <c r="H7" s="1326" t="s">
        <v>4063</v>
      </c>
      <c r="I7" s="791" t="s">
        <v>1995</v>
      </c>
      <c r="J7" s="377"/>
      <c r="K7" s="1326" t="s">
        <v>4063</v>
      </c>
      <c r="L7" s="791" t="s">
        <v>717</v>
      </c>
      <c r="M7" s="1326" t="s">
        <v>4063</v>
      </c>
      <c r="N7" s="392" t="s">
        <v>3408</v>
      </c>
      <c r="Q7" s="776"/>
      <c r="S7" s="1452"/>
      <c r="T7" s="1453"/>
    </row>
    <row r="8" spans="1:20" s="351" customFormat="1" ht="16.899999999999999" customHeight="1">
      <c r="A8" s="687"/>
      <c r="B8" s="1326" t="s">
        <v>4068</v>
      </c>
      <c r="C8" s="796" t="s">
        <v>3398</v>
      </c>
      <c r="D8" s="386"/>
      <c r="E8" s="1326" t="s">
        <v>4063</v>
      </c>
      <c r="F8" s="411" t="s">
        <v>3399</v>
      </c>
      <c r="H8" s="1326" t="s">
        <v>4063</v>
      </c>
      <c r="I8" s="791" t="s">
        <v>716</v>
      </c>
      <c r="J8" s="377"/>
      <c r="K8" s="392"/>
      <c r="L8" s="424"/>
      <c r="M8" s="1326" t="s">
        <v>4063</v>
      </c>
      <c r="N8" s="1312" t="s">
        <v>2849</v>
      </c>
      <c r="O8" s="1313"/>
      <c r="P8" s="1313"/>
      <c r="Q8" s="1314"/>
      <c r="S8" s="1454"/>
      <c r="T8" s="1455"/>
    </row>
    <row r="9" spans="1:20" s="351" customFormat="1" ht="16.899999999999999" customHeight="1">
      <c r="A9" s="687"/>
      <c r="B9" s="351" t="s">
        <v>3949</v>
      </c>
      <c r="C9" s="386"/>
      <c r="D9" s="386"/>
      <c r="E9" s="386"/>
      <c r="F9" s="386"/>
      <c r="G9" s="386"/>
      <c r="H9" s="386"/>
      <c r="I9" s="386"/>
      <c r="J9" s="386"/>
      <c r="K9" s="386"/>
      <c r="L9" s="386"/>
      <c r="M9" s="411"/>
      <c r="N9" s="386"/>
      <c r="O9" s="386"/>
      <c r="P9" s="386"/>
      <c r="Q9" s="386"/>
    </row>
    <row r="10" spans="1:20" s="351" customFormat="1" ht="17.45" customHeight="1">
      <c r="A10" s="687"/>
      <c r="L10" s="386"/>
      <c r="M10" s="411"/>
      <c r="N10" s="386"/>
      <c r="O10" s="386"/>
      <c r="P10" s="386"/>
      <c r="Q10" s="386"/>
    </row>
    <row r="11" spans="1:20" s="440" customFormat="1" ht="15" customHeight="1">
      <c r="A11" s="389" t="s">
        <v>1044</v>
      </c>
      <c r="B11" s="350" t="s">
        <v>3077</v>
      </c>
      <c r="C11" s="386"/>
      <c r="D11" s="796"/>
      <c r="E11" s="386"/>
      <c r="F11" s="386"/>
      <c r="G11" s="386"/>
      <c r="H11" s="351"/>
      <c r="I11" s="351"/>
      <c r="J11" s="389"/>
      <c r="K11" s="386"/>
      <c r="L11" s="386"/>
      <c r="M11" s="796"/>
      <c r="N11" s="846"/>
      <c r="O11" s="846"/>
      <c r="P11" s="386"/>
      <c r="Q11" s="386"/>
      <c r="S11" s="440" t="str">
        <f>B11</f>
        <v>CONSTRUCTION FINANCING</v>
      </c>
    </row>
    <row r="12" spans="1:20" s="440" customFormat="1" ht="13.9" customHeight="1">
      <c r="A12" s="389"/>
      <c r="B12" s="350"/>
      <c r="C12" s="386"/>
      <c r="K12" s="386"/>
      <c r="L12" s="386"/>
      <c r="M12" s="796"/>
      <c r="N12" s="788"/>
      <c r="O12" s="788"/>
      <c r="P12" s="386"/>
      <c r="Q12" s="386"/>
    </row>
    <row r="13" spans="1:20" s="351" customFormat="1" ht="16.899999999999999" customHeight="1">
      <c r="A13" s="386"/>
      <c r="B13" s="791" t="s">
        <v>2575</v>
      </c>
      <c r="C13" s="386"/>
      <c r="D13" s="386"/>
      <c r="E13" s="386"/>
      <c r="F13" s="386"/>
      <c r="G13" s="386"/>
      <c r="H13" s="903" t="s">
        <v>1730</v>
      </c>
      <c r="I13" s="903"/>
      <c r="J13" s="903"/>
      <c r="K13" s="903"/>
      <c r="L13" s="838" t="s">
        <v>2701</v>
      </c>
      <c r="M13" s="838"/>
      <c r="N13" s="838" t="s">
        <v>1963</v>
      </c>
      <c r="O13" s="838"/>
      <c r="P13" s="838" t="s">
        <v>2232</v>
      </c>
      <c r="Q13" s="838"/>
      <c r="S13" s="915" t="s">
        <v>3547</v>
      </c>
      <c r="T13" s="915"/>
    </row>
    <row r="14" spans="1:20" s="351" customFormat="1" ht="16.899999999999999" customHeight="1">
      <c r="A14" s="386"/>
      <c r="B14" s="898" t="s">
        <v>2050</v>
      </c>
      <c r="C14" s="899"/>
      <c r="D14" s="899"/>
      <c r="E14" s="798"/>
      <c r="F14" s="798"/>
      <c r="G14" s="798"/>
      <c r="H14" s="1349" t="s">
        <v>4066</v>
      </c>
      <c r="I14" s="1350"/>
      <c r="J14" s="1350"/>
      <c r="K14" s="1351"/>
      <c r="L14" s="1456">
        <v>1363553</v>
      </c>
      <c r="M14" s="1457"/>
      <c r="N14" s="1458">
        <v>0.01</v>
      </c>
      <c r="O14" s="1459"/>
      <c r="P14" s="1460" t="s">
        <v>4183</v>
      </c>
      <c r="Q14" s="1461"/>
      <c r="S14" s="1450"/>
      <c r="T14" s="1451"/>
    </row>
    <row r="15" spans="1:20" s="351" customFormat="1" ht="16.899999999999999" customHeight="1">
      <c r="A15" s="386"/>
      <c r="B15" s="896" t="s">
        <v>2051</v>
      </c>
      <c r="C15" s="897"/>
      <c r="D15" s="897"/>
      <c r="E15" s="796"/>
      <c r="F15" s="796"/>
      <c r="G15" s="796"/>
      <c r="H15" s="1312" t="s">
        <v>4164</v>
      </c>
      <c r="I15" s="1313"/>
      <c r="J15" s="1313"/>
      <c r="K15" s="1314"/>
      <c r="L15" s="1456">
        <v>3250000</v>
      </c>
      <c r="M15" s="1457"/>
      <c r="N15" s="1458">
        <v>0.06</v>
      </c>
      <c r="O15" s="1459"/>
      <c r="P15" s="1462">
        <v>12</v>
      </c>
      <c r="Q15" s="1463"/>
      <c r="S15" s="1452"/>
      <c r="T15" s="1453"/>
    </row>
    <row r="16" spans="1:20" s="351" customFormat="1" ht="16.899999999999999" customHeight="1">
      <c r="A16" s="386"/>
      <c r="B16" s="926" t="s">
        <v>2052</v>
      </c>
      <c r="C16" s="927"/>
      <c r="D16" s="927"/>
      <c r="E16" s="801"/>
      <c r="F16" s="801"/>
      <c r="G16" s="801"/>
      <c r="H16" s="1312"/>
      <c r="I16" s="1313"/>
      <c r="J16" s="1313"/>
      <c r="K16" s="1314"/>
      <c r="L16" s="1464"/>
      <c r="M16" s="1465"/>
      <c r="N16" s="1458"/>
      <c r="O16" s="1459"/>
      <c r="P16" s="1462"/>
      <c r="Q16" s="1463"/>
      <c r="S16" s="1452"/>
      <c r="T16" s="1453"/>
    </row>
    <row r="17" spans="1:20" s="351" customFormat="1" ht="16.899999999999999" customHeight="1">
      <c r="A17" s="386"/>
      <c r="B17" s="898" t="s">
        <v>2937</v>
      </c>
      <c r="C17" s="899"/>
      <c r="D17" s="899"/>
      <c r="E17" s="796"/>
      <c r="F17" s="796"/>
      <c r="G17" s="796"/>
      <c r="H17" s="1312"/>
      <c r="I17" s="1313"/>
      <c r="J17" s="1313"/>
      <c r="K17" s="1314"/>
      <c r="L17" s="1464"/>
      <c r="M17" s="1465"/>
      <c r="N17" s="909"/>
      <c r="O17" s="910"/>
      <c r="P17" s="908"/>
      <c r="Q17" s="908"/>
      <c r="S17" s="1452"/>
      <c r="T17" s="1453"/>
    </row>
    <row r="18" spans="1:20" s="351" customFormat="1" ht="16.899999999999999" customHeight="1">
      <c r="A18" s="386"/>
      <c r="B18" s="896" t="s">
        <v>1193</v>
      </c>
      <c r="C18" s="897"/>
      <c r="D18" s="897"/>
      <c r="E18" s="796"/>
      <c r="H18" s="1312"/>
      <c r="I18" s="1313"/>
      <c r="J18" s="1313"/>
      <c r="K18" s="1314"/>
      <c r="L18" s="1464"/>
      <c r="M18" s="1465"/>
      <c r="N18" s="909"/>
      <c r="O18" s="910"/>
      <c r="P18" s="908"/>
      <c r="Q18" s="908"/>
      <c r="S18" s="1452"/>
      <c r="T18" s="1453"/>
    </row>
    <row r="19" spans="1:20" s="351" customFormat="1" ht="16.899999999999999" customHeight="1">
      <c r="A19" s="386"/>
      <c r="B19" s="896" t="s">
        <v>820</v>
      </c>
      <c r="C19" s="897"/>
      <c r="D19" s="897"/>
      <c r="E19" s="796"/>
      <c r="H19" s="1466" t="s">
        <v>4095</v>
      </c>
      <c r="I19" s="1313"/>
      <c r="J19" s="1313"/>
      <c r="K19" s="1314"/>
      <c r="L19" s="1464">
        <f>H37</f>
        <v>54960</v>
      </c>
      <c r="M19" s="1465"/>
      <c r="N19" s="909"/>
      <c r="O19" s="910"/>
      <c r="P19" s="908"/>
      <c r="Q19" s="908"/>
      <c r="S19" s="1452"/>
      <c r="T19" s="1453"/>
    </row>
    <row r="20" spans="1:20" s="351" customFormat="1" ht="16.899999999999999" customHeight="1">
      <c r="A20" s="386"/>
      <c r="B20" s="896" t="s">
        <v>1194</v>
      </c>
      <c r="C20" s="897"/>
      <c r="D20" s="897"/>
      <c r="E20" s="796"/>
      <c r="H20" s="1312" t="s">
        <v>4166</v>
      </c>
      <c r="I20" s="1313"/>
      <c r="J20" s="1313"/>
      <c r="K20" s="1314"/>
      <c r="L20" s="1464">
        <f>H40*0.23</f>
        <v>997649.38</v>
      </c>
      <c r="M20" s="1465"/>
      <c r="N20" s="386"/>
      <c r="O20" s="386"/>
      <c r="P20" s="386"/>
      <c r="Q20" s="386"/>
      <c r="S20" s="1454"/>
      <c r="T20" s="1455"/>
    </row>
    <row r="21" spans="1:20" s="351" customFormat="1" ht="16.899999999999999" customHeight="1">
      <c r="A21" s="386"/>
      <c r="B21" s="896" t="s">
        <v>1195</v>
      </c>
      <c r="C21" s="897"/>
      <c r="D21" s="897"/>
      <c r="E21" s="796"/>
      <c r="H21" s="1312"/>
      <c r="I21" s="1313"/>
      <c r="J21" s="1313"/>
      <c r="K21" s="1314"/>
      <c r="L21" s="1464"/>
      <c r="M21" s="1465"/>
      <c r="N21" s="386"/>
      <c r="O21" s="386"/>
      <c r="P21" s="386"/>
      <c r="Q21" s="386"/>
      <c r="S21" s="1450"/>
      <c r="T21" s="1451"/>
    </row>
    <row r="22" spans="1:20" s="351" customFormat="1" ht="16.899999999999999" customHeight="1">
      <c r="A22" s="386"/>
      <c r="B22" s="795" t="s">
        <v>265</v>
      </c>
      <c r="C22" s="796"/>
      <c r="D22" s="1467"/>
      <c r="E22" s="1467"/>
      <c r="F22" s="1467"/>
      <c r="G22" s="1467"/>
      <c r="H22" s="1312"/>
      <c r="I22" s="1313"/>
      <c r="J22" s="1313"/>
      <c r="K22" s="1314"/>
      <c r="L22" s="1464"/>
      <c r="M22" s="1465"/>
      <c r="N22" s="386"/>
      <c r="O22" s="386"/>
      <c r="P22" s="386"/>
      <c r="Q22" s="386"/>
      <c r="S22" s="1452"/>
      <c r="T22" s="1453"/>
    </row>
    <row r="23" spans="1:20" s="351" customFormat="1" ht="16.899999999999999" customHeight="1">
      <c r="A23" s="386"/>
      <c r="B23" s="795" t="s">
        <v>265</v>
      </c>
      <c r="C23" s="796"/>
      <c r="D23" s="1467"/>
      <c r="E23" s="1467"/>
      <c r="F23" s="1467"/>
      <c r="G23" s="1467"/>
      <c r="H23" s="1312"/>
      <c r="I23" s="1313"/>
      <c r="J23" s="1313"/>
      <c r="K23" s="1314"/>
      <c r="L23" s="1464"/>
      <c r="M23" s="1465"/>
      <c r="N23" s="386"/>
      <c r="O23" s="386"/>
      <c r="P23" s="386"/>
      <c r="Q23" s="386"/>
      <c r="S23" s="1452"/>
      <c r="T23" s="1453"/>
    </row>
    <row r="24" spans="1:20" s="351" customFormat="1" ht="16.899999999999999" customHeight="1">
      <c r="A24" s="386"/>
      <c r="B24" s="800" t="s">
        <v>265</v>
      </c>
      <c r="C24" s="801"/>
      <c r="D24" s="1467"/>
      <c r="E24" s="1467"/>
      <c r="F24" s="1467"/>
      <c r="G24" s="1467"/>
      <c r="H24" s="1312"/>
      <c r="I24" s="1313"/>
      <c r="J24" s="1313"/>
      <c r="K24" s="1314"/>
      <c r="L24" s="1464"/>
      <c r="M24" s="1465"/>
      <c r="N24" s="386"/>
      <c r="O24" s="386"/>
      <c r="P24" s="386"/>
      <c r="Q24" s="386"/>
      <c r="S24" s="1452"/>
      <c r="T24" s="1453"/>
    </row>
    <row r="25" spans="1:20" s="351" customFormat="1" ht="16.899999999999999" customHeight="1">
      <c r="A25" s="386"/>
      <c r="B25" s="350" t="s">
        <v>1731</v>
      </c>
      <c r="C25" s="386"/>
      <c r="D25" s="386"/>
      <c r="E25" s="386"/>
      <c r="F25" s="386"/>
      <c r="G25" s="386"/>
      <c r="H25" s="386"/>
      <c r="I25" s="386"/>
      <c r="L25" s="911">
        <f>SUM(L14:L24)</f>
        <v>5666162.3799999999</v>
      </c>
      <c r="M25" s="912"/>
      <c r="N25" s="406"/>
      <c r="O25" s="406"/>
      <c r="P25" s="406"/>
      <c r="Q25" s="406"/>
      <c r="S25" s="1452"/>
      <c r="T25" s="1453"/>
    </row>
    <row r="26" spans="1:20" s="351" customFormat="1" ht="16.899999999999999" customHeight="1">
      <c r="A26" s="386"/>
      <c r="B26" s="791" t="s">
        <v>1732</v>
      </c>
      <c r="C26" s="386"/>
      <c r="D26" s="386"/>
      <c r="E26" s="386"/>
      <c r="F26" s="386"/>
      <c r="G26" s="386"/>
      <c r="H26" s="386"/>
      <c r="I26" s="386"/>
      <c r="L26" s="1468">
        <f>'Part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f>
        <v>5660058.7300000004</v>
      </c>
      <c r="M26" s="1469"/>
      <c r="N26" s="906"/>
      <c r="O26" s="907"/>
      <c r="P26" s="907"/>
      <c r="Q26" s="907"/>
      <c r="S26" s="1452"/>
      <c r="T26" s="1453"/>
    </row>
    <row r="27" spans="1:20" s="351" customFormat="1" ht="16.899999999999999" customHeight="1">
      <c r="A27" s="386"/>
      <c r="B27" s="392" t="s">
        <v>2873</v>
      </c>
      <c r="C27" s="386"/>
      <c r="D27" s="386"/>
      <c r="E27" s="386"/>
      <c r="F27" s="386"/>
      <c r="G27" s="386"/>
      <c r="H27" s="386"/>
      <c r="I27" s="386"/>
      <c r="L27" s="913">
        <f>L25-L26</f>
        <v>6103.6499999994412</v>
      </c>
      <c r="M27" s="914"/>
      <c r="N27" s="906"/>
      <c r="O27" s="907"/>
      <c r="P27" s="907"/>
      <c r="Q27" s="907"/>
      <c r="S27" s="1454"/>
      <c r="T27" s="1455"/>
    </row>
    <row r="28" spans="1:20" ht="9.6" customHeight="1">
      <c r="A28" s="415"/>
      <c r="B28" s="350"/>
      <c r="C28" s="406"/>
      <c r="D28" s="406"/>
      <c r="E28" s="406"/>
      <c r="F28" s="406"/>
      <c r="G28" s="406"/>
      <c r="H28" s="406"/>
      <c r="I28" s="406"/>
      <c r="J28" s="406"/>
      <c r="K28" s="406"/>
      <c r="L28" s="406"/>
      <c r="M28" s="799"/>
      <c r="N28" s="799"/>
      <c r="O28" s="406"/>
      <c r="P28" s="389"/>
      <c r="Q28" s="389"/>
    </row>
    <row r="29" spans="1:20" ht="9.6" customHeight="1">
      <c r="A29" s="389" t="s">
        <v>1046</v>
      </c>
      <c r="B29" s="350" t="s">
        <v>1192</v>
      </c>
      <c r="C29" s="406"/>
      <c r="D29" s="406"/>
      <c r="E29" s="406"/>
      <c r="F29" s="406"/>
      <c r="G29" s="406"/>
      <c r="H29" s="406"/>
      <c r="I29" s="406"/>
      <c r="J29" s="406"/>
      <c r="K29" s="406"/>
      <c r="L29" s="406"/>
      <c r="M29" s="799"/>
      <c r="N29" s="799"/>
      <c r="O29" s="406"/>
      <c r="P29" s="389"/>
      <c r="Q29" s="389"/>
      <c r="S29" s="440" t="str">
        <f>B29</f>
        <v>PERMANENT FINANCING</v>
      </c>
    </row>
    <row r="30" spans="1:20" s="351" customFormat="1" ht="13.15" customHeight="1">
      <c r="A30" s="386"/>
      <c r="B30" s="386"/>
      <c r="C30" s="386"/>
      <c r="D30" s="386"/>
      <c r="E30" s="386"/>
      <c r="F30" s="799"/>
      <c r="G30" s="799"/>
      <c r="H30" s="908"/>
      <c r="I30" s="908"/>
      <c r="J30" s="474" t="s">
        <v>2813</v>
      </c>
      <c r="K30" s="799" t="s">
        <v>1728</v>
      </c>
      <c r="L30" s="799" t="s">
        <v>1733</v>
      </c>
      <c r="M30" s="850" t="s">
        <v>37</v>
      </c>
      <c r="N30" s="850"/>
      <c r="O30" s="788"/>
      <c r="P30" s="799"/>
      <c r="Q30" s="916" t="s">
        <v>3074</v>
      </c>
      <c r="S30" s="440"/>
    </row>
    <row r="31" spans="1:20" s="351" customFormat="1" ht="13.15" customHeight="1">
      <c r="A31" s="386"/>
      <c r="B31" s="803" t="s">
        <v>2575</v>
      </c>
      <c r="C31" s="801"/>
      <c r="D31" s="801"/>
      <c r="E31" s="897" t="s">
        <v>1730</v>
      </c>
      <c r="F31" s="897"/>
      <c r="G31" s="897"/>
      <c r="H31" s="838" t="s">
        <v>621</v>
      </c>
      <c r="I31" s="838"/>
      <c r="J31" s="792" t="s">
        <v>2504</v>
      </c>
      <c r="K31" s="792" t="s">
        <v>2936</v>
      </c>
      <c r="L31" s="792" t="s">
        <v>2936</v>
      </c>
      <c r="M31" s="1470"/>
      <c r="N31" s="1470"/>
      <c r="O31" s="838" t="s">
        <v>78</v>
      </c>
      <c r="P31" s="838"/>
      <c r="Q31" s="917"/>
      <c r="S31" s="915" t="s">
        <v>3547</v>
      </c>
      <c r="T31" s="915"/>
    </row>
    <row r="32" spans="1:20" s="351" customFormat="1" ht="13.15" customHeight="1">
      <c r="A32" s="386"/>
      <c r="B32" s="898" t="s">
        <v>3413</v>
      </c>
      <c r="C32" s="899"/>
      <c r="D32" s="899"/>
      <c r="E32" s="1312" t="s">
        <v>4066</v>
      </c>
      <c r="F32" s="1471"/>
      <c r="G32" s="1472"/>
      <c r="H32" s="1456">
        <v>1363553</v>
      </c>
      <c r="I32" s="1457"/>
      <c r="J32" s="1473">
        <v>0.01</v>
      </c>
      <c r="K32" s="1474">
        <v>50</v>
      </c>
      <c r="L32" s="1474">
        <v>50</v>
      </c>
      <c r="M32" s="1475">
        <v>37878</v>
      </c>
      <c r="N32" s="1476"/>
      <c r="O32" s="1477" t="s">
        <v>4067</v>
      </c>
      <c r="P32" s="1478"/>
      <c r="Q32" s="1479">
        <v>1.25</v>
      </c>
      <c r="S32" s="1450"/>
      <c r="T32" s="1451"/>
    </row>
    <row r="33" spans="1:20" s="351" customFormat="1" ht="13.15" customHeight="1">
      <c r="A33" s="386"/>
      <c r="B33" s="896" t="s">
        <v>3414</v>
      </c>
      <c r="C33" s="897"/>
      <c r="D33" s="897"/>
      <c r="E33" s="1317"/>
      <c r="F33" s="1480"/>
      <c r="G33" s="1481"/>
      <c r="H33" s="1482"/>
      <c r="I33" s="1472"/>
      <c r="J33" s="1483"/>
      <c r="K33" s="1326"/>
      <c r="L33" s="1326"/>
      <c r="M33" s="1484" t="str">
        <f t="shared" ref="M33:M36" si="0">IF(OR(H33&lt;=0,H33=""),"",IF(O33="Amortizing",-PMT(J33/12,L33*12,H33,0,0)*12,""))</f>
        <v/>
      </c>
      <c r="N33" s="1485"/>
      <c r="O33" s="1308"/>
      <c r="P33" s="1309"/>
      <c r="Q33" s="1479"/>
      <c r="S33" s="1452"/>
      <c r="T33" s="1453"/>
    </row>
    <row r="34" spans="1:20" s="351" customFormat="1" ht="13.15" customHeight="1">
      <c r="A34" s="386"/>
      <c r="B34" s="896" t="s">
        <v>3415</v>
      </c>
      <c r="C34" s="897"/>
      <c r="D34" s="897"/>
      <c r="E34" s="1312"/>
      <c r="F34" s="1471"/>
      <c r="G34" s="1472"/>
      <c r="H34" s="1482"/>
      <c r="I34" s="1472"/>
      <c r="J34" s="1483"/>
      <c r="K34" s="1326"/>
      <c r="L34" s="1326"/>
      <c r="M34" s="1484" t="str">
        <f t="shared" si="0"/>
        <v/>
      </c>
      <c r="N34" s="1485"/>
      <c r="O34" s="1308"/>
      <c r="P34" s="1309"/>
      <c r="Q34" s="1479"/>
      <c r="S34" s="1452"/>
      <c r="T34" s="1453"/>
    </row>
    <row r="35" spans="1:20" s="351" customFormat="1" ht="13.15" customHeight="1">
      <c r="A35" s="386"/>
      <c r="B35" s="795" t="s">
        <v>1045</v>
      </c>
      <c r="C35" s="1349"/>
      <c r="D35" s="1351"/>
      <c r="E35" s="1312"/>
      <c r="F35" s="1471"/>
      <c r="G35" s="1472"/>
      <c r="H35" s="1482"/>
      <c r="I35" s="1472"/>
      <c r="J35" s="1483"/>
      <c r="K35" s="1326"/>
      <c r="L35" s="1326"/>
      <c r="M35" s="1484" t="str">
        <f t="shared" si="0"/>
        <v/>
      </c>
      <c r="N35" s="1485"/>
      <c r="O35" s="1308"/>
      <c r="P35" s="1309"/>
      <c r="Q35" s="1479"/>
      <c r="S35" s="1452"/>
      <c r="T35" s="1453"/>
    </row>
    <row r="36" spans="1:20" s="351" customFormat="1" ht="13.15" customHeight="1">
      <c r="A36" s="386"/>
      <c r="B36" s="795" t="s">
        <v>3771</v>
      </c>
      <c r="C36" s="796"/>
      <c r="D36" s="802"/>
      <c r="E36" s="1312"/>
      <c r="F36" s="1471"/>
      <c r="G36" s="1472"/>
      <c r="H36" s="1482"/>
      <c r="I36" s="1472"/>
      <c r="J36" s="648"/>
      <c r="K36" s="805"/>
      <c r="L36" s="805"/>
      <c r="M36" s="900" t="str">
        <f t="shared" si="0"/>
        <v/>
      </c>
      <c r="N36" s="900"/>
      <c r="O36" s="895"/>
      <c r="P36" s="895"/>
      <c r="Q36" s="649"/>
      <c r="S36" s="1452"/>
      <c r="T36" s="1453"/>
    </row>
    <row r="37" spans="1:20" s="351" customFormat="1" ht="13.15" customHeight="1">
      <c r="A37" s="386"/>
      <c r="B37" s="800" t="s">
        <v>249</v>
      </c>
      <c r="C37" s="801"/>
      <c r="D37" s="475">
        <f>IF(OR(H37="",H37=0,'Part IV-Uses of Funds'!$G$115="",'Part IV-Uses of Funds'!$G$115=0),"",H37/'Part IV-Uses of Funds'!$G$115)</f>
        <v>6.2454545454545464E-2</v>
      </c>
      <c r="E37" s="1312" t="s">
        <v>4095</v>
      </c>
      <c r="F37" s="1471"/>
      <c r="G37" s="1472"/>
      <c r="H37" s="1482">
        <f>3664*15</f>
        <v>54960</v>
      </c>
      <c r="I37" s="1472"/>
      <c r="J37" s="1483"/>
      <c r="K37" s="1326"/>
      <c r="L37" s="1326"/>
      <c r="M37" s="1484">
        <f>H37/15</f>
        <v>3664</v>
      </c>
      <c r="N37" s="1485"/>
      <c r="O37" s="1308"/>
      <c r="P37" s="1309"/>
      <c r="Q37" s="1479"/>
      <c r="S37" s="1452"/>
      <c r="T37" s="1453"/>
    </row>
    <row r="38" spans="1:20" s="351" customFormat="1" ht="13.15" customHeight="1">
      <c r="A38" s="386"/>
      <c r="B38" s="898" t="s">
        <v>2937</v>
      </c>
      <c r="C38" s="899"/>
      <c r="D38" s="901"/>
      <c r="E38" s="1312"/>
      <c r="F38" s="1471"/>
      <c r="G38" s="1472"/>
      <c r="H38" s="1486"/>
      <c r="I38" s="1487"/>
      <c r="K38" s="476"/>
      <c r="L38" s="476"/>
      <c r="M38" s="476"/>
      <c r="N38" s="476"/>
      <c r="O38" s="476"/>
      <c r="P38" s="476"/>
      <c r="Q38" s="476"/>
      <c r="S38" s="1450"/>
      <c r="T38" s="1451"/>
    </row>
    <row r="39" spans="1:20" s="351" customFormat="1" ht="13.15" customHeight="1">
      <c r="A39" s="386"/>
      <c r="B39" s="896" t="s">
        <v>1193</v>
      </c>
      <c r="C39" s="897"/>
      <c r="D39" s="902"/>
      <c r="E39" s="1312"/>
      <c r="F39" s="1471"/>
      <c r="G39" s="1472"/>
      <c r="H39" s="1486"/>
      <c r="I39" s="1487"/>
      <c r="J39" s="920" t="s">
        <v>683</v>
      </c>
      <c r="K39" s="921"/>
      <c r="L39" s="919" t="s">
        <v>684</v>
      </c>
      <c r="M39" s="919"/>
      <c r="O39" s="528" t="s">
        <v>682</v>
      </c>
      <c r="P39" s="477"/>
      <c r="Q39" s="476"/>
      <c r="S39" s="1452"/>
      <c r="T39" s="1453"/>
    </row>
    <row r="40" spans="1:20" s="351" customFormat="1" ht="13.15" customHeight="1">
      <c r="A40" s="386"/>
      <c r="B40" s="896" t="s">
        <v>1194</v>
      </c>
      <c r="C40" s="897"/>
      <c r="D40" s="902"/>
      <c r="E40" s="1312" t="s">
        <v>4166</v>
      </c>
      <c r="F40" s="1313"/>
      <c r="G40" s="1314"/>
      <c r="H40" s="1482">
        <v>4337606</v>
      </c>
      <c r="I40" s="1488"/>
      <c r="J40" s="922">
        <f>'Part IV-Uses of Funds'!$J$172*10*'Part IV-Uses of Funds'!$N$165</f>
        <v>4337605.6168429991</v>
      </c>
      <c r="K40" s="923"/>
      <c r="L40" s="918">
        <f>H40-J40</f>
        <v>0.38315700087696314</v>
      </c>
      <c r="M40" s="918"/>
      <c r="O40" s="529" t="s">
        <v>3357</v>
      </c>
      <c r="P40" s="477"/>
      <c r="Q40" s="476"/>
      <c r="S40" s="1452"/>
      <c r="T40" s="1453"/>
    </row>
    <row r="41" spans="1:20" s="351" customFormat="1" ht="13.15" customHeight="1">
      <c r="A41" s="386"/>
      <c r="B41" s="896" t="s">
        <v>1195</v>
      </c>
      <c r="C41" s="897"/>
      <c r="D41" s="902"/>
      <c r="E41" s="1312" t="s">
        <v>4165</v>
      </c>
      <c r="F41" s="1313"/>
      <c r="G41" s="1314"/>
      <c r="H41" s="1482">
        <v>1326797</v>
      </c>
      <c r="I41" s="1488"/>
      <c r="J41" s="922">
        <f>'Part IV-Uses of Funds'!$J$172*10*'Part IV-Uses of Funds'!$Q$165</f>
        <v>1326797.0122107996</v>
      </c>
      <c r="K41" s="923"/>
      <c r="L41" s="918">
        <f>H41-J41</f>
        <v>-1.2210799613967538E-2</v>
      </c>
      <c r="M41" s="918"/>
      <c r="O41" s="530">
        <f>H40/H50</f>
        <v>0.61240397604425667</v>
      </c>
      <c r="P41" s="477"/>
      <c r="Q41" s="476"/>
      <c r="S41" s="1452"/>
      <c r="T41" s="1453"/>
    </row>
    <row r="42" spans="1:20" s="351" customFormat="1" ht="13.15" customHeight="1">
      <c r="A42" s="386"/>
      <c r="B42" s="896" t="s">
        <v>1849</v>
      </c>
      <c r="C42" s="897"/>
      <c r="D42" s="902"/>
      <c r="E42" s="1312"/>
      <c r="F42" s="1313"/>
      <c r="G42" s="1314"/>
      <c r="H42" s="1482"/>
      <c r="I42" s="1488"/>
      <c r="M42" s="477"/>
      <c r="O42" s="530">
        <f>H41/H50</f>
        <v>0.18732355087197677</v>
      </c>
      <c r="P42" s="477"/>
      <c r="Q42" s="476"/>
      <c r="S42" s="1454"/>
      <c r="T42" s="1455"/>
    </row>
    <row r="43" spans="1:20" s="351" customFormat="1" ht="13.15" customHeight="1">
      <c r="A43" s="386"/>
      <c r="B43" s="795" t="s">
        <v>697</v>
      </c>
      <c r="C43" s="796"/>
      <c r="D43" s="802"/>
      <c r="E43" s="1312"/>
      <c r="F43" s="1313"/>
      <c r="G43" s="1314"/>
      <c r="H43" s="1482"/>
      <c r="I43" s="1488"/>
      <c r="K43" s="386"/>
      <c r="L43" s="386"/>
      <c r="M43" s="477"/>
      <c r="O43" s="531">
        <f>SUM(O41:O42)</f>
        <v>0.79972752691623339</v>
      </c>
      <c r="P43" s="477"/>
      <c r="Q43" s="476"/>
      <c r="S43" s="1452"/>
      <c r="T43" s="1453"/>
    </row>
    <row r="44" spans="1:20" s="351" customFormat="1" ht="13.15" customHeight="1">
      <c r="A44" s="386"/>
      <c r="B44" s="795" t="s">
        <v>2573</v>
      </c>
      <c r="C44" s="796"/>
      <c r="D44" s="802"/>
      <c r="E44" s="1312"/>
      <c r="F44" s="1313"/>
      <c r="G44" s="1314"/>
      <c r="H44" s="1482"/>
      <c r="I44" s="1488"/>
      <c r="J44" s="386"/>
      <c r="M44" s="477"/>
      <c r="N44" s="477"/>
      <c r="O44" s="477"/>
      <c r="P44" s="477"/>
      <c r="Q44" s="476"/>
      <c r="S44" s="1452"/>
      <c r="T44" s="1453"/>
    </row>
    <row r="45" spans="1:20" s="351" customFormat="1" ht="13.15" customHeight="1">
      <c r="A45" s="386"/>
      <c r="B45" s="795" t="s">
        <v>2574</v>
      </c>
      <c r="C45" s="796"/>
      <c r="D45" s="802"/>
      <c r="E45" s="1312"/>
      <c r="F45" s="1313"/>
      <c r="G45" s="1314"/>
      <c r="H45" s="1482"/>
      <c r="I45" s="1488"/>
      <c r="J45" s="386"/>
      <c r="M45" s="477"/>
      <c r="N45" s="477"/>
      <c r="O45" s="477"/>
      <c r="P45" s="477"/>
      <c r="Q45" s="476"/>
      <c r="S45" s="1452"/>
      <c r="T45" s="1453"/>
    </row>
    <row r="46" spans="1:20" s="351" customFormat="1" ht="13.15" customHeight="1">
      <c r="A46" s="386"/>
      <c r="B46" s="795" t="s">
        <v>1045</v>
      </c>
      <c r="C46" s="1312"/>
      <c r="D46" s="1314"/>
      <c r="E46" s="1312"/>
      <c r="F46" s="1313"/>
      <c r="G46" s="1314"/>
      <c r="H46" s="1482"/>
      <c r="I46" s="1488"/>
      <c r="J46" s="386"/>
      <c r="M46" s="477"/>
      <c r="N46" s="477"/>
      <c r="O46" s="477"/>
      <c r="P46" s="477"/>
      <c r="Q46" s="476"/>
      <c r="S46" s="1452"/>
      <c r="T46" s="1453"/>
    </row>
    <row r="47" spans="1:20" s="351" customFormat="1" ht="13.15" customHeight="1">
      <c r="A47" s="386"/>
      <c r="B47" s="795" t="s">
        <v>1045</v>
      </c>
      <c r="C47" s="1312"/>
      <c r="D47" s="1314"/>
      <c r="E47" s="1312"/>
      <c r="F47" s="1313"/>
      <c r="G47" s="1314"/>
      <c r="H47" s="1482"/>
      <c r="I47" s="1488"/>
      <c r="J47" s="386"/>
      <c r="K47" s="386"/>
      <c r="L47" s="478"/>
      <c r="M47" s="477"/>
      <c r="N47" s="477"/>
      <c r="O47" s="477"/>
      <c r="P47" s="477"/>
      <c r="Q47" s="476"/>
      <c r="S47" s="1452"/>
      <c r="T47" s="1453"/>
    </row>
    <row r="48" spans="1:20" s="351" customFormat="1" ht="13.15" customHeight="1">
      <c r="A48" s="386"/>
      <c r="B48" s="800" t="s">
        <v>1045</v>
      </c>
      <c r="C48" s="1312"/>
      <c r="D48" s="1314"/>
      <c r="E48" s="1312"/>
      <c r="F48" s="1313"/>
      <c r="G48" s="1314"/>
      <c r="H48" s="1482"/>
      <c r="I48" s="1488"/>
      <c r="J48" s="386"/>
      <c r="K48" s="386"/>
      <c r="L48" s="478"/>
      <c r="M48" s="477"/>
      <c r="N48" s="477"/>
      <c r="O48" s="477"/>
      <c r="P48" s="477"/>
      <c r="Q48" s="476"/>
      <c r="S48" s="1452"/>
      <c r="T48" s="1453"/>
    </row>
    <row r="49" spans="1:23" s="351" customFormat="1" ht="13.15" customHeight="1">
      <c r="A49" s="386"/>
      <c r="B49" s="791" t="s">
        <v>2938</v>
      </c>
      <c r="C49" s="386"/>
      <c r="D49" s="386"/>
      <c r="E49" s="386"/>
      <c r="F49" s="386"/>
      <c r="G49" s="386"/>
      <c r="H49" s="893">
        <f>SUM(H32:I48)</f>
        <v>7082916</v>
      </c>
      <c r="I49" s="894"/>
      <c r="J49" s="406"/>
      <c r="K49" s="386"/>
      <c r="L49" s="478"/>
      <c r="M49" s="477"/>
      <c r="N49" s="477"/>
      <c r="O49" s="477"/>
      <c r="P49" s="477"/>
      <c r="Q49" s="476"/>
      <c r="S49" s="1452"/>
      <c r="T49" s="1453"/>
    </row>
    <row r="50" spans="1:23" s="351" customFormat="1" ht="13.15" customHeight="1" thickBot="1">
      <c r="A50" s="386"/>
      <c r="B50" s="791" t="s">
        <v>2939</v>
      </c>
      <c r="C50" s="386"/>
      <c r="D50" s="386"/>
      <c r="E50" s="386"/>
      <c r="F50" s="386"/>
      <c r="G50" s="386"/>
      <c r="H50" s="891">
        <f>'Part IV-Uses of Funds'!$G$129</f>
        <v>7082916.1300000008</v>
      </c>
      <c r="I50" s="892"/>
      <c r="J50" s="406"/>
      <c r="K50" s="386"/>
      <c r="L50" s="478"/>
      <c r="M50" s="477"/>
      <c r="N50" s="477"/>
      <c r="O50" s="477"/>
      <c r="P50" s="477"/>
      <c r="Q50" s="476"/>
      <c r="S50" s="1452"/>
      <c r="T50" s="1453"/>
    </row>
    <row r="51" spans="1:23" s="351" customFormat="1" ht="13.15" customHeight="1" thickBot="1">
      <c r="A51" s="386"/>
      <c r="B51" s="392" t="s">
        <v>1981</v>
      </c>
      <c r="C51" s="386"/>
      <c r="D51" s="386"/>
      <c r="E51" s="386"/>
      <c r="F51" s="386"/>
      <c r="G51" s="386"/>
      <c r="H51" s="904">
        <f>H49-H50</f>
        <v>-0.13000000081956387</v>
      </c>
      <c r="I51" s="905"/>
      <c r="J51" s="406"/>
      <c r="K51" s="386"/>
      <c r="L51" s="478"/>
      <c r="M51" s="477"/>
      <c r="N51" s="477"/>
      <c r="O51" s="477"/>
      <c r="P51" s="477"/>
      <c r="Q51" s="476"/>
      <c r="S51" s="1454"/>
      <c r="T51" s="1455"/>
    </row>
    <row r="52" spans="1:23" s="351" customFormat="1" ht="13.15" customHeight="1">
      <c r="A52" s="386" t="s">
        <v>3772</v>
      </c>
      <c r="B52" s="392"/>
      <c r="C52" s="386"/>
      <c r="D52" s="386"/>
      <c r="E52" s="386"/>
      <c r="F52" s="386"/>
      <c r="G52" s="386"/>
      <c r="H52" s="469"/>
      <c r="I52" s="469"/>
      <c r="J52" s="406"/>
      <c r="K52" s="386"/>
      <c r="L52" s="478"/>
      <c r="M52" s="477"/>
      <c r="N52" s="477"/>
      <c r="O52" s="477"/>
      <c r="P52" s="477"/>
      <c r="Q52" s="476"/>
      <c r="S52" s="1489"/>
      <c r="T52" s="1489"/>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2487</v>
      </c>
      <c r="B54" s="389" t="s">
        <v>743</v>
      </c>
      <c r="C54" s="406"/>
      <c r="D54" s="406"/>
      <c r="E54" s="406"/>
      <c r="F54" s="406"/>
      <c r="G54" s="406"/>
      <c r="H54" s="406"/>
      <c r="I54" s="406"/>
      <c r="J54" s="406"/>
      <c r="K54" s="389" t="s">
        <v>2487</v>
      </c>
      <c r="L54" s="389" t="s">
        <v>83</v>
      </c>
      <c r="M54" s="406"/>
      <c r="N54" s="406"/>
      <c r="O54" s="406"/>
      <c r="P54" s="406"/>
      <c r="Q54" s="406"/>
    </row>
    <row r="55" spans="1:23" ht="5.45" customHeight="1">
      <c r="B55" s="442"/>
    </row>
    <row r="56" spans="1:23" ht="109.5" customHeight="1">
      <c r="A56" s="1393" t="s">
        <v>4189</v>
      </c>
      <c r="B56" s="1490"/>
      <c r="C56" s="1490"/>
      <c r="D56" s="1490"/>
      <c r="E56" s="1490"/>
      <c r="F56" s="1490"/>
      <c r="G56" s="1490"/>
      <c r="H56" s="1490"/>
      <c r="I56" s="1490"/>
      <c r="J56" s="1491"/>
      <c r="K56" s="1396"/>
      <c r="L56" s="1490"/>
      <c r="M56" s="1490"/>
      <c r="N56" s="1490"/>
      <c r="O56" s="1490"/>
      <c r="P56" s="1490"/>
      <c r="Q56" s="1491"/>
      <c r="S56" s="924" t="s">
        <v>3594</v>
      </c>
      <c r="T56" s="924"/>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9"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928" t="str">
        <f>CONCATENATE("PART III B: USD 538 LOAN","  -  ",'Part I-Project Information'!$O$4," ",'Part I-Project Information'!$F$23,", ",'Part I-Project Information'!$F$26,", ",'Part I-Project Information'!$J$27," County")</f>
        <v>PART III B: USD 538 LOAN  -  2013-007 Country Grove Apartments, Monroe, Walton County</v>
      </c>
      <c r="B1" s="929"/>
      <c r="C1" s="929"/>
      <c r="D1" s="929"/>
      <c r="E1" s="929"/>
      <c r="F1" s="930"/>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937" t="s">
        <v>236</v>
      </c>
      <c r="B3" s="937"/>
      <c r="C3" s="937"/>
      <c r="D3" s="937"/>
      <c r="E3" s="937"/>
      <c r="F3" s="937"/>
      <c r="G3" s="247"/>
      <c r="H3" s="247"/>
    </row>
    <row r="4" spans="1:17" s="235" customFormat="1" ht="6" customHeight="1"/>
    <row r="5" spans="1:17">
      <c r="A5" s="40" t="s">
        <v>2982</v>
      </c>
      <c r="B5" s="40"/>
      <c r="C5" s="333"/>
      <c r="D5" s="334">
        <f>IF(C5&gt;1500000,1500000,0)</f>
        <v>0</v>
      </c>
      <c r="E5" s="335">
        <f>IF(C5&gt;1500000,C5-1500000,0)</f>
        <v>0</v>
      </c>
    </row>
    <row r="6" spans="1:17">
      <c r="A6" s="40" t="s">
        <v>3244</v>
      </c>
      <c r="B6" s="272" t="s">
        <v>639</v>
      </c>
      <c r="C6" s="336">
        <v>0</v>
      </c>
      <c r="D6" s="143" t="s">
        <v>640</v>
      </c>
      <c r="E6" s="40"/>
    </row>
    <row r="7" spans="1:17">
      <c r="A7" s="40"/>
      <c r="B7" s="272" t="s">
        <v>3260</v>
      </c>
      <c r="C7" s="337"/>
      <c r="D7" s="143" t="s">
        <v>2343</v>
      </c>
      <c r="E7" s="40"/>
    </row>
    <row r="8" spans="1:17" ht="13.15" customHeight="1">
      <c r="A8" s="40" t="s">
        <v>3248</v>
      </c>
      <c r="B8" s="40"/>
      <c r="C8" s="336">
        <v>0</v>
      </c>
      <c r="D8" s="143" t="s">
        <v>2344</v>
      </c>
      <c r="E8" s="40"/>
    </row>
    <row r="9" spans="1:17">
      <c r="A9" s="40" t="s">
        <v>1822</v>
      </c>
      <c r="B9" s="40"/>
      <c r="C9" s="338"/>
      <c r="D9" s="40"/>
      <c r="E9" s="40"/>
    </row>
    <row r="10" spans="1:17">
      <c r="A10" s="40" t="s">
        <v>1823</v>
      </c>
      <c r="B10" s="40"/>
      <c r="C10" s="338"/>
      <c r="D10" s="40"/>
      <c r="E10" s="40"/>
    </row>
    <row r="11" spans="1:17">
      <c r="A11" s="40" t="s">
        <v>1820</v>
      </c>
      <c r="B11" s="40"/>
      <c r="C11" s="339" t="e">
        <f>PMT(C7/12,C10*12,-C5,0,0)*12</f>
        <v>#NUM!</v>
      </c>
      <c r="D11" s="334" t="e">
        <f>PMT($C$7/12,$C$10*12,-D5,0,0)*12</f>
        <v>#NUM!</v>
      </c>
      <c r="E11" s="334" t="e">
        <f>PMT($C$7/12,$C$10*12,-E5,0,0)*12</f>
        <v>#NUM!</v>
      </c>
    </row>
    <row r="12" spans="1:17">
      <c r="A12" s="40" t="s">
        <v>1821</v>
      </c>
      <c r="B12" s="40"/>
      <c r="C12" s="340" t="e">
        <f>C11/12</f>
        <v>#NUM!</v>
      </c>
      <c r="D12" s="334" t="e">
        <f>D11/12</f>
        <v>#NUM!</v>
      </c>
      <c r="E12" s="334" t="e">
        <f>E11/12</f>
        <v>#NUM!</v>
      </c>
    </row>
    <row r="13" spans="1:17" ht="10.9" customHeight="1">
      <c r="A13" s="247"/>
      <c r="B13" s="247"/>
      <c r="C13" s="247"/>
      <c r="D13" s="247"/>
      <c r="E13" s="247"/>
      <c r="F13" s="247"/>
      <c r="G13" s="247"/>
      <c r="H13" s="247"/>
    </row>
    <row r="14" spans="1:17" ht="12.6" customHeight="1">
      <c r="A14" s="938" t="s">
        <v>134</v>
      </c>
      <c r="B14" s="938"/>
      <c r="C14" s="938"/>
      <c r="D14" s="938"/>
      <c r="E14" s="938"/>
      <c r="F14" s="938"/>
      <c r="G14" s="247"/>
      <c r="H14" s="247"/>
    </row>
    <row r="15" spans="1:17" ht="5.45" customHeight="1">
      <c r="A15" s="32"/>
      <c r="E15" s="258"/>
      <c r="F15" s="247"/>
      <c r="G15" s="247"/>
      <c r="H15" s="247"/>
    </row>
    <row r="16" spans="1:17" ht="13.15" customHeight="1">
      <c r="A16" s="260" t="s">
        <v>3261</v>
      </c>
      <c r="B16" s="261" t="s">
        <v>3258</v>
      </c>
      <c r="C16" s="261" t="s">
        <v>3259</v>
      </c>
      <c r="D16" s="934" t="s">
        <v>2981</v>
      </c>
      <c r="E16" s="934"/>
      <c r="F16" s="247"/>
      <c r="G16" s="247"/>
      <c r="H16" s="247"/>
    </row>
    <row r="17" spans="1:8" ht="12.6" customHeight="1">
      <c r="A17" s="97">
        <v>1</v>
      </c>
      <c r="B17" s="236">
        <f>IF(A17&gt;$C$9,0,SUM(C64:C75)*($C$6/$C$7))</f>
        <v>0</v>
      </c>
      <c r="C17" s="259">
        <f>IF(A17&gt;C9,0,(E63+K63)*$C$8)</f>
        <v>0</v>
      </c>
      <c r="D17" s="939">
        <f t="shared" ref="D17:D56" si="0">IF(A17&gt;$C$9,0,$C$11+C17)</f>
        <v>0</v>
      </c>
      <c r="E17" s="939"/>
      <c r="F17" s="247"/>
      <c r="G17" s="247"/>
      <c r="H17" s="247"/>
    </row>
    <row r="18" spans="1:8" ht="12.6" customHeight="1">
      <c r="A18" s="97">
        <v>2</v>
      </c>
      <c r="B18" s="236">
        <f>IF(A18&gt;C9,0,SUM(C76:C87)*($C$6/$C$7))</f>
        <v>0</v>
      </c>
      <c r="C18" s="266">
        <f>IF(A18&gt;C9,0,(E75+K75)*$C$8)</f>
        <v>0</v>
      </c>
      <c r="D18" s="931">
        <f t="shared" si="0"/>
        <v>0</v>
      </c>
      <c r="E18" s="931"/>
      <c r="F18" s="247"/>
      <c r="G18" s="247"/>
      <c r="H18" s="247"/>
    </row>
    <row r="19" spans="1:8" ht="12.6" customHeight="1">
      <c r="A19" s="97">
        <v>3</v>
      </c>
      <c r="B19" s="236">
        <f>IF(A19&gt;C9,0,SUM(C88:C99)*($C$6/$C$7))</f>
        <v>0</v>
      </c>
      <c r="C19" s="259">
        <f>IF(A19&gt;C9,0,(E87+K87)*$C$8)</f>
        <v>0</v>
      </c>
      <c r="D19" s="931">
        <f t="shared" si="0"/>
        <v>0</v>
      </c>
      <c r="E19" s="931"/>
      <c r="F19" s="247"/>
      <c r="G19" s="247"/>
      <c r="H19" s="247"/>
    </row>
    <row r="20" spans="1:8" ht="12.6" customHeight="1">
      <c r="A20" s="97">
        <v>4</v>
      </c>
      <c r="B20" s="236">
        <f>IF(A20&gt;C9,0,SUM(C100:C111)*($C$6/$C$7))</f>
        <v>0</v>
      </c>
      <c r="C20" s="259">
        <f>IF(A20&gt;C9,0,(E99+K99)*$C$8)</f>
        <v>0</v>
      </c>
      <c r="D20" s="931">
        <f t="shared" si="0"/>
        <v>0</v>
      </c>
      <c r="E20" s="931"/>
      <c r="F20" s="247"/>
      <c r="G20" s="247"/>
      <c r="H20" s="247"/>
    </row>
    <row r="21" spans="1:8" ht="12.6" customHeight="1">
      <c r="A21" s="97">
        <v>5</v>
      </c>
      <c r="B21" s="236">
        <f>IF(A21&gt;C9,0,SUM(C112:C123)*($C$6/$C$7))</f>
        <v>0</v>
      </c>
      <c r="C21" s="259">
        <f>IF(A21&gt;C9,0,(E111+K111)*$C$8)</f>
        <v>0</v>
      </c>
      <c r="D21" s="932">
        <f t="shared" si="0"/>
        <v>0</v>
      </c>
      <c r="E21" s="932"/>
      <c r="F21" s="247"/>
      <c r="G21" s="247"/>
      <c r="H21" s="247"/>
    </row>
    <row r="22" spans="1:8" ht="12.6" customHeight="1">
      <c r="A22" s="237">
        <v>6</v>
      </c>
      <c r="B22" s="238">
        <f>IF(A22&gt;C9,0,SUM(C124:C135)*($C$6/$C$7))</f>
        <v>0</v>
      </c>
      <c r="C22" s="263">
        <f>IF(A22&gt;C9,0,(E123+K123)*$C$8)</f>
        <v>0</v>
      </c>
      <c r="D22" s="931">
        <f t="shared" si="0"/>
        <v>0</v>
      </c>
      <c r="E22" s="931"/>
      <c r="F22" s="247"/>
      <c r="G22" s="247"/>
      <c r="H22" s="247"/>
    </row>
    <row r="23" spans="1:8" ht="12.6" customHeight="1">
      <c r="A23" s="239">
        <v>7</v>
      </c>
      <c r="B23" s="240">
        <f>IF(A23&gt;C9,0,SUM(C136:C147)*($C$6/$C$7))</f>
        <v>0</v>
      </c>
      <c r="C23" s="241">
        <f>IF(A23&gt;C9,0,(E135+K135)*$C$8)</f>
        <v>0</v>
      </c>
      <c r="D23" s="931">
        <f t="shared" si="0"/>
        <v>0</v>
      </c>
      <c r="E23" s="931"/>
      <c r="F23" s="247"/>
      <c r="G23" s="247"/>
      <c r="H23" s="247"/>
    </row>
    <row r="24" spans="1:8" ht="12.6" customHeight="1">
      <c r="A24" s="239">
        <v>8</v>
      </c>
      <c r="B24" s="240">
        <f>IF(A24&gt;C9,0,SUM(C148:C159)*($C$6/$C$7))</f>
        <v>0</v>
      </c>
      <c r="C24" s="241">
        <f>IF(A24&gt;C9,0,(E147+K147)*$C$8)</f>
        <v>0</v>
      </c>
      <c r="D24" s="931">
        <f t="shared" si="0"/>
        <v>0</v>
      </c>
      <c r="E24" s="931"/>
      <c r="F24" s="247"/>
      <c r="G24" s="247"/>
      <c r="H24" s="247"/>
    </row>
    <row r="25" spans="1:8" ht="12.6" customHeight="1">
      <c r="A25" s="239">
        <v>9</v>
      </c>
      <c r="B25" s="240">
        <f>IF(A25&gt;C9,0,SUM(C160:C171)*($C$6/$C$7))</f>
        <v>0</v>
      </c>
      <c r="C25" s="241">
        <f>IF(A25&gt;C9,0,(E159+K159)*$C$8)</f>
        <v>0</v>
      </c>
      <c r="D25" s="931">
        <f t="shared" si="0"/>
        <v>0</v>
      </c>
      <c r="E25" s="931"/>
      <c r="F25" s="247"/>
      <c r="G25" s="247"/>
      <c r="H25" s="247"/>
    </row>
    <row r="26" spans="1:8" ht="12.6" customHeight="1">
      <c r="A26" s="242">
        <v>10</v>
      </c>
      <c r="B26" s="243">
        <f>IF(A26&gt;C9,0,SUM(C172:C183)*($C$6/$C$7))</f>
        <v>0</v>
      </c>
      <c r="C26" s="262">
        <f>IF(A26&gt;C9,0,(E171+K171)*$C$8)</f>
        <v>0</v>
      </c>
      <c r="D26" s="932">
        <f t="shared" si="0"/>
        <v>0</v>
      </c>
      <c r="E26" s="932"/>
      <c r="F26" s="247"/>
      <c r="G26" s="247"/>
      <c r="H26" s="247"/>
    </row>
    <row r="27" spans="1:8" ht="12.6" customHeight="1">
      <c r="A27" s="244">
        <v>11</v>
      </c>
      <c r="B27" s="236">
        <f>IF(A27&gt;C9,0,SUM(C184:C195)*($C$6/$C$7))</f>
        <v>0</v>
      </c>
      <c r="C27" s="259">
        <f>IF(A27&gt;C9,0,(E183+K183)*$C$8)</f>
        <v>0</v>
      </c>
      <c r="D27" s="931">
        <f t="shared" si="0"/>
        <v>0</v>
      </c>
      <c r="E27" s="931"/>
      <c r="F27" s="247"/>
      <c r="G27" s="247"/>
      <c r="H27" s="247"/>
    </row>
    <row r="28" spans="1:8" ht="12.6" customHeight="1">
      <c r="A28" s="244">
        <v>12</v>
      </c>
      <c r="B28" s="236">
        <f>IF(A28&gt;C9,0,SUM(C196:C207)*($C$6/$C$7))</f>
        <v>0</v>
      </c>
      <c r="C28" s="259">
        <f>IF(A28&gt;C9,0,(E195+K195)*$C$8)</f>
        <v>0</v>
      </c>
      <c r="D28" s="931">
        <f t="shared" si="0"/>
        <v>0</v>
      </c>
      <c r="E28" s="931"/>
      <c r="F28" s="247"/>
      <c r="G28" s="247"/>
      <c r="H28" s="247"/>
    </row>
    <row r="29" spans="1:8" ht="12.6" customHeight="1">
      <c r="A29" s="244">
        <v>13</v>
      </c>
      <c r="B29" s="236">
        <f>IF(A29&gt;C9,0,SUM(C208:C219)*($C$6/$C$7))</f>
        <v>0</v>
      </c>
      <c r="C29" s="259">
        <f>IF(A29&gt;C9,0,(E207+K207)*$C$8)</f>
        <v>0</v>
      </c>
      <c r="D29" s="931">
        <f t="shared" si="0"/>
        <v>0</v>
      </c>
      <c r="E29" s="931"/>
      <c r="F29" s="247"/>
      <c r="G29" s="247"/>
      <c r="H29" s="247"/>
    </row>
    <row r="30" spans="1:8" ht="12.6" customHeight="1">
      <c r="A30" s="244">
        <v>14</v>
      </c>
      <c r="B30" s="236">
        <f>IF(A30&gt;C9,0,SUM(C220:C231)*($C$6/$C$7))</f>
        <v>0</v>
      </c>
      <c r="C30" s="259">
        <f>IF(A30&gt;C9,0,(E219+K219)*$C$8)</f>
        <v>0</v>
      </c>
      <c r="D30" s="931">
        <f t="shared" si="0"/>
        <v>0</v>
      </c>
      <c r="E30" s="931"/>
      <c r="F30" s="247"/>
      <c r="G30" s="247"/>
      <c r="H30" s="247"/>
    </row>
    <row r="31" spans="1:8" ht="12.6" customHeight="1">
      <c r="A31" s="244">
        <v>15</v>
      </c>
      <c r="B31" s="236">
        <f>IF(A31&gt;C9,0,SUM(C232:C243)*($C$6/$C$7))</f>
        <v>0</v>
      </c>
      <c r="C31" s="259">
        <f>IF(A31&gt;C9,0,(E231+K231)*$C$8)</f>
        <v>0</v>
      </c>
      <c r="D31" s="932">
        <f t="shared" si="0"/>
        <v>0</v>
      </c>
      <c r="E31" s="932"/>
      <c r="F31" s="247"/>
      <c r="G31" s="247"/>
      <c r="H31" s="247"/>
    </row>
    <row r="32" spans="1:8" ht="12.6" customHeight="1">
      <c r="A32" s="246">
        <v>16</v>
      </c>
      <c r="B32" s="238">
        <f>IF(A32&gt;C9,0,SUM(C244:C255)*($C$6/$C$7))</f>
        <v>0</v>
      </c>
      <c r="C32" s="263">
        <f>IF(A32&gt;C9,0,(E243+K243)*$C$8)</f>
        <v>0</v>
      </c>
      <c r="D32" s="931">
        <f t="shared" si="0"/>
        <v>0</v>
      </c>
      <c r="E32" s="931"/>
      <c r="F32" s="247"/>
      <c r="G32" s="247"/>
      <c r="H32" s="247"/>
    </row>
    <row r="33" spans="1:8" ht="12.6" customHeight="1">
      <c r="A33" s="239">
        <v>17</v>
      </c>
      <c r="B33" s="240">
        <f>IF(A33&gt;C9,0,SUM(C256:C267)*($C$6/$C$7))</f>
        <v>0</v>
      </c>
      <c r="C33" s="241">
        <f>IF(A33&gt;C9,0,(E255+K255)*$C$8)</f>
        <v>0</v>
      </c>
      <c r="D33" s="931">
        <f t="shared" si="0"/>
        <v>0</v>
      </c>
      <c r="E33" s="931"/>
      <c r="F33" s="247"/>
      <c r="G33" s="247"/>
      <c r="H33" s="247"/>
    </row>
    <row r="34" spans="1:8" ht="12.6" customHeight="1">
      <c r="A34" s="239">
        <v>18</v>
      </c>
      <c r="B34" s="240">
        <f>IF(A34&gt;C9,0,SUM(C268:C279)*($C$6/$C$7))</f>
        <v>0</v>
      </c>
      <c r="C34" s="241">
        <f>IF(A34&gt;C9,0,(E267+K267)*$C$8)</f>
        <v>0</v>
      </c>
      <c r="D34" s="931">
        <f t="shared" si="0"/>
        <v>0</v>
      </c>
      <c r="E34" s="931"/>
      <c r="F34" s="247"/>
      <c r="G34" s="247"/>
      <c r="H34" s="247"/>
    </row>
    <row r="35" spans="1:8" ht="12.6" customHeight="1">
      <c r="A35" s="239">
        <v>19</v>
      </c>
      <c r="B35" s="240">
        <f>IF(A35&gt;C9,0,SUM(C280:C291)*($C$6/$C$7))</f>
        <v>0</v>
      </c>
      <c r="C35" s="241">
        <f>IF(A35&gt;C9,0,(E279+K279)*$C$8)</f>
        <v>0</v>
      </c>
      <c r="D35" s="931">
        <f t="shared" si="0"/>
        <v>0</v>
      </c>
      <c r="E35" s="931"/>
      <c r="F35" s="247"/>
      <c r="G35" s="247"/>
      <c r="H35" s="247"/>
    </row>
    <row r="36" spans="1:8" ht="12.6" customHeight="1">
      <c r="A36" s="242">
        <v>20</v>
      </c>
      <c r="B36" s="243">
        <f>IF(A36&gt;C9,0,SUM(C292:C303)*($C$6/$C$7))</f>
        <v>0</v>
      </c>
      <c r="C36" s="262">
        <f>IF(A36&gt;C9,0,(E291+K291)*$C$8)</f>
        <v>0</v>
      </c>
      <c r="D36" s="932">
        <f t="shared" si="0"/>
        <v>0</v>
      </c>
      <c r="E36" s="932"/>
      <c r="F36" s="247"/>
      <c r="G36" s="247"/>
      <c r="H36" s="247"/>
    </row>
    <row r="37" spans="1:8" ht="12.6" customHeight="1">
      <c r="A37" s="97">
        <v>21</v>
      </c>
      <c r="B37" s="238">
        <f>IF(A37&gt;C9,0,SUM(C293:C304)*($C$6/$C$7))</f>
        <v>0</v>
      </c>
      <c r="C37" s="263">
        <f>IF(A37&gt;C9,0,(E303+K303)*$C$8)</f>
        <v>0</v>
      </c>
      <c r="D37" s="933">
        <f t="shared" si="0"/>
        <v>0</v>
      </c>
      <c r="E37" s="933"/>
      <c r="F37" s="247"/>
      <c r="G37" s="247"/>
      <c r="H37" s="247"/>
    </row>
    <row r="38" spans="1:8" ht="12.6" customHeight="1">
      <c r="A38" s="97">
        <v>22</v>
      </c>
      <c r="B38" s="240">
        <f>IF(A38&gt;C9,0,SUM(C294:C305)*($C$6/$C$7))</f>
        <v>0</v>
      </c>
      <c r="C38" s="241">
        <f>IF(A38&gt;C9,0,(E315+K315)*$C$8)</f>
        <v>0</v>
      </c>
      <c r="D38" s="931">
        <f t="shared" si="0"/>
        <v>0</v>
      </c>
      <c r="E38" s="931"/>
      <c r="F38" s="247"/>
      <c r="G38" s="247"/>
      <c r="H38" s="247"/>
    </row>
    <row r="39" spans="1:8" ht="12.6" customHeight="1">
      <c r="A39" s="97">
        <v>23</v>
      </c>
      <c r="B39" s="240">
        <f>IF(A39&gt;C9,0,SUM(C295:C306)*($C$6/$C$7))</f>
        <v>0</v>
      </c>
      <c r="C39" s="241">
        <f>IF(A39&gt;C9,0,(E327+K327)*$C$8)</f>
        <v>0</v>
      </c>
      <c r="D39" s="931">
        <f t="shared" si="0"/>
        <v>0</v>
      </c>
      <c r="E39" s="931"/>
      <c r="F39" s="247"/>
      <c r="G39" s="247"/>
      <c r="H39" s="247"/>
    </row>
    <row r="40" spans="1:8" ht="12.6" customHeight="1">
      <c r="A40" s="97">
        <v>24</v>
      </c>
      <c r="B40" s="240">
        <f>IF(A40&gt;C9,0,SUM(C296:C307)*($C$6/$C$7))</f>
        <v>0</v>
      </c>
      <c r="C40" s="241">
        <f>IF(A40&gt;C9,0,(E339+K339)*$C$8)</f>
        <v>0</v>
      </c>
      <c r="D40" s="931">
        <f t="shared" si="0"/>
        <v>0</v>
      </c>
      <c r="E40" s="931"/>
      <c r="F40" s="247"/>
      <c r="G40" s="247"/>
      <c r="H40" s="247"/>
    </row>
    <row r="41" spans="1:8" ht="12.6" customHeight="1">
      <c r="A41" s="97">
        <v>25</v>
      </c>
      <c r="B41" s="243">
        <f>IF(A41&gt;C9,0,SUM(C297:C308)*($C$6/$C$7))</f>
        <v>0</v>
      </c>
      <c r="C41" s="262">
        <f>IF(A41&gt;C9,0,(E351+K351)*$C$8)</f>
        <v>0</v>
      </c>
      <c r="D41" s="932">
        <f t="shared" si="0"/>
        <v>0</v>
      </c>
      <c r="E41" s="932"/>
      <c r="F41" s="247"/>
      <c r="G41" s="247"/>
      <c r="H41" s="247"/>
    </row>
    <row r="42" spans="1:8" ht="12.6" customHeight="1">
      <c r="A42" s="237">
        <v>26</v>
      </c>
      <c r="B42" s="238">
        <f>IF(A42&gt;C9,0,SUM(C298:C309)*($C$6/$C$7))</f>
        <v>0</v>
      </c>
      <c r="C42" s="263">
        <f>IF(A42&gt;C9,0,(E363+K363)*$C$8)</f>
        <v>0</v>
      </c>
      <c r="D42" s="933">
        <f t="shared" si="0"/>
        <v>0</v>
      </c>
      <c r="E42" s="933"/>
      <c r="F42" s="247"/>
      <c r="G42" s="247"/>
      <c r="H42" s="247"/>
    </row>
    <row r="43" spans="1:8" ht="12.6" customHeight="1">
      <c r="A43" s="239">
        <v>27</v>
      </c>
      <c r="B43" s="240">
        <f>IF(A43&gt;C9,0,SUM(C299:C310)*($C$6/$C$7))</f>
        <v>0</v>
      </c>
      <c r="C43" s="241">
        <f>IF(A43&gt;C9,0,(E375+K375)*$C$8)</f>
        <v>0</v>
      </c>
      <c r="D43" s="931">
        <f t="shared" si="0"/>
        <v>0</v>
      </c>
      <c r="E43" s="931"/>
      <c r="F43" s="247"/>
      <c r="G43" s="247"/>
      <c r="H43" s="247"/>
    </row>
    <row r="44" spans="1:8" ht="12.6" customHeight="1">
      <c r="A44" s="239">
        <v>28</v>
      </c>
      <c r="B44" s="240">
        <f>IF(A44&gt;C9,0,SUM(C300:C311)*($C$6/$C$7))</f>
        <v>0</v>
      </c>
      <c r="C44" s="241">
        <f>IF(A44&gt;C9,0,(E387+K387)*$C$8)</f>
        <v>0</v>
      </c>
      <c r="D44" s="931">
        <f t="shared" si="0"/>
        <v>0</v>
      </c>
      <c r="E44" s="931"/>
      <c r="F44" s="247"/>
      <c r="G44" s="247"/>
      <c r="H44" s="247"/>
    </row>
    <row r="45" spans="1:8" ht="12.6" customHeight="1">
      <c r="A45" s="239">
        <v>29</v>
      </c>
      <c r="B45" s="240">
        <f>IF(A45&gt;C9,0,SUM(C301:C312)*($C$6/$C$7))</f>
        <v>0</v>
      </c>
      <c r="C45" s="241">
        <f>IF(A45&gt;C9,0,(E411+K411)*$C$8)</f>
        <v>0</v>
      </c>
      <c r="D45" s="931">
        <f t="shared" si="0"/>
        <v>0</v>
      </c>
      <c r="E45" s="931"/>
      <c r="F45" s="247"/>
      <c r="G45" s="247"/>
      <c r="H45" s="247"/>
    </row>
    <row r="46" spans="1:8" ht="12.6" customHeight="1">
      <c r="A46" s="242">
        <v>30</v>
      </c>
      <c r="B46" s="243">
        <f>IF(A46&gt;C9,0,SUM(C302:C313)*($C$6/$C$7))</f>
        <v>0</v>
      </c>
      <c r="C46" s="262">
        <f>IF(A46&gt;C9,0,(E423+K423)*$C$8)</f>
        <v>0</v>
      </c>
      <c r="D46" s="932">
        <f t="shared" si="0"/>
        <v>0</v>
      </c>
      <c r="E46" s="932"/>
      <c r="F46" s="247"/>
      <c r="G46" s="247"/>
      <c r="H46" s="247"/>
    </row>
    <row r="47" spans="1:8" ht="12.6" customHeight="1">
      <c r="A47" s="246">
        <v>31</v>
      </c>
      <c r="B47" s="238">
        <f>IF(A47&gt;C9,0,SUM(C303:C314)*($C$6/$C$7))</f>
        <v>0</v>
      </c>
      <c r="C47" s="263">
        <f>IF(A47&gt;C9,0,(E435+K435)*$C$8)</f>
        <v>0</v>
      </c>
      <c r="D47" s="933">
        <f t="shared" si="0"/>
        <v>0</v>
      </c>
      <c r="E47" s="933"/>
      <c r="F47" s="247"/>
      <c r="G47" s="247"/>
      <c r="H47" s="247"/>
    </row>
    <row r="48" spans="1:8" ht="12.6" customHeight="1">
      <c r="A48" s="239">
        <v>32</v>
      </c>
      <c r="B48" s="240">
        <f>IF(A48&gt;C9,0,SUM(C304:C315)*($C$6/$C$7))</f>
        <v>0</v>
      </c>
      <c r="C48" s="241">
        <f>IF(A48&gt;C9,0,(E447+K447)*$C$8)</f>
        <v>0</v>
      </c>
      <c r="D48" s="931">
        <f t="shared" si="0"/>
        <v>0</v>
      </c>
      <c r="E48" s="931"/>
      <c r="F48" s="247"/>
      <c r="G48" s="247"/>
      <c r="H48" s="247"/>
    </row>
    <row r="49" spans="1:12" ht="12.6" customHeight="1">
      <c r="A49" s="239">
        <v>33</v>
      </c>
      <c r="B49" s="240">
        <f>IF(A49&gt;C9,0,SUM(C305:C316)*($C$6/$C$7))</f>
        <v>0</v>
      </c>
      <c r="C49" s="241">
        <f>IF(A49&gt;C9,0,(E459+K459)*$C$8)</f>
        <v>0</v>
      </c>
      <c r="D49" s="931">
        <f t="shared" si="0"/>
        <v>0</v>
      </c>
      <c r="E49" s="931"/>
      <c r="F49" s="247"/>
      <c r="G49" s="247"/>
      <c r="H49" s="247"/>
    </row>
    <row r="50" spans="1:12" ht="12.6" customHeight="1">
      <c r="A50" s="239">
        <v>34</v>
      </c>
      <c r="B50" s="240">
        <f>IF(A50&gt;C9,0,SUM(C306:C317)*($C$6/$C$7))</f>
        <v>0</v>
      </c>
      <c r="C50" s="241">
        <f>IF(A50&gt;C9,0,(E471+K471)*$C$8)</f>
        <v>0</v>
      </c>
      <c r="D50" s="931">
        <f t="shared" si="0"/>
        <v>0</v>
      </c>
      <c r="E50" s="931"/>
      <c r="F50" s="247"/>
      <c r="G50" s="247"/>
      <c r="H50" s="247"/>
    </row>
    <row r="51" spans="1:12" ht="12.6" customHeight="1">
      <c r="A51" s="242">
        <v>35</v>
      </c>
      <c r="B51" s="243">
        <f>IF(A51&gt;C9,0,SUM(C307:C318)*($C$6/$C$7))</f>
        <v>0</v>
      </c>
      <c r="C51" s="262">
        <f>IF(A51&gt;C9,0,(E483+K483)*$C$8)</f>
        <v>0</v>
      </c>
      <c r="D51" s="932">
        <f t="shared" si="0"/>
        <v>0</v>
      </c>
      <c r="E51" s="932"/>
      <c r="F51" s="247"/>
      <c r="G51" s="247"/>
      <c r="H51" s="247"/>
    </row>
    <row r="52" spans="1:12" ht="12.6" customHeight="1">
      <c r="A52" s="246">
        <v>36</v>
      </c>
      <c r="B52" s="238">
        <f>IF(A52&gt;C9,0,SUM(C308:C319)*($C$6/$C$7))</f>
        <v>0</v>
      </c>
      <c r="C52" s="263">
        <f>IF(A52&gt;C9,0,(E495+K495)*$C$8)</f>
        <v>0</v>
      </c>
      <c r="D52" s="933">
        <f t="shared" si="0"/>
        <v>0</v>
      </c>
      <c r="E52" s="933"/>
      <c r="F52" s="247"/>
      <c r="G52" s="247"/>
      <c r="H52" s="247"/>
    </row>
    <row r="53" spans="1:12" ht="12.6" customHeight="1">
      <c r="A53" s="239">
        <v>37</v>
      </c>
      <c r="B53" s="240">
        <f>IF(A53&gt;C9,0,SUM(C309:C320)*($C$6/$C$7))</f>
        <v>0</v>
      </c>
      <c r="C53" s="241">
        <f>IF(A53&gt;C9,0,(E507+K507)*$C$8)</f>
        <v>0</v>
      </c>
      <c r="D53" s="931">
        <f t="shared" si="0"/>
        <v>0</v>
      </c>
      <c r="E53" s="931"/>
      <c r="F53" s="247"/>
      <c r="G53" s="247"/>
      <c r="H53" s="247"/>
    </row>
    <row r="54" spans="1:12" ht="12.6" customHeight="1">
      <c r="A54" s="239">
        <v>38</v>
      </c>
      <c r="B54" s="240">
        <f>IF(A54&gt;C9,0,SUM(C310:C321)*($C$6/$C$7))</f>
        <v>0</v>
      </c>
      <c r="C54" s="241">
        <f>IF(A54&gt;C9,0,(E519+K519)*$C$8)</f>
        <v>0</v>
      </c>
      <c r="D54" s="931">
        <f t="shared" si="0"/>
        <v>0</v>
      </c>
      <c r="E54" s="931"/>
      <c r="F54" s="247"/>
      <c r="G54" s="247"/>
      <c r="H54" s="247"/>
    </row>
    <row r="55" spans="1:12" ht="12.6" customHeight="1">
      <c r="A55" s="239">
        <v>39</v>
      </c>
      <c r="B55" s="240">
        <f>IF(A55&gt;C9,0,SUM(C311:C322)*($C$6/$C$7))</f>
        <v>0</v>
      </c>
      <c r="C55" s="241">
        <f>IF(A55&gt;C9,0,(E531+K531)*$C$8)</f>
        <v>0</v>
      </c>
      <c r="D55" s="931">
        <f t="shared" si="0"/>
        <v>0</v>
      </c>
      <c r="E55" s="931"/>
      <c r="F55" s="247"/>
      <c r="G55" s="247"/>
      <c r="H55" s="247"/>
    </row>
    <row r="56" spans="1:12" ht="12.6" customHeight="1">
      <c r="A56" s="242">
        <v>40</v>
      </c>
      <c r="B56" s="243">
        <f>IF(A56&gt;C9,0,SUM(C312:C323)*($C$6/$C$7))</f>
        <v>0</v>
      </c>
      <c r="C56" s="262">
        <f>IF(A56&gt;C9,0,(E543+K543)*$C$8)</f>
        <v>0</v>
      </c>
      <c r="D56" s="932">
        <f t="shared" si="0"/>
        <v>0</v>
      </c>
      <c r="E56" s="932"/>
      <c r="F56" s="247"/>
      <c r="G56" s="247"/>
      <c r="H56" s="247"/>
    </row>
    <row r="57" spans="1:12" ht="3" customHeight="1">
      <c r="A57" s="247"/>
      <c r="B57" s="247"/>
      <c r="C57" s="247"/>
      <c r="D57" s="247"/>
      <c r="E57" s="247"/>
      <c r="F57" s="247"/>
      <c r="G57" s="247"/>
      <c r="H57" s="247"/>
    </row>
    <row r="58" spans="1:12" ht="13.15" customHeight="1">
      <c r="A58" s="935" t="str">
        <f>CONCATENATE('Part I-Project Information'!$O$4," ",'Part I-Project Information'!$F$23,", ",'Part I-Project Information'!$F$26,", ",'Part I-Project Information'!$J$27," County")</f>
        <v>2013-007 Country Grove Apartments, Monroe, Walton County</v>
      </c>
      <c r="B58" s="935"/>
      <c r="C58" s="935"/>
      <c r="D58" s="935"/>
      <c r="E58" s="935"/>
      <c r="F58" s="935"/>
      <c r="G58" s="935" t="str">
        <f>CONCATENATE('Part I-Project Information'!$O$4," ",'Part I-Project Information'!$F$23,", ",'Part I-Project Information'!$F$26,", ",'Part I-Project Information'!$J$27," County")</f>
        <v>2013-007 Country Grove Apartments, Monroe, Walton County</v>
      </c>
      <c r="H58" s="935"/>
      <c r="I58" s="935"/>
      <c r="J58" s="935"/>
      <c r="K58" s="935"/>
      <c r="L58" s="935"/>
    </row>
    <row r="59" spans="1:12" ht="15">
      <c r="A59" s="936" t="s">
        <v>3252</v>
      </c>
      <c r="B59" s="936"/>
      <c r="C59" s="936"/>
      <c r="D59" s="936"/>
      <c r="E59" s="936"/>
      <c r="F59" s="936"/>
      <c r="G59" s="936" t="s">
        <v>3252</v>
      </c>
      <c r="H59" s="936"/>
      <c r="I59" s="936"/>
      <c r="J59" s="936"/>
      <c r="K59" s="936"/>
      <c r="L59" s="936"/>
    </row>
    <row r="60" spans="1:12" ht="6" customHeight="1">
      <c r="C60" s="245"/>
      <c r="D60" s="245"/>
      <c r="I60" s="245"/>
      <c r="J60" s="245"/>
    </row>
    <row r="61" spans="1:12">
      <c r="A61" s="248" t="s">
        <v>3253</v>
      </c>
      <c r="B61" s="249" t="s">
        <v>3254</v>
      </c>
      <c r="C61" s="249" t="s">
        <v>1727</v>
      </c>
      <c r="D61" s="249" t="s">
        <v>3255</v>
      </c>
      <c r="E61" s="248" t="s">
        <v>3256</v>
      </c>
      <c r="F61" s="280" t="s">
        <v>3261</v>
      </c>
      <c r="G61" s="248" t="s">
        <v>3253</v>
      </c>
      <c r="H61" s="249" t="s">
        <v>3254</v>
      </c>
      <c r="I61" s="249" t="s">
        <v>1727</v>
      </c>
      <c r="J61" s="249" t="s">
        <v>3255</v>
      </c>
      <c r="K61" s="248" t="s">
        <v>3256</v>
      </c>
      <c r="L61" s="280" t="s">
        <v>3261</v>
      </c>
    </row>
    <row r="62" spans="1:12" ht="3.6" customHeight="1">
      <c r="A62" s="251"/>
      <c r="B62" s="142"/>
      <c r="C62" s="142"/>
      <c r="D62" s="142"/>
      <c r="E62" s="142"/>
      <c r="F62" s="97"/>
      <c r="G62" s="251"/>
      <c r="H62" s="142"/>
      <c r="I62" s="142"/>
      <c r="J62" s="142"/>
      <c r="K62" s="142"/>
      <c r="L62" s="97"/>
    </row>
    <row r="63" spans="1:12">
      <c r="A63" s="252" t="s">
        <v>3257</v>
      </c>
      <c r="B63" s="253"/>
      <c r="C63" s="253"/>
      <c r="D63" s="253"/>
      <c r="E63" s="254">
        <f>IF($C$5&gt;1500000,$D$5,$C$5)</f>
        <v>0</v>
      </c>
      <c r="F63" s="97"/>
      <c r="G63" s="252" t="s">
        <v>3257</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928" t="str">
        <f>CONCATENATE("PART III C  - HUD INSURED LOAN","  -  ",'Part I-Project Information'!$O$4," ",'Part I-Project Information'!$F$23,", ",'Part I-Project Information'!$F$26,", ",'Part I-Project Information'!$J$27," County")</f>
        <v>PART III C  - HUD INSURED LOAN  -  2013-007 Country Grove Apartments, Monroe, Walton County</v>
      </c>
      <c r="B1" s="929"/>
      <c r="C1" s="929"/>
      <c r="D1" s="929"/>
      <c r="E1" s="929"/>
      <c r="F1" s="930"/>
      <c r="G1" s="208"/>
      <c r="H1" s="208"/>
      <c r="I1" s="208"/>
      <c r="J1" s="208"/>
      <c r="K1" s="208"/>
      <c r="L1" s="208"/>
      <c r="M1" s="208"/>
      <c r="N1" s="208"/>
      <c r="O1" s="208"/>
      <c r="P1" s="208"/>
      <c r="Q1" s="208"/>
    </row>
    <row r="2" spans="1:17">
      <c r="A2" s="16"/>
      <c r="B2" s="235"/>
      <c r="C2" s="235"/>
      <c r="D2" s="235"/>
    </row>
    <row r="3" spans="1:17" ht="15.6" customHeight="1">
      <c r="A3" s="937" t="s">
        <v>236</v>
      </c>
      <c r="B3" s="937"/>
      <c r="C3" s="937"/>
      <c r="D3" s="937"/>
      <c r="E3" s="937"/>
      <c r="F3" s="937"/>
      <c r="G3" s="286"/>
      <c r="H3" s="286"/>
    </row>
    <row r="4" spans="1:17">
      <c r="A4" s="16"/>
      <c r="B4" s="235"/>
      <c r="C4" s="235"/>
      <c r="D4" s="235"/>
    </row>
    <row r="5" spans="1:17" ht="13.15" customHeight="1">
      <c r="A5" s="31" t="s">
        <v>2982</v>
      </c>
      <c r="D5" s="278"/>
      <c r="E5" s="940" t="s">
        <v>1352</v>
      </c>
      <c r="F5" s="941"/>
      <c r="G5" s="197"/>
    </row>
    <row r="6" spans="1:17">
      <c r="E6" s="941"/>
      <c r="F6" s="941"/>
      <c r="G6" s="197"/>
    </row>
    <row r="7" spans="1:17">
      <c r="A7" s="31" t="s">
        <v>3244</v>
      </c>
      <c r="C7" s="31" t="s">
        <v>3245</v>
      </c>
      <c r="D7" s="279"/>
      <c r="E7" s="941"/>
      <c r="F7" s="941"/>
      <c r="G7" s="197"/>
    </row>
    <row r="8" spans="1:17">
      <c r="C8" s="31" t="s">
        <v>3246</v>
      </c>
      <c r="D8" s="279"/>
      <c r="E8" s="941"/>
      <c r="F8" s="941"/>
      <c r="G8" s="197"/>
    </row>
    <row r="9" spans="1:17">
      <c r="C9" s="31" t="s">
        <v>3247</v>
      </c>
      <c r="D9" s="279"/>
      <c r="E9" s="941"/>
      <c r="F9" s="941"/>
      <c r="G9" s="197"/>
    </row>
    <row r="10" spans="1:17">
      <c r="C10" s="31" t="s">
        <v>3260</v>
      </c>
      <c r="D10" s="287">
        <f>D7+D8+D9</f>
        <v>0</v>
      </c>
      <c r="E10" s="941"/>
      <c r="F10" s="941"/>
      <c r="G10" s="197"/>
    </row>
    <row r="11" spans="1:17">
      <c r="F11" s="197"/>
      <c r="G11" s="197"/>
    </row>
    <row r="12" spans="1:17">
      <c r="A12" s="31" t="s">
        <v>2407</v>
      </c>
      <c r="D12" s="277"/>
      <c r="E12" s="31" t="s">
        <v>2848</v>
      </c>
      <c r="F12" s="197"/>
      <c r="G12" s="197"/>
    </row>
    <row r="13" spans="1:17">
      <c r="D13" s="245"/>
      <c r="F13" s="197"/>
      <c r="G13" s="197"/>
    </row>
    <row r="14" spans="1:17">
      <c r="A14" s="31" t="s">
        <v>3249</v>
      </c>
      <c r="D14" s="276"/>
      <c r="E14" s="31" t="s">
        <v>3250</v>
      </c>
      <c r="F14" s="288"/>
    </row>
    <row r="15" spans="1:17">
      <c r="D15" s="265"/>
      <c r="F15" s="288"/>
    </row>
    <row r="16" spans="1:17">
      <c r="A16" s="31" t="s">
        <v>3251</v>
      </c>
      <c r="D16" s="276"/>
      <c r="E16" s="31" t="s">
        <v>3250</v>
      </c>
      <c r="F16" s="288"/>
    </row>
    <row r="17" spans="1:10">
      <c r="D17" s="245"/>
      <c r="F17" s="288"/>
    </row>
    <row r="18" spans="1:10">
      <c r="A18" s="31" t="s">
        <v>1325</v>
      </c>
      <c r="D18" s="289" t="e">
        <f>PMT(D10/12,D16*12,-D5,0,0)*12</f>
        <v>#NUM!</v>
      </c>
      <c r="E18" s="31" t="s">
        <v>1952</v>
      </c>
      <c r="F18" s="288"/>
    </row>
    <row r="19" spans="1:10">
      <c r="D19" s="245"/>
      <c r="F19" s="288"/>
    </row>
    <row r="20" spans="1:10">
      <c r="A20" s="31" t="s">
        <v>1953</v>
      </c>
      <c r="D20" s="245" t="e">
        <f>D18/12</f>
        <v>#NUM!</v>
      </c>
      <c r="E20" s="31" t="s">
        <v>1952</v>
      </c>
      <c r="F20" s="288"/>
    </row>
    <row r="24" spans="1:10" ht="18" customHeight="1">
      <c r="A24" s="938" t="s">
        <v>2408</v>
      </c>
      <c r="B24" s="938"/>
      <c r="C24" s="938"/>
      <c r="D24" s="938"/>
      <c r="E24" s="938"/>
      <c r="F24" s="938"/>
      <c r="J24" s="290"/>
    </row>
    <row r="25" spans="1:10">
      <c r="C25" s="245"/>
      <c r="J25" s="290"/>
    </row>
    <row r="26" spans="1:10">
      <c r="A26" s="125"/>
      <c r="B26" s="97"/>
      <c r="C26" s="942" t="s">
        <v>2981</v>
      </c>
      <c r="D26" s="285"/>
      <c r="E26" s="97"/>
      <c r="F26" s="942" t="s">
        <v>2981</v>
      </c>
      <c r="J26" s="290"/>
    </row>
    <row r="27" spans="1:10">
      <c r="A27" s="291" t="s">
        <v>3261</v>
      </c>
      <c r="B27" s="86" t="s">
        <v>1428</v>
      </c>
      <c r="C27" s="943"/>
      <c r="D27" s="292" t="s">
        <v>3261</v>
      </c>
      <c r="E27" s="86" t="s">
        <v>1428</v>
      </c>
      <c r="F27" s="943"/>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935" t="str">
        <f>CONCATENATE('Part I-Project Information'!$O$4," ",'Part I-Project Information'!$F$23,", ",'Part I-Project Information'!$F$26,", ",'Part I-Project Information'!$J$27," County")</f>
        <v>2013-007 Country Grove Apartments, Monroe, Walton County</v>
      </c>
      <c r="B50" s="935"/>
      <c r="C50" s="935"/>
      <c r="D50" s="935"/>
      <c r="E50" s="935"/>
      <c r="F50" s="935"/>
      <c r="G50" s="272"/>
      <c r="H50" s="272"/>
    </row>
    <row r="51" spans="1:10" ht="15">
      <c r="A51" s="936" t="s">
        <v>3252</v>
      </c>
      <c r="B51" s="936"/>
      <c r="C51" s="936"/>
      <c r="D51" s="936"/>
      <c r="E51" s="936"/>
      <c r="F51" s="936"/>
      <c r="G51" s="302"/>
      <c r="H51" s="302"/>
      <c r="I51" s="302"/>
      <c r="J51" s="302"/>
    </row>
    <row r="52" spans="1:10" ht="5.45" customHeight="1">
      <c r="C52" s="245"/>
      <c r="D52" s="245"/>
      <c r="G52" s="250"/>
      <c r="H52" s="244"/>
      <c r="I52" s="250"/>
    </row>
    <row r="53" spans="1:10">
      <c r="A53" s="248" t="s">
        <v>3253</v>
      </c>
      <c r="B53" s="248" t="s">
        <v>3254</v>
      </c>
      <c r="C53" s="248" t="s">
        <v>1727</v>
      </c>
      <c r="D53" s="248" t="s">
        <v>3255</v>
      </c>
      <c r="E53" s="248" t="s">
        <v>3256</v>
      </c>
      <c r="F53" s="280" t="s">
        <v>3261</v>
      </c>
      <c r="G53" s="303"/>
      <c r="H53" s="303"/>
      <c r="I53" s="303"/>
    </row>
    <row r="54" spans="1:10" ht="3.6" customHeight="1">
      <c r="F54" s="97"/>
      <c r="G54" s="250"/>
      <c r="H54" s="244"/>
      <c r="I54" s="250"/>
    </row>
    <row r="55" spans="1:10">
      <c r="A55" s="31" t="s">
        <v>3257</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Normal="100" zoomScaleSheetLayoutView="90" workbookViewId="0">
      <selection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5703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975" t="str">
        <f>CONCATENATE("PART FOUR -  USES OF FUNDS","  -  ",'Part I-Project Information'!$O$4," ",'Part I-Project Information'!$F$23,", ",'Part I-Project Information'!F26,", ",'Part I-Project Information'!J27," County")</f>
        <v>PART FOUR -  USES OF FUNDS  -  2013-007 Country Grove Apartments, Monroe, Walton County</v>
      </c>
      <c r="B1" s="976"/>
      <c r="C1" s="976"/>
      <c r="D1" s="976"/>
      <c r="E1" s="976"/>
      <c r="F1" s="976"/>
      <c r="G1" s="976"/>
      <c r="H1" s="976"/>
      <c r="I1" s="976"/>
      <c r="J1" s="976"/>
      <c r="K1" s="976"/>
      <c r="L1" s="976"/>
      <c r="M1" s="976"/>
      <c r="N1" s="976"/>
      <c r="O1" s="976"/>
      <c r="P1" s="976"/>
      <c r="Q1" s="976"/>
      <c r="R1" s="976"/>
      <c r="S1" s="976"/>
      <c r="T1" s="976"/>
      <c r="V1" s="974" t="str">
        <f>A1</f>
        <v>PART FOUR -  USES OF FUNDS  -  2013-007 Country Grove Apartments, Monroe, Walton County</v>
      </c>
      <c r="W1" s="974"/>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1.9"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795</v>
      </c>
      <c r="B5" s="566" t="s">
        <v>1295</v>
      </c>
      <c r="D5" s="720"/>
      <c r="E5" s="720"/>
      <c r="F5" s="720"/>
      <c r="G5" s="720"/>
      <c r="H5" s="720"/>
      <c r="I5" s="720"/>
      <c r="J5" s="950" t="s">
        <v>299</v>
      </c>
      <c r="K5" s="951"/>
      <c r="L5" s="445"/>
      <c r="M5" s="969" t="s">
        <v>622</v>
      </c>
      <c r="N5" s="970"/>
      <c r="P5" s="950" t="s">
        <v>300</v>
      </c>
      <c r="Q5" s="951"/>
      <c r="S5" s="950" t="s">
        <v>301</v>
      </c>
      <c r="T5" s="951"/>
      <c r="V5" s="567" t="str">
        <f>B5</f>
        <v>DEVELOPMENT BUDGET</v>
      </c>
    </row>
    <row r="6" spans="1:23" s="386" customFormat="1" ht="21" customHeight="1" thickBot="1">
      <c r="G6" s="963" t="s">
        <v>107</v>
      </c>
      <c r="H6" s="964"/>
      <c r="J6" s="952"/>
      <c r="K6" s="953"/>
      <c r="L6" s="445"/>
      <c r="M6" s="971"/>
      <c r="N6" s="972"/>
      <c r="P6" s="952"/>
      <c r="Q6" s="953"/>
      <c r="S6" s="952"/>
      <c r="T6" s="953"/>
      <c r="V6" s="947" t="s">
        <v>3547</v>
      </c>
      <c r="W6" s="947"/>
    </row>
    <row r="7" spans="1:23" s="386" customFormat="1" ht="13.15" customHeight="1">
      <c r="B7" s="389" t="s">
        <v>108</v>
      </c>
      <c r="O7" s="687" t="str">
        <f>B7</f>
        <v>PRE-DEVELOPMENT COSTS</v>
      </c>
      <c r="V7" s="386" t="str">
        <f>B7</f>
        <v>PRE-DEVELOPMENT COSTS</v>
      </c>
    </row>
    <row r="8" spans="1:23" s="386" customFormat="1" ht="12.6" customHeight="1">
      <c r="B8" s="386" t="s">
        <v>2711</v>
      </c>
      <c r="G8" s="1464">
        <f>SUM(J8:T8)</f>
        <v>9500</v>
      </c>
      <c r="H8" s="1465"/>
      <c r="J8" s="1464"/>
      <c r="K8" s="1465"/>
      <c r="L8" s="806"/>
      <c r="M8" s="1464"/>
      <c r="N8" s="1465"/>
      <c r="P8" s="1492">
        <f>3250+3250+3000</f>
        <v>9500</v>
      </c>
      <c r="Q8" s="1493"/>
      <c r="S8" s="1464"/>
      <c r="T8" s="1465"/>
      <c r="V8" s="1494"/>
      <c r="W8" s="1495"/>
    </row>
    <row r="9" spans="1:23" s="386" customFormat="1" ht="12.6" customHeight="1">
      <c r="B9" s="386" t="s">
        <v>584</v>
      </c>
      <c r="G9" s="1492">
        <f t="shared" ref="G9:G16" si="0">SUM(J9:T9)</f>
        <v>9000</v>
      </c>
      <c r="H9" s="1493"/>
      <c r="J9" s="1464"/>
      <c r="K9" s="1465"/>
      <c r="L9" s="806"/>
      <c r="M9" s="1464"/>
      <c r="N9" s="1465"/>
      <c r="P9" s="1492">
        <f>5000+4000</f>
        <v>9000</v>
      </c>
      <c r="Q9" s="1493"/>
      <c r="S9" s="1464"/>
      <c r="T9" s="1465"/>
      <c r="V9" s="1496"/>
      <c r="W9" s="1497"/>
    </row>
    <row r="10" spans="1:23" s="386" customFormat="1" ht="12.6" customHeight="1">
      <c r="B10" s="386" t="s">
        <v>619</v>
      </c>
      <c r="G10" s="1492">
        <f t="shared" si="0"/>
        <v>13770</v>
      </c>
      <c r="H10" s="1493"/>
      <c r="J10" s="1464"/>
      <c r="K10" s="1465"/>
      <c r="L10" s="806"/>
      <c r="M10" s="1464"/>
      <c r="N10" s="1465"/>
      <c r="P10" s="1492">
        <f>7870+5900</f>
        <v>13770</v>
      </c>
      <c r="Q10" s="1493"/>
      <c r="S10" s="1464"/>
      <c r="T10" s="1465"/>
      <c r="V10" s="1496"/>
      <c r="W10" s="1497"/>
    </row>
    <row r="11" spans="1:23" s="386" customFormat="1" ht="12.6" customHeight="1">
      <c r="B11" s="386" t="s">
        <v>620</v>
      </c>
      <c r="G11" s="1492">
        <f t="shared" si="0"/>
        <v>0</v>
      </c>
      <c r="H11" s="1493"/>
      <c r="J11" s="1464"/>
      <c r="K11" s="1465"/>
      <c r="L11" s="806"/>
      <c r="M11" s="1464"/>
      <c r="N11" s="1465"/>
      <c r="P11" s="1464"/>
      <c r="Q11" s="1465"/>
      <c r="S11" s="1464"/>
      <c r="T11" s="1465"/>
      <c r="V11" s="1496"/>
      <c r="W11" s="1497"/>
    </row>
    <row r="12" spans="1:23" s="386" customFormat="1" ht="12.6" customHeight="1">
      <c r="B12" s="386" t="s">
        <v>3281</v>
      </c>
      <c r="G12" s="1492">
        <f t="shared" si="0"/>
        <v>21000</v>
      </c>
      <c r="H12" s="1493"/>
      <c r="J12" s="1464"/>
      <c r="K12" s="1465"/>
      <c r="L12" s="806"/>
      <c r="M12" s="1464"/>
      <c r="N12" s="1465"/>
      <c r="P12" s="1464">
        <v>21000</v>
      </c>
      <c r="Q12" s="1465"/>
      <c r="S12" s="1464"/>
      <c r="T12" s="1465"/>
      <c r="V12" s="1496"/>
      <c r="W12" s="1497"/>
    </row>
    <row r="13" spans="1:23" s="386" customFormat="1" ht="12.6" customHeight="1">
      <c r="B13" s="386" t="s">
        <v>208</v>
      </c>
      <c r="G13" s="1492">
        <f t="shared" si="0"/>
        <v>0</v>
      </c>
      <c r="H13" s="1493"/>
      <c r="J13" s="1464"/>
      <c r="K13" s="1465"/>
      <c r="L13" s="806"/>
      <c r="M13" s="1464"/>
      <c r="N13" s="1465"/>
      <c r="P13" s="1464"/>
      <c r="Q13" s="1465"/>
      <c r="S13" s="1464"/>
      <c r="T13" s="1465"/>
      <c r="V13" s="1496"/>
      <c r="W13" s="1497"/>
    </row>
    <row r="14" spans="1:23" s="386" customFormat="1" ht="12.6" customHeight="1">
      <c r="A14" s="480" t="str">
        <f>IF(AND(G14&gt;0,OR(C14="",C14="&lt;Enter detailed description here; use Comments section if needed&gt;")),"X","")</f>
        <v/>
      </c>
      <c r="B14" s="386" t="s">
        <v>1045</v>
      </c>
      <c r="C14" s="1318" t="s">
        <v>4113</v>
      </c>
      <c r="D14" s="1318"/>
      <c r="E14" s="1318"/>
      <c r="F14" s="1319"/>
      <c r="G14" s="1492">
        <f t="shared" si="0"/>
        <v>5200</v>
      </c>
      <c r="H14" s="1493"/>
      <c r="J14" s="1464"/>
      <c r="K14" s="1465"/>
      <c r="L14" s="806"/>
      <c r="M14" s="1464"/>
      <c r="N14" s="1465"/>
      <c r="P14" s="1464">
        <f>3200+2000</f>
        <v>5200</v>
      </c>
      <c r="Q14" s="1465"/>
      <c r="S14" s="1464"/>
      <c r="T14" s="1465"/>
      <c r="U14" s="479" t="str">
        <f>IF(AND(G14&gt;0,OR(C14="",C14="&lt;Enter detailed description here; use Comments section if needed&gt;")),"NO DESCRIPTION PROVIDED - please enter detailed description in Other box at left; use Comments section below if needed.","")</f>
        <v/>
      </c>
      <c r="V14" s="1496"/>
      <c r="W14" s="1497"/>
    </row>
    <row r="15" spans="1:23" s="386" customFormat="1" ht="12.6" customHeight="1">
      <c r="A15" s="480" t="str">
        <f>IF(AND(G15&gt;0,OR(C15="",C15="&lt;Enter detailed description here; use Comments section if needed&gt;")),"X","")</f>
        <v/>
      </c>
      <c r="B15" s="386" t="s">
        <v>1045</v>
      </c>
      <c r="C15" s="1318" t="s">
        <v>3180</v>
      </c>
      <c r="D15" s="1318"/>
      <c r="E15" s="1318"/>
      <c r="F15" s="1319"/>
      <c r="G15" s="1492">
        <f t="shared" si="0"/>
        <v>0</v>
      </c>
      <c r="H15" s="1493"/>
      <c r="J15" s="1464"/>
      <c r="K15" s="1465"/>
      <c r="L15" s="806"/>
      <c r="M15" s="1464"/>
      <c r="N15" s="1465"/>
      <c r="P15" s="1464"/>
      <c r="Q15" s="1465"/>
      <c r="S15" s="1464"/>
      <c r="T15" s="1465"/>
      <c r="U15" s="479" t="str">
        <f>IF(AND(G15&gt;0,OR(C15="",C15="&lt;Enter detailed description here; use Comments section if needed&gt;")),"NO DESCRIPTION PROVIDED - please enter detailed description in Other box at left; use Comments section below if needed.","")</f>
        <v/>
      </c>
      <c r="V15" s="1496"/>
      <c r="W15" s="1497"/>
    </row>
    <row r="16" spans="1:23" s="386" customFormat="1" ht="12.6" customHeight="1" thickBot="1">
      <c r="A16" s="480" t="str">
        <f>IF(AND(G16&gt;0,OR(C16="",C16="&lt;Enter detailed description here; use Comments section if needed&gt;")),"X","")</f>
        <v/>
      </c>
      <c r="B16" s="386" t="s">
        <v>1045</v>
      </c>
      <c r="C16" s="1318" t="s">
        <v>3180</v>
      </c>
      <c r="D16" s="1318"/>
      <c r="E16" s="1318"/>
      <c r="F16" s="1319"/>
      <c r="G16" s="1498">
        <f t="shared" si="0"/>
        <v>0</v>
      </c>
      <c r="H16" s="1499"/>
      <c r="J16" s="1500"/>
      <c r="K16" s="1501"/>
      <c r="L16" s="806"/>
      <c r="M16" s="1464"/>
      <c r="N16" s="1465"/>
      <c r="P16" s="1464"/>
      <c r="Q16" s="1465"/>
      <c r="S16" s="1500"/>
      <c r="T16" s="1501"/>
      <c r="U16" s="479" t="str">
        <f>IF(AND(G16&gt;0,OR(C16="",C16="&lt;Enter detailed description here; use Comments section if needed&gt;")),"NO DESCRIPTION PROVIDED - please enter detailed description in Other box at left; use Comments section below if needed.","")</f>
        <v/>
      </c>
      <c r="V16" s="1496"/>
      <c r="W16" s="1497"/>
    </row>
    <row r="17" spans="2:23" s="386" customFormat="1" ht="12.6" customHeight="1" thickTop="1">
      <c r="F17" s="446" t="s">
        <v>209</v>
      </c>
      <c r="G17" s="944">
        <f>SUM(G8:H16)</f>
        <v>58470</v>
      </c>
      <c r="H17" s="948"/>
      <c r="J17" s="944">
        <f>SUM(J8:K16)</f>
        <v>0</v>
      </c>
      <c r="K17" s="945"/>
      <c r="L17" s="806"/>
      <c r="M17" s="944">
        <f>SUM(M8:N16)</f>
        <v>0</v>
      </c>
      <c r="N17" s="948"/>
      <c r="P17" s="944">
        <f>SUM(P8:Q16)</f>
        <v>58470</v>
      </c>
      <c r="Q17" s="948"/>
      <c r="S17" s="944">
        <f>SUM(S8:T16)</f>
        <v>0</v>
      </c>
      <c r="T17" s="948"/>
      <c r="V17" s="1502"/>
      <c r="W17" s="1503"/>
    </row>
    <row r="18" spans="2:23" s="386" customFormat="1" ht="13.15" customHeight="1">
      <c r="B18" s="389" t="s">
        <v>2915</v>
      </c>
      <c r="J18" s="445"/>
      <c r="K18" s="445"/>
      <c r="M18" s="445"/>
      <c r="N18" s="445"/>
      <c r="O18" s="447" t="str">
        <f>B18</f>
        <v>ACQUISITION</v>
      </c>
      <c r="P18" s="445"/>
      <c r="Q18" s="445"/>
      <c r="S18" s="445"/>
      <c r="T18" s="445"/>
      <c r="V18" s="386" t="str">
        <f>B18</f>
        <v>ACQUISITION</v>
      </c>
    </row>
    <row r="19" spans="2:23" s="386" customFormat="1" ht="12.6" customHeight="1">
      <c r="B19" s="386" t="s">
        <v>2916</v>
      </c>
      <c r="G19" s="1492">
        <f>S19</f>
        <v>153355.73000000001</v>
      </c>
      <c r="H19" s="1493"/>
      <c r="J19" s="448"/>
      <c r="K19" s="445"/>
      <c r="L19" s="448"/>
      <c r="M19" s="448"/>
      <c r="N19" s="445"/>
      <c r="P19" s="448"/>
      <c r="Q19" s="445"/>
      <c r="S19" s="1492">
        <f>149694+2461.73+1200</f>
        <v>153355.73000000001</v>
      </c>
      <c r="T19" s="1493"/>
      <c r="V19" s="1494"/>
      <c r="W19" s="1495"/>
    </row>
    <row r="20" spans="2:23" s="386" customFormat="1" ht="12.6" customHeight="1">
      <c r="B20" s="386" t="s">
        <v>1526</v>
      </c>
      <c r="G20" s="1492">
        <f t="shared" ref="G20:G21" si="1">SUM(J20:T20)</f>
        <v>0</v>
      </c>
      <c r="H20" s="1493"/>
      <c r="J20" s="448"/>
      <c r="K20" s="445"/>
      <c r="L20" s="448"/>
      <c r="M20" s="448"/>
      <c r="N20" s="445"/>
      <c r="P20" s="448"/>
      <c r="Q20" s="445"/>
      <c r="S20" s="1464"/>
      <c r="T20" s="1465"/>
      <c r="V20" s="1496"/>
      <c r="W20" s="1497"/>
    </row>
    <row r="21" spans="2:23" s="386" customFormat="1" ht="12.6" customHeight="1">
      <c r="B21" s="386" t="s">
        <v>585</v>
      </c>
      <c r="G21" s="1492">
        <f t="shared" si="1"/>
        <v>10000</v>
      </c>
      <c r="H21" s="1493"/>
      <c r="J21" s="448"/>
      <c r="K21" s="445"/>
      <c r="L21" s="448"/>
      <c r="M21" s="1492">
        <v>10000</v>
      </c>
      <c r="N21" s="1493"/>
      <c r="P21" s="448"/>
      <c r="Q21" s="445"/>
      <c r="S21" s="1464"/>
      <c r="T21" s="1465"/>
      <c r="V21" s="1496"/>
      <c r="W21" s="1497"/>
    </row>
    <row r="22" spans="2:23" s="386" customFormat="1" ht="12.6" customHeight="1" thickBot="1">
      <c r="B22" s="386" t="s">
        <v>553</v>
      </c>
      <c r="G22" s="1492">
        <f>SUM(J22:T22)</f>
        <v>1395663</v>
      </c>
      <c r="H22" s="1493"/>
      <c r="J22" s="448"/>
      <c r="K22" s="445"/>
      <c r="L22" s="448"/>
      <c r="M22" s="1498">
        <f>1353029+12721+938+22475+6500</f>
        <v>1395663</v>
      </c>
      <c r="N22" s="1499"/>
      <c r="P22" s="448"/>
      <c r="Q22" s="445"/>
      <c r="S22" s="1464"/>
      <c r="T22" s="1465"/>
      <c r="V22" s="1496"/>
      <c r="W22" s="1497"/>
    </row>
    <row r="23" spans="2:23" s="386" customFormat="1" ht="12.6" customHeight="1" thickTop="1">
      <c r="F23" s="446" t="s">
        <v>209</v>
      </c>
      <c r="G23" s="944">
        <f>SUM(G19:H22)</f>
        <v>1559018.73</v>
      </c>
      <c r="H23" s="948"/>
      <c r="J23" s="448"/>
      <c r="K23" s="445"/>
      <c r="L23" s="448"/>
      <c r="M23" s="944">
        <f>SUM(M21:N22)</f>
        <v>1405663</v>
      </c>
      <c r="N23" s="948"/>
      <c r="P23" s="448"/>
      <c r="Q23" s="445"/>
      <c r="S23" s="944">
        <f>SUM(S19:T22)</f>
        <v>153355.73000000001</v>
      </c>
      <c r="T23" s="948"/>
      <c r="V23" s="1502"/>
      <c r="W23" s="1503"/>
    </row>
    <row r="24" spans="2:23" s="386" customFormat="1" ht="13.15" customHeight="1">
      <c r="B24" s="389" t="s">
        <v>1527</v>
      </c>
      <c r="J24" s="448"/>
      <c r="K24" s="445"/>
      <c r="M24" s="448"/>
      <c r="N24" s="445"/>
      <c r="O24" s="447" t="str">
        <f>B24</f>
        <v>LAND IMPROVEMENTS</v>
      </c>
      <c r="P24" s="448"/>
      <c r="Q24" s="445"/>
      <c r="S24" s="448"/>
      <c r="T24" s="445"/>
      <c r="V24" s="386" t="str">
        <f>B24</f>
        <v>LAND IMPROVEMENTS</v>
      </c>
    </row>
    <row r="25" spans="2:23" s="386" customFormat="1" ht="12.6" customHeight="1">
      <c r="B25" s="386" t="s">
        <v>1528</v>
      </c>
      <c r="G25" s="1492">
        <f t="shared" ref="G25:G26" si="2">SUM(J25:T25)</f>
        <v>343700</v>
      </c>
      <c r="H25" s="1493"/>
      <c r="J25" s="1500">
        <v>27700</v>
      </c>
      <c r="K25" s="1501"/>
      <c r="L25" s="806"/>
      <c r="M25" s="1500"/>
      <c r="N25" s="1501"/>
      <c r="P25" s="1504">
        <f>397934-81900-34</f>
        <v>316000</v>
      </c>
      <c r="Q25" s="1505"/>
      <c r="S25" s="1464"/>
      <c r="T25" s="1465"/>
      <c r="V25" s="1494"/>
      <c r="W25" s="1495"/>
    </row>
    <row r="26" spans="2:23" s="386" customFormat="1" ht="12.6" customHeight="1" thickBot="1">
      <c r="B26" s="386" t="s">
        <v>1529</v>
      </c>
      <c r="G26" s="1492">
        <f t="shared" si="2"/>
        <v>0</v>
      </c>
      <c r="H26" s="1493"/>
      <c r="J26" s="1500"/>
      <c r="K26" s="1501"/>
      <c r="L26" s="449"/>
      <c r="M26" s="946"/>
      <c r="N26" s="946"/>
      <c r="P26" s="946"/>
      <c r="Q26" s="946"/>
      <c r="S26" s="1464"/>
      <c r="T26" s="1465"/>
      <c r="V26" s="1496"/>
      <c r="W26" s="1497"/>
    </row>
    <row r="27" spans="2:23" s="386" customFormat="1" ht="12.6" customHeight="1" thickTop="1">
      <c r="F27" s="446" t="s">
        <v>209</v>
      </c>
      <c r="G27" s="944">
        <f>SUM(G25:H26)</f>
        <v>343700</v>
      </c>
      <c r="H27" s="948"/>
      <c r="J27" s="944">
        <f>SUM(J25:K26)</f>
        <v>27700</v>
      </c>
      <c r="K27" s="948"/>
      <c r="L27" s="448"/>
      <c r="M27" s="944">
        <f>M25</f>
        <v>0</v>
      </c>
      <c r="N27" s="948"/>
      <c r="P27" s="944">
        <f>P25</f>
        <v>316000</v>
      </c>
      <c r="Q27" s="948"/>
      <c r="S27" s="944">
        <f>SUM(S25:T26)</f>
        <v>0</v>
      </c>
      <c r="T27" s="948"/>
      <c r="V27" s="1502"/>
      <c r="W27" s="1503"/>
    </row>
    <row r="28" spans="2:23" s="386" customFormat="1" ht="13.15" customHeight="1">
      <c r="B28" s="389" t="s">
        <v>1530</v>
      </c>
      <c r="J28" s="448"/>
      <c r="K28" s="445"/>
      <c r="M28" s="448"/>
      <c r="N28" s="445"/>
      <c r="O28" s="447" t="str">
        <f>B28</f>
        <v>STRUCTURES</v>
      </c>
      <c r="P28" s="448"/>
      <c r="Q28" s="445"/>
      <c r="S28" s="448"/>
      <c r="T28" s="445"/>
      <c r="V28" s="386" t="str">
        <f>B28</f>
        <v>STRUCTURES</v>
      </c>
    </row>
    <row r="29" spans="2:23" s="386" customFormat="1" ht="12.6" customHeight="1">
      <c r="B29" s="386" t="s">
        <v>1531</v>
      </c>
      <c r="G29" s="1492">
        <f>J29</f>
        <v>78475</v>
      </c>
      <c r="H29" s="1493"/>
      <c r="J29" s="1464">
        <v>78475</v>
      </c>
      <c r="K29" s="1465"/>
      <c r="L29" s="806"/>
      <c r="M29" s="1464"/>
      <c r="N29" s="1465"/>
      <c r="P29" s="1464"/>
      <c r="Q29" s="1465"/>
      <c r="S29" s="1464"/>
      <c r="T29" s="1465"/>
      <c r="V29" s="1494"/>
      <c r="W29" s="1495"/>
    </row>
    <row r="30" spans="2:23" s="386" customFormat="1" ht="12.6" customHeight="1">
      <c r="B30" s="386" t="s">
        <v>1532</v>
      </c>
      <c r="G30" s="1492">
        <f>P30</f>
        <v>2340063</v>
      </c>
      <c r="H30" s="1493"/>
      <c r="J30" s="1464"/>
      <c r="K30" s="1465"/>
      <c r="L30" s="806"/>
      <c r="M30" s="1464"/>
      <c r="N30" s="1465"/>
      <c r="P30" s="1492">
        <f>2182366+112200+81934-35362-1075</f>
        <v>2340063</v>
      </c>
      <c r="Q30" s="1493"/>
      <c r="S30" s="1464"/>
      <c r="T30" s="1465"/>
      <c r="V30" s="1496"/>
      <c r="W30" s="1497"/>
    </row>
    <row r="31" spans="2:23" ht="12.6" customHeight="1" thickBot="1">
      <c r="B31" s="386" t="s">
        <v>1533</v>
      </c>
      <c r="G31" s="1492">
        <f>J31</f>
        <v>145762</v>
      </c>
      <c r="H31" s="1493"/>
      <c r="I31" s="386"/>
      <c r="J31" s="1492">
        <v>145762</v>
      </c>
      <c r="K31" s="1493"/>
      <c r="L31" s="806"/>
      <c r="M31" s="1464"/>
      <c r="N31" s="1465"/>
      <c r="O31" s="386"/>
      <c r="P31" s="1464"/>
      <c r="Q31" s="1465"/>
      <c r="R31" s="386"/>
      <c r="S31" s="1464"/>
      <c r="T31" s="1465"/>
      <c r="V31" s="1496"/>
      <c r="W31" s="1497"/>
    </row>
    <row r="32" spans="2:23" s="386" customFormat="1" ht="12.6" customHeight="1" thickTop="1">
      <c r="C32" s="1005"/>
      <c r="D32" s="1005"/>
      <c r="E32" s="808"/>
      <c r="F32" s="446" t="s">
        <v>209</v>
      </c>
      <c r="G32" s="944">
        <f>SUM(G29:H31)</f>
        <v>2564300</v>
      </c>
      <c r="H32" s="948"/>
      <c r="J32" s="944">
        <f>SUM(J29:K31)</f>
        <v>224237</v>
      </c>
      <c r="K32" s="948"/>
      <c r="L32" s="806"/>
      <c r="M32" s="944">
        <f>SUM(M29:N31)</f>
        <v>0</v>
      </c>
      <c r="N32" s="948"/>
      <c r="P32" s="944">
        <f>SUM(P29:Q31)</f>
        <v>2340063</v>
      </c>
      <c r="Q32" s="948"/>
      <c r="S32" s="944">
        <f>SUM(S29:T31)</f>
        <v>0</v>
      </c>
      <c r="T32" s="948"/>
      <c r="V32" s="1502"/>
      <c r="W32" s="1503"/>
    </row>
    <row r="33" spans="1:23" s="386" customFormat="1" ht="13.15" customHeight="1">
      <c r="B33" s="389" t="s">
        <v>3075</v>
      </c>
      <c r="E33" s="721">
        <f>SUM(E34:E36)</f>
        <v>0.14000000000000001</v>
      </c>
      <c r="F33" s="796"/>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3076</v>
      </c>
      <c r="E34" s="450">
        <f>'DCA Underwriting Assumptions'!$R$36</f>
        <v>0.06</v>
      </c>
      <c r="F34" s="521">
        <f>E34*($G$27+$G$32)</f>
        <v>174480</v>
      </c>
      <c r="G34" s="1492">
        <f t="shared" ref="G34:G36" si="3">SUM(J34:T34)</f>
        <v>174480</v>
      </c>
      <c r="H34" s="1493"/>
      <c r="I34" s="406"/>
      <c r="J34" s="1464">
        <f>6%*SUM(J32,J27)</f>
        <v>15116.22</v>
      </c>
      <c r="K34" s="1465"/>
      <c r="L34" s="806"/>
      <c r="M34" s="1464"/>
      <c r="N34" s="1465"/>
      <c r="P34" s="1464">
        <f>6%*SUM(P32,P27)</f>
        <v>159363.78</v>
      </c>
      <c r="Q34" s="1465"/>
      <c r="S34" s="1464"/>
      <c r="T34" s="1465"/>
      <c r="V34" s="1494"/>
      <c r="W34" s="1495"/>
    </row>
    <row r="35" spans="1:23" s="386" customFormat="1" ht="12.6" customHeight="1">
      <c r="B35" s="386" t="s">
        <v>3749</v>
      </c>
      <c r="E35" s="520">
        <f>'DCA Underwriting Assumptions'!$R$37</f>
        <v>0.02</v>
      </c>
      <c r="F35" s="521">
        <f>E35*($G$27+$G$32)</f>
        <v>58160</v>
      </c>
      <c r="G35" s="1492">
        <f t="shared" si="3"/>
        <v>58160</v>
      </c>
      <c r="H35" s="1493"/>
      <c r="I35" s="406"/>
      <c r="J35" s="1464">
        <f>2%*SUM(J32,J27)</f>
        <v>5038.74</v>
      </c>
      <c r="K35" s="1465"/>
      <c r="L35" s="806"/>
      <c r="M35" s="1464"/>
      <c r="N35" s="1465"/>
      <c r="P35" s="1464">
        <f>2%*SUM(P32,P27)</f>
        <v>53121.26</v>
      </c>
      <c r="Q35" s="1465"/>
      <c r="S35" s="1464"/>
      <c r="T35" s="1465"/>
      <c r="V35" s="1496"/>
      <c r="W35" s="1497"/>
    </row>
    <row r="36" spans="1:23" s="386" customFormat="1" ht="12.6" customHeight="1" thickBot="1">
      <c r="B36" s="386" t="s">
        <v>3750</v>
      </c>
      <c r="E36" s="520">
        <f>'DCA Underwriting Assumptions'!$R$38</f>
        <v>0.06</v>
      </c>
      <c r="F36" s="521">
        <f>E36*($G$27+$G$32)</f>
        <v>174480</v>
      </c>
      <c r="G36" s="1492">
        <f t="shared" si="3"/>
        <v>174480</v>
      </c>
      <c r="H36" s="1493"/>
      <c r="I36" s="406"/>
      <c r="J36" s="1464">
        <f>6%*SUM(J27,J32)</f>
        <v>15116.22</v>
      </c>
      <c r="K36" s="1465"/>
      <c r="L36" s="806"/>
      <c r="M36" s="1464"/>
      <c r="N36" s="1465"/>
      <c r="P36" s="1464">
        <f>6%*SUM(P27,P32)</f>
        <v>159363.78</v>
      </c>
      <c r="Q36" s="1465"/>
      <c r="S36" s="1464"/>
      <c r="T36" s="1465"/>
      <c r="V36" s="1496"/>
      <c r="W36" s="1497"/>
    </row>
    <row r="37" spans="1:23" s="386" customFormat="1" ht="12.6" customHeight="1" thickTop="1">
      <c r="B37" s="386" t="s">
        <v>2752</v>
      </c>
      <c r="D37" s="453"/>
      <c r="E37" s="796"/>
      <c r="F37" s="522" t="s">
        <v>209</v>
      </c>
      <c r="G37" s="944">
        <f>SUM(G34:H36)</f>
        <v>407120</v>
      </c>
      <c r="H37" s="948"/>
      <c r="J37" s="944">
        <f>SUM(J34:K36)</f>
        <v>35271.18</v>
      </c>
      <c r="K37" s="948"/>
      <c r="L37" s="448"/>
      <c r="M37" s="944">
        <f>SUM(M34:N36)</f>
        <v>0</v>
      </c>
      <c r="N37" s="948"/>
      <c r="P37" s="944">
        <f>SUM(P34:Q36)</f>
        <v>371848.82</v>
      </c>
      <c r="Q37" s="948"/>
      <c r="S37" s="944">
        <f>SUM(S34:T36)</f>
        <v>0</v>
      </c>
      <c r="T37" s="948"/>
      <c r="V37" s="1502"/>
      <c r="W37" s="1503"/>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15" customHeight="1">
      <c r="B39" s="389" t="s">
        <v>3755</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1045</v>
      </c>
      <c r="C40" s="1318" t="s">
        <v>3180</v>
      </c>
      <c r="D40" s="1506"/>
      <c r="E40" s="1506"/>
      <c r="F40" s="1507"/>
      <c r="G40" s="1492">
        <f t="shared" ref="G40" si="4">SUM(J40:T40)</f>
        <v>0</v>
      </c>
      <c r="H40" s="1493"/>
      <c r="I40" s="386"/>
      <c r="J40" s="1464"/>
      <c r="K40" s="1465"/>
      <c r="L40" s="806"/>
      <c r="M40" s="1464"/>
      <c r="N40" s="1465"/>
      <c r="O40" s="386"/>
      <c r="P40" s="1464"/>
      <c r="Q40" s="1465"/>
      <c r="R40" s="386"/>
      <c r="S40" s="1464"/>
      <c r="T40" s="1465"/>
      <c r="V40" s="1494"/>
      <c r="W40" s="1495"/>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496"/>
      <c r="W41" s="1497"/>
    </row>
    <row r="42" spans="1:23" s="386" customFormat="1" ht="12.6" customHeight="1">
      <c r="B42" s="454" t="s">
        <v>3764</v>
      </c>
      <c r="C42" s="455"/>
      <c r="D42" s="978" t="s">
        <v>3763</v>
      </c>
      <c r="E42" s="456">
        <f>B43/'Part VI-Revenues &amp; Expenses'!$M$60</f>
        <v>69065</v>
      </c>
      <c r="F42" s="688" t="s">
        <v>3728</v>
      </c>
      <c r="G42" s="973">
        <f>B43/'Part VI-Revenues &amp; Expenses'!$M$62</f>
        <v>67655.510204081627</v>
      </c>
      <c r="H42" s="973"/>
      <c r="I42" s="690"/>
      <c r="J42" s="457" t="s">
        <v>1839</v>
      </c>
      <c r="V42" s="1496"/>
      <c r="W42" s="1497"/>
    </row>
    <row r="43" spans="1:23" s="386" customFormat="1" ht="12.6" customHeight="1">
      <c r="B43" s="965">
        <f>G27+G32+G37+G40</f>
        <v>3315120</v>
      </c>
      <c r="C43" s="966"/>
      <c r="D43" s="979"/>
      <c r="E43" s="809">
        <f>B43/'Part VI-Revenues &amp; Expenses'!$M$98</f>
        <v>78.991612657262678</v>
      </c>
      <c r="F43" s="689" t="s">
        <v>3729</v>
      </c>
      <c r="G43" s="977">
        <f>B43/'Part VI-Revenues &amp; Expenses'!$M$100</f>
        <v>77.171190465105454</v>
      </c>
      <c r="H43" s="977"/>
      <c r="I43" s="801"/>
      <c r="J43" s="458" t="s">
        <v>1150</v>
      </c>
      <c r="K43" s="445"/>
      <c r="L43" s="459"/>
      <c r="M43" s="445"/>
      <c r="N43" s="806"/>
      <c r="P43" s="445"/>
      <c r="Q43" s="806"/>
      <c r="S43" s="445"/>
      <c r="T43" s="806"/>
      <c r="V43" s="1502"/>
      <c r="W43" s="1503"/>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15" customHeight="1">
      <c r="B45" s="389" t="s">
        <v>1534</v>
      </c>
      <c r="J45" s="448"/>
      <c r="K45" s="445"/>
      <c r="M45" s="448"/>
      <c r="N45" s="445"/>
      <c r="O45" s="447" t="str">
        <f>B45</f>
        <v>CONSTRUCTION CONTINGENCY</v>
      </c>
      <c r="P45" s="448"/>
      <c r="Q45" s="445"/>
      <c r="S45" s="448"/>
      <c r="T45" s="445"/>
      <c r="V45" s="386" t="str">
        <f>B45</f>
        <v>CONSTRUCTION CONTINGENCY</v>
      </c>
    </row>
    <row r="46" spans="1:23" ht="12.6" customHeight="1">
      <c r="B46" s="386" t="s">
        <v>2671</v>
      </c>
      <c r="F46" s="526">
        <f>G46/$B$43</f>
        <v>7.0000000000000007E-2</v>
      </c>
      <c r="G46" s="1492">
        <f t="shared" ref="G46" si="5">SUM(J46:T46)</f>
        <v>232058.40000000002</v>
      </c>
      <c r="H46" s="1493"/>
      <c r="I46" s="386"/>
      <c r="J46" s="1508">
        <f>7%*SUM(J37,J32,J27)</f>
        <v>20104.572600000003</v>
      </c>
      <c r="K46" s="1465"/>
      <c r="L46" s="806"/>
      <c r="M46" s="1464"/>
      <c r="N46" s="1465"/>
      <c r="O46" s="386"/>
      <c r="P46" s="1508">
        <f>7%*SUM(P37,P32,P27)</f>
        <v>211953.82740000001</v>
      </c>
      <c r="Q46" s="1465"/>
      <c r="R46" s="386"/>
      <c r="S46" s="1464"/>
      <c r="T46" s="1465"/>
      <c r="V46" s="1509"/>
      <c r="W46" s="1510"/>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795</v>
      </c>
      <c r="B49" s="566" t="s">
        <v>1295</v>
      </c>
      <c r="H49" s="796"/>
      <c r="I49" s="796"/>
      <c r="J49" s="950" t="s">
        <v>299</v>
      </c>
      <c r="K49" s="951"/>
      <c r="L49" s="445"/>
      <c r="M49" s="969" t="s">
        <v>622</v>
      </c>
      <c r="N49" s="970"/>
      <c r="P49" s="950" t="s">
        <v>300</v>
      </c>
      <c r="Q49" s="951"/>
      <c r="S49" s="950" t="s">
        <v>301</v>
      </c>
      <c r="T49" s="951"/>
      <c r="V49" s="567" t="str">
        <f>B49</f>
        <v>DEVELOPMENT BUDGET</v>
      </c>
    </row>
    <row r="50" spans="1:23" s="386" customFormat="1" ht="18.75" customHeight="1" thickBot="1">
      <c r="G50" s="963" t="s">
        <v>107</v>
      </c>
      <c r="H50" s="964"/>
      <c r="J50" s="952"/>
      <c r="K50" s="953"/>
      <c r="L50" s="445"/>
      <c r="M50" s="971"/>
      <c r="N50" s="972"/>
      <c r="P50" s="952"/>
      <c r="Q50" s="953"/>
      <c r="S50" s="952"/>
      <c r="T50" s="953"/>
      <c r="V50" s="947" t="s">
        <v>3547</v>
      </c>
      <c r="W50" s="947"/>
    </row>
    <row r="51" spans="1:23" s="386" customFormat="1" ht="12" customHeight="1">
      <c r="B51" s="389" t="s">
        <v>914</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3078</v>
      </c>
      <c r="G52" s="1492">
        <f t="shared" ref="G52:G62" si="6">SUM(J52:T52)</f>
        <v>35000</v>
      </c>
      <c r="H52" s="1493"/>
      <c r="J52" s="1464">
        <f>3500000*0.01/3*0.11</f>
        <v>1283.3333333333333</v>
      </c>
      <c r="K52" s="1465"/>
      <c r="L52" s="806"/>
      <c r="M52" s="1464"/>
      <c r="N52" s="1465"/>
      <c r="P52" s="1492">
        <f>3500000*0.01/3*0.89</f>
        <v>10383.333333333332</v>
      </c>
      <c r="Q52" s="1493"/>
      <c r="S52" s="1464">
        <f>3500000*0.01/3*2</f>
        <v>23333.333333333332</v>
      </c>
      <c r="T52" s="1465"/>
      <c r="V52" s="1494"/>
      <c r="W52" s="1495"/>
    </row>
    <row r="53" spans="1:23" s="386" customFormat="1" ht="12" customHeight="1">
      <c r="B53" s="386" t="s">
        <v>3079</v>
      </c>
      <c r="G53" s="1492">
        <f t="shared" si="6"/>
        <v>160000</v>
      </c>
      <c r="H53" s="1493"/>
      <c r="J53" s="1464">
        <f>160000/3*0.11</f>
        <v>5866.666666666667</v>
      </c>
      <c r="K53" s="1465"/>
      <c r="L53" s="806"/>
      <c r="M53" s="1464"/>
      <c r="N53" s="1465"/>
      <c r="P53" s="1492">
        <f>160000/3*0.89</f>
        <v>47466.666666666672</v>
      </c>
      <c r="Q53" s="1493"/>
      <c r="S53" s="1492">
        <f>160000/3*2</f>
        <v>106666.66666666667</v>
      </c>
      <c r="T53" s="1493"/>
      <c r="V53" s="1496"/>
      <c r="W53" s="1497"/>
    </row>
    <row r="54" spans="1:23" s="386" customFormat="1" ht="12" customHeight="1">
      <c r="B54" s="386" t="s">
        <v>3080</v>
      </c>
      <c r="G54" s="1492">
        <f t="shared" si="6"/>
        <v>12500</v>
      </c>
      <c r="H54" s="1493"/>
      <c r="J54" s="1464"/>
      <c r="K54" s="1465"/>
      <c r="L54" s="806"/>
      <c r="M54" s="1464"/>
      <c r="N54" s="1465"/>
      <c r="P54" s="1492">
        <v>12500</v>
      </c>
      <c r="Q54" s="1493"/>
      <c r="S54" s="1464"/>
      <c r="T54" s="1465"/>
      <c r="V54" s="1496"/>
      <c r="W54" s="1497"/>
    </row>
    <row r="55" spans="1:23" s="386" customFormat="1" ht="12" customHeight="1">
      <c r="B55" s="386" t="s">
        <v>3579</v>
      </c>
      <c r="G55" s="1492">
        <f t="shared" si="6"/>
        <v>18000</v>
      </c>
      <c r="H55" s="1493"/>
      <c r="J55" s="1464"/>
      <c r="K55" s="1465"/>
      <c r="L55" s="806"/>
      <c r="M55" s="1464"/>
      <c r="N55" s="1465"/>
      <c r="P55" s="1464">
        <f>1500*'Part III-Sources of Funds'!P15</f>
        <v>18000</v>
      </c>
      <c r="Q55" s="1465"/>
      <c r="S55" s="1464"/>
      <c r="T55" s="1465"/>
      <c r="V55" s="1496"/>
      <c r="W55" s="1497"/>
    </row>
    <row r="56" spans="1:23" s="386" customFormat="1" ht="12" customHeight="1">
      <c r="B56" s="386" t="s">
        <v>915</v>
      </c>
      <c r="G56" s="1492">
        <f t="shared" si="6"/>
        <v>0</v>
      </c>
      <c r="H56" s="1493"/>
      <c r="J56" s="1464"/>
      <c r="K56" s="1465"/>
      <c r="L56" s="806"/>
      <c r="M56" s="1464"/>
      <c r="N56" s="1465"/>
      <c r="P56" s="1464"/>
      <c r="Q56" s="1465"/>
      <c r="S56" s="1464"/>
      <c r="T56" s="1465"/>
      <c r="V56" s="1496"/>
      <c r="W56" s="1497"/>
    </row>
    <row r="57" spans="1:23" s="386" customFormat="1" ht="12" customHeight="1">
      <c r="B57" s="386" t="s">
        <v>3081</v>
      </c>
      <c r="G57" s="1492">
        <f t="shared" si="6"/>
        <v>0</v>
      </c>
      <c r="H57" s="1493"/>
      <c r="J57" s="1464"/>
      <c r="K57" s="1465"/>
      <c r="L57" s="806"/>
      <c r="M57" s="1464"/>
      <c r="N57" s="1465"/>
      <c r="P57" s="1464"/>
      <c r="Q57" s="1465"/>
      <c r="S57" s="1464"/>
      <c r="T57" s="1465"/>
      <c r="V57" s="1496"/>
      <c r="W57" s="1497"/>
    </row>
    <row r="58" spans="1:23" s="386" customFormat="1" ht="12" customHeight="1">
      <c r="B58" s="386" t="s">
        <v>1700</v>
      </c>
      <c r="G58" s="1492">
        <f t="shared" si="6"/>
        <v>0</v>
      </c>
      <c r="H58" s="1493"/>
      <c r="J58" s="1464"/>
      <c r="K58" s="1465"/>
      <c r="L58" s="806"/>
      <c r="M58" s="1464"/>
      <c r="N58" s="1465"/>
      <c r="P58" s="1464"/>
      <c r="Q58" s="1465"/>
      <c r="S58" s="1464"/>
      <c r="T58" s="1465"/>
      <c r="V58" s="1496"/>
      <c r="W58" s="1497"/>
    </row>
    <row r="59" spans="1:23" s="386" customFormat="1" ht="12" customHeight="1">
      <c r="B59" s="386" t="s">
        <v>309</v>
      </c>
      <c r="G59" s="1492">
        <f t="shared" si="6"/>
        <v>0</v>
      </c>
      <c r="H59" s="1493"/>
      <c r="J59" s="1464"/>
      <c r="K59" s="1465"/>
      <c r="L59" s="806"/>
      <c r="M59" s="1464"/>
      <c r="N59" s="1465"/>
      <c r="P59" s="1464"/>
      <c r="Q59" s="1465"/>
      <c r="S59" s="1464"/>
      <c r="T59" s="1465"/>
      <c r="V59" s="1496"/>
      <c r="W59" s="1497"/>
    </row>
    <row r="60" spans="1:23" s="386" customFormat="1" ht="12" customHeight="1">
      <c r="B60" s="452" t="s">
        <v>1565</v>
      </c>
      <c r="D60" s="450"/>
      <c r="E60" s="450"/>
      <c r="F60" s="451"/>
      <c r="G60" s="1492">
        <f t="shared" si="6"/>
        <v>0</v>
      </c>
      <c r="H60" s="1493"/>
      <c r="I60" s="406"/>
      <c r="J60" s="1464"/>
      <c r="K60" s="1465"/>
      <c r="L60" s="806"/>
      <c r="M60" s="1464"/>
      <c r="N60" s="1465"/>
      <c r="P60" s="1464"/>
      <c r="Q60" s="1465"/>
      <c r="S60" s="1464"/>
      <c r="T60" s="1465"/>
      <c r="V60" s="1496"/>
      <c r="W60" s="1497"/>
    </row>
    <row r="61" spans="1:23" s="386" customFormat="1" ht="12" customHeight="1">
      <c r="A61" s="480" t="str">
        <f>IF(AND(G61&gt;0,OR(C61="",C61="&lt;Enter detailed description here; use Comments section if needed&gt;")),"X","")</f>
        <v/>
      </c>
      <c r="B61" s="386" t="s">
        <v>1045</v>
      </c>
      <c r="C61" s="1318" t="s">
        <v>3180</v>
      </c>
      <c r="D61" s="1318"/>
      <c r="E61" s="1318"/>
      <c r="F61" s="1319"/>
      <c r="G61" s="1492">
        <f t="shared" si="6"/>
        <v>0</v>
      </c>
      <c r="H61" s="1493"/>
      <c r="J61" s="1464"/>
      <c r="K61" s="1465"/>
      <c r="L61" s="806"/>
      <c r="M61" s="1464"/>
      <c r="N61" s="1465"/>
      <c r="P61" s="1464"/>
      <c r="Q61" s="1465"/>
      <c r="S61" s="1464"/>
      <c r="T61" s="1465"/>
      <c r="U61" s="479" t="str">
        <f>IF(AND(G61&gt;0,OR(C61="",C61="&lt;Enter detailed description here; use Comments section if needed&gt;")),"NO DESCRIPTION PROVIDED - please enter detailed description in Other box at left; use Comments section below if needed.","")</f>
        <v/>
      </c>
      <c r="V61" s="1496"/>
      <c r="W61" s="1497"/>
    </row>
    <row r="62" spans="1:23" s="386" customFormat="1" ht="12" customHeight="1" thickBot="1">
      <c r="A62" s="480" t="str">
        <f>IF(AND(G62&gt;0,OR(C62="",C62="&lt;Enter detailed description here; use Comments section if needed&gt;")),"X","")</f>
        <v/>
      </c>
      <c r="B62" s="386" t="s">
        <v>1045</v>
      </c>
      <c r="C62" s="1318" t="s">
        <v>3180</v>
      </c>
      <c r="D62" s="1318"/>
      <c r="E62" s="1318"/>
      <c r="F62" s="1319"/>
      <c r="G62" s="1492">
        <f t="shared" si="6"/>
        <v>0</v>
      </c>
      <c r="H62" s="1493"/>
      <c r="J62" s="1464"/>
      <c r="K62" s="1465"/>
      <c r="L62" s="806"/>
      <c r="M62" s="1464"/>
      <c r="N62" s="1465"/>
      <c r="P62" s="1464"/>
      <c r="Q62" s="1465"/>
      <c r="S62" s="1464"/>
      <c r="T62" s="1465"/>
      <c r="U62" s="479" t="str">
        <f>IF(AND(G62&gt;0,OR(C62="",C62="&lt;Enter detailed description here; use Comments section if needed&gt;")),"NO DESCRIPTION PROVIDED - please enter detailed description in Other box at left; use Comments section below if needed.","")</f>
        <v/>
      </c>
      <c r="V62" s="1496"/>
      <c r="W62" s="1497"/>
    </row>
    <row r="63" spans="1:23" s="386" customFormat="1" ht="12" customHeight="1" thickTop="1">
      <c r="F63" s="446" t="s">
        <v>209</v>
      </c>
      <c r="G63" s="944">
        <f>SUM(G52:H62)</f>
        <v>225500</v>
      </c>
      <c r="H63" s="948"/>
      <c r="J63" s="944">
        <f>SUM(J52:K62)</f>
        <v>7150</v>
      </c>
      <c r="K63" s="948"/>
      <c r="L63" s="448"/>
      <c r="M63" s="944">
        <f>SUM(M52:N62)</f>
        <v>0</v>
      </c>
      <c r="N63" s="948"/>
      <c r="P63" s="944">
        <f>SUM(P52:Q62)</f>
        <v>88350</v>
      </c>
      <c r="Q63" s="948"/>
      <c r="S63" s="944">
        <f>SUM(S52:T62)</f>
        <v>130000</v>
      </c>
      <c r="T63" s="948"/>
      <c r="V63" s="1502"/>
      <c r="W63" s="1503"/>
    </row>
    <row r="64" spans="1:23" s="386" customFormat="1" ht="12" customHeight="1">
      <c r="B64" s="389" t="s">
        <v>608</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609</v>
      </c>
      <c r="G65" s="1492">
        <v>99600</v>
      </c>
      <c r="H65" s="1493"/>
      <c r="J65" s="1464"/>
      <c r="K65" s="1465"/>
      <c r="L65" s="806"/>
      <c r="M65" s="1464"/>
      <c r="N65" s="1465"/>
      <c r="P65" s="1492">
        <v>99600</v>
      </c>
      <c r="Q65" s="1493"/>
      <c r="S65" s="1464"/>
      <c r="T65" s="1465"/>
      <c r="V65" s="1494"/>
      <c r="W65" s="1495"/>
    </row>
    <row r="66" spans="1:23" s="386" customFormat="1" ht="12" customHeight="1">
      <c r="B66" s="386" t="s">
        <v>610</v>
      </c>
      <c r="G66" s="1492">
        <v>33200</v>
      </c>
      <c r="H66" s="1493"/>
      <c r="J66" s="1464"/>
      <c r="K66" s="1465"/>
      <c r="L66" s="806"/>
      <c r="M66" s="1464"/>
      <c r="N66" s="1465"/>
      <c r="P66" s="1492">
        <v>33200</v>
      </c>
      <c r="Q66" s="1493"/>
      <c r="S66" s="1464"/>
      <c r="T66" s="1465"/>
      <c r="V66" s="1496"/>
      <c r="W66" s="1497"/>
    </row>
    <row r="67" spans="1:23" s="386" customFormat="1" ht="12" customHeight="1">
      <c r="B67" s="386" t="s">
        <v>1536</v>
      </c>
      <c r="F67" s="386" t="s">
        <v>3950</v>
      </c>
      <c r="G67" s="1492">
        <f t="shared" ref="G67:G75" si="7">SUM(J67:T67)</f>
        <v>19650</v>
      </c>
      <c r="H67" s="1493"/>
      <c r="J67" s="1464"/>
      <c r="K67" s="1465"/>
      <c r="L67" s="806"/>
      <c r="M67" s="1464"/>
      <c r="N67" s="1465"/>
      <c r="P67" s="1492">
        <f>350*'Part VI-Revenues &amp; Expenses'!E48+2500</f>
        <v>19650</v>
      </c>
      <c r="Q67" s="1493"/>
      <c r="S67" s="1464"/>
      <c r="T67" s="1465"/>
      <c r="V67" s="1496"/>
      <c r="W67" s="1497"/>
    </row>
    <row r="68" spans="1:23" s="386" customFormat="1" ht="12" customHeight="1">
      <c r="B68" s="386" t="s">
        <v>1537</v>
      </c>
      <c r="G68" s="1492">
        <v>3675</v>
      </c>
      <c r="H68" s="1493"/>
      <c r="J68" s="1464"/>
      <c r="K68" s="1465"/>
      <c r="L68" s="806"/>
      <c r="M68" s="1464"/>
      <c r="N68" s="1465"/>
      <c r="P68" s="1492">
        <f>75*'Part VI-Revenues &amp; Expenses'!E48</f>
        <v>3675</v>
      </c>
      <c r="Q68" s="1493"/>
      <c r="S68" s="1464"/>
      <c r="T68" s="1465"/>
      <c r="V68" s="1496"/>
      <c r="W68" s="1497"/>
    </row>
    <row r="69" spans="1:23" s="386" customFormat="1" ht="12" customHeight="1">
      <c r="B69" s="386" t="s">
        <v>1538</v>
      </c>
      <c r="G69" s="1492">
        <f t="shared" si="7"/>
        <v>6300</v>
      </c>
      <c r="H69" s="1493"/>
      <c r="J69" s="1464"/>
      <c r="K69" s="1465"/>
      <c r="L69" s="806"/>
      <c r="M69" s="1464"/>
      <c r="N69" s="1465"/>
      <c r="P69" s="1492">
        <v>6300</v>
      </c>
      <c r="Q69" s="1493"/>
      <c r="S69" s="1464"/>
      <c r="T69" s="1465"/>
      <c r="V69" s="1496"/>
      <c r="W69" s="1497"/>
    </row>
    <row r="70" spans="1:23" s="386" customFormat="1" ht="12" customHeight="1">
      <c r="B70" s="386" t="s">
        <v>1539</v>
      </c>
      <c r="G70" s="1492">
        <f t="shared" si="7"/>
        <v>3000</v>
      </c>
      <c r="H70" s="1493"/>
      <c r="J70" s="1464">
        <v>3000</v>
      </c>
      <c r="K70" s="1465"/>
      <c r="L70" s="806"/>
      <c r="M70" s="1464"/>
      <c r="N70" s="1465"/>
      <c r="P70" s="1492"/>
      <c r="Q70" s="1493"/>
      <c r="S70" s="1464"/>
      <c r="T70" s="1465"/>
      <c r="V70" s="1496"/>
      <c r="W70" s="1497"/>
    </row>
    <row r="71" spans="1:23" s="386" customFormat="1" ht="12" customHeight="1">
      <c r="B71" s="386" t="s">
        <v>611</v>
      </c>
      <c r="G71" s="1492">
        <f t="shared" si="7"/>
        <v>0</v>
      </c>
      <c r="H71" s="1493"/>
      <c r="J71" s="1464"/>
      <c r="K71" s="1465"/>
      <c r="L71" s="806"/>
      <c r="M71" s="1464"/>
      <c r="N71" s="1465"/>
      <c r="P71" s="1492"/>
      <c r="Q71" s="1493"/>
      <c r="S71" s="1464"/>
      <c r="T71" s="1465"/>
      <c r="V71" s="1496"/>
      <c r="W71" s="1497"/>
    </row>
    <row r="72" spans="1:23" s="386" customFormat="1" ht="12" customHeight="1">
      <c r="B72" s="386" t="s">
        <v>612</v>
      </c>
      <c r="G72" s="1492">
        <f t="shared" si="7"/>
        <v>50000</v>
      </c>
      <c r="H72" s="1493"/>
      <c r="J72" s="1464"/>
      <c r="K72" s="1465"/>
      <c r="L72" s="806"/>
      <c r="M72" s="1464"/>
      <c r="N72" s="1465"/>
      <c r="P72" s="1492">
        <v>50000</v>
      </c>
      <c r="Q72" s="1493"/>
      <c r="S72" s="1464"/>
      <c r="T72" s="1465"/>
      <c r="V72" s="1496"/>
      <c r="W72" s="1497"/>
    </row>
    <row r="73" spans="1:23" s="386" customFormat="1" ht="12" customHeight="1">
      <c r="B73" s="386" t="s">
        <v>2762</v>
      </c>
      <c r="G73" s="1492">
        <f t="shared" si="7"/>
        <v>31000</v>
      </c>
      <c r="H73" s="1493"/>
      <c r="J73" s="1464"/>
      <c r="K73" s="1465"/>
      <c r="L73" s="806"/>
      <c r="M73" s="1464"/>
      <c r="N73" s="1465"/>
      <c r="P73" s="1492">
        <v>31000</v>
      </c>
      <c r="Q73" s="1493"/>
      <c r="S73" s="1464"/>
      <c r="T73" s="1465"/>
      <c r="V73" s="1496"/>
      <c r="W73" s="1497"/>
    </row>
    <row r="74" spans="1:23" s="386" customFormat="1" ht="12" customHeight="1">
      <c r="B74" s="386" t="s">
        <v>1701</v>
      </c>
      <c r="G74" s="1492">
        <f t="shared" si="7"/>
        <v>4500</v>
      </c>
      <c r="H74" s="1493"/>
      <c r="J74" s="1464"/>
      <c r="K74" s="1465"/>
      <c r="L74" s="806"/>
      <c r="M74" s="1464"/>
      <c r="N74" s="1465"/>
      <c r="P74" s="1492">
        <v>4500</v>
      </c>
      <c r="Q74" s="1493"/>
      <c r="S74" s="1464"/>
      <c r="T74" s="1465"/>
      <c r="V74" s="1496"/>
      <c r="W74" s="1497"/>
    </row>
    <row r="75" spans="1:23" s="386" customFormat="1" ht="12" customHeight="1" thickBot="1">
      <c r="A75" s="480" t="str">
        <f>IF(AND(G75&gt;0,OR(C75="",C75="&lt;Enter detailed description here; use Comments section if needed&gt;")),"X","")</f>
        <v/>
      </c>
      <c r="B75" s="386" t="s">
        <v>1045</v>
      </c>
      <c r="C75" s="1318"/>
      <c r="D75" s="1318"/>
      <c r="E75" s="1318"/>
      <c r="F75" s="1319"/>
      <c r="G75" s="1492">
        <f t="shared" si="7"/>
        <v>0</v>
      </c>
      <c r="H75" s="1493"/>
      <c r="J75" s="1464"/>
      <c r="K75" s="1465"/>
      <c r="L75" s="806"/>
      <c r="M75" s="1464"/>
      <c r="N75" s="1465"/>
      <c r="P75" s="1464"/>
      <c r="Q75" s="1465"/>
      <c r="S75" s="1464"/>
      <c r="T75" s="1465"/>
      <c r="U75" s="479" t="str">
        <f>IF(AND(G75&gt;0,OR(C75="",C75="&lt;Enter detailed description here; use Comments section if needed&gt;")),"NO DESCRIPTION PROVIDED - please enter detailed description in Other box at left; use Comments section below if needed.","")</f>
        <v/>
      </c>
      <c r="V75" s="1496"/>
      <c r="W75" s="1497"/>
    </row>
    <row r="76" spans="1:23" s="386" customFormat="1" ht="12" customHeight="1" thickTop="1">
      <c r="F76" s="446" t="s">
        <v>209</v>
      </c>
      <c r="G76" s="944">
        <f>SUM(G65:H75)</f>
        <v>250925</v>
      </c>
      <c r="H76" s="948"/>
      <c r="J76" s="944">
        <f>SUM(J65:K75)</f>
        <v>3000</v>
      </c>
      <c r="K76" s="948"/>
      <c r="L76" s="448"/>
      <c r="M76" s="944">
        <f>SUM(M65:N75)</f>
        <v>0</v>
      </c>
      <c r="N76" s="948"/>
      <c r="P76" s="944">
        <f>SUM(P65:Q75)</f>
        <v>247925</v>
      </c>
      <c r="Q76" s="948"/>
      <c r="S76" s="944">
        <f>SUM(S65:T75)</f>
        <v>0</v>
      </c>
      <c r="T76" s="948"/>
      <c r="V76" s="1502"/>
      <c r="W76" s="1503"/>
    </row>
    <row r="77" spans="1:23" ht="12" customHeight="1">
      <c r="A77" s="386"/>
      <c r="B77" s="389" t="s">
        <v>1693</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1694</v>
      </c>
      <c r="G78" s="1492">
        <f t="shared" ref="G78:G81" si="8">SUM(J78:T78)</f>
        <v>20000</v>
      </c>
      <c r="H78" s="1493"/>
      <c r="J78" s="1464"/>
      <c r="K78" s="1465"/>
      <c r="L78" s="806"/>
      <c r="M78" s="1464"/>
      <c r="N78" s="1465"/>
      <c r="P78" s="1492">
        <v>20000</v>
      </c>
      <c r="Q78" s="1493"/>
      <c r="S78" s="1464"/>
      <c r="T78" s="1465"/>
      <c r="V78" s="1511"/>
      <c r="W78" s="1512"/>
    </row>
    <row r="79" spans="1:23" s="386" customFormat="1" ht="12" customHeight="1">
      <c r="B79" s="386" t="s">
        <v>1695</v>
      </c>
      <c r="G79" s="1492">
        <f t="shared" si="8"/>
        <v>0</v>
      </c>
      <c r="H79" s="1493"/>
      <c r="J79" s="1464"/>
      <c r="K79" s="1465"/>
      <c r="L79" s="806"/>
      <c r="M79" s="1464"/>
      <c r="N79" s="1465"/>
      <c r="P79" s="1492"/>
      <c r="Q79" s="1493"/>
      <c r="S79" s="1464"/>
      <c r="T79" s="1465"/>
      <c r="V79" s="1513"/>
      <c r="W79" s="1514"/>
    </row>
    <row r="80" spans="1:23" s="386" customFormat="1" ht="12" customHeight="1">
      <c r="B80" s="386" t="s">
        <v>1696</v>
      </c>
      <c r="D80" s="461" t="s">
        <v>1840</v>
      </c>
      <c r="E80" s="1515"/>
      <c r="G80" s="1492">
        <f t="shared" si="8"/>
        <v>250</v>
      </c>
      <c r="H80" s="1493"/>
      <c r="I80" s="406"/>
      <c r="J80" s="1464"/>
      <c r="K80" s="1465"/>
      <c r="L80" s="806"/>
      <c r="M80" s="1464"/>
      <c r="N80" s="1465"/>
      <c r="P80" s="1492">
        <v>250</v>
      </c>
      <c r="Q80" s="1493"/>
      <c r="S80" s="1464"/>
      <c r="T80" s="1465"/>
      <c r="V80" s="1513"/>
      <c r="W80" s="1514"/>
    </row>
    <row r="81" spans="1:23" s="386" customFormat="1" ht="12" customHeight="1" thickBot="1">
      <c r="B81" s="386" t="s">
        <v>1697</v>
      </c>
      <c r="D81" s="461" t="s">
        <v>1840</v>
      </c>
      <c r="E81" s="1515"/>
      <c r="G81" s="1492">
        <f t="shared" si="8"/>
        <v>250</v>
      </c>
      <c r="H81" s="1493"/>
      <c r="I81" s="406"/>
      <c r="J81" s="1464"/>
      <c r="K81" s="1465"/>
      <c r="L81" s="806"/>
      <c r="M81" s="1464"/>
      <c r="N81" s="1465"/>
      <c r="P81" s="1492">
        <v>250</v>
      </c>
      <c r="Q81" s="1493"/>
      <c r="S81" s="1464"/>
      <c r="T81" s="1465"/>
      <c r="V81" s="1513"/>
      <c r="W81" s="1514"/>
    </row>
    <row r="82" spans="1:23" s="386" customFormat="1" ht="12" customHeight="1" thickTop="1">
      <c r="F82" s="446" t="s">
        <v>209</v>
      </c>
      <c r="G82" s="944">
        <f>SUM(G78:H81)</f>
        <v>20500</v>
      </c>
      <c r="H82" s="948"/>
      <c r="J82" s="944">
        <f>SUM(J78:K81)</f>
        <v>0</v>
      </c>
      <c r="K82" s="948"/>
      <c r="L82" s="448"/>
      <c r="M82" s="944">
        <f>SUM(M78:N81)</f>
        <v>0</v>
      </c>
      <c r="N82" s="948"/>
      <c r="P82" s="944">
        <f>SUM(P78:Q81)</f>
        <v>20500</v>
      </c>
      <c r="Q82" s="948"/>
      <c r="S82" s="944">
        <f>SUM(S78:T81)</f>
        <v>0</v>
      </c>
      <c r="T82" s="948"/>
      <c r="V82" s="1516"/>
      <c r="W82" s="1517"/>
    </row>
    <row r="83" spans="1:23" s="386" customFormat="1" ht="12" customHeight="1">
      <c r="B83" s="389" t="s">
        <v>916</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1698</v>
      </c>
      <c r="G84" s="1492">
        <f t="shared" ref="G84:G89" si="9">SUM(J84:T84)</f>
        <v>0</v>
      </c>
      <c r="H84" s="1493"/>
      <c r="J84" s="949"/>
      <c r="K84" s="949"/>
      <c r="L84" s="806"/>
      <c r="M84" s="949"/>
      <c r="N84" s="949"/>
      <c r="P84" s="949"/>
      <c r="Q84" s="949"/>
      <c r="S84" s="1464"/>
      <c r="T84" s="1465"/>
      <c r="V84" s="1511"/>
      <c r="W84" s="1512"/>
    </row>
    <row r="85" spans="1:23" s="386" customFormat="1" ht="12" customHeight="1">
      <c r="B85" s="386" t="s">
        <v>1699</v>
      </c>
      <c r="G85" s="1492">
        <f t="shared" si="9"/>
        <v>0</v>
      </c>
      <c r="H85" s="1493"/>
      <c r="J85" s="949"/>
      <c r="K85" s="949"/>
      <c r="L85" s="806"/>
      <c r="M85" s="949"/>
      <c r="N85" s="949"/>
      <c r="P85" s="949"/>
      <c r="Q85" s="949"/>
      <c r="S85" s="1464"/>
      <c r="T85" s="1465"/>
      <c r="V85" s="1513"/>
      <c r="W85" s="1514"/>
    </row>
    <row r="86" spans="1:23" s="386" customFormat="1" ht="12" customHeight="1">
      <c r="B86" s="386" t="s">
        <v>1700</v>
      </c>
      <c r="G86" s="1492">
        <f t="shared" si="9"/>
        <v>21429</v>
      </c>
      <c r="H86" s="1493"/>
      <c r="J86" s="949"/>
      <c r="K86" s="949"/>
      <c r="L86" s="806"/>
      <c r="M86" s="949"/>
      <c r="N86" s="949"/>
      <c r="P86" s="949"/>
      <c r="Q86" s="949"/>
      <c r="S86" s="1492">
        <f>25000-5993+2422</f>
        <v>21429</v>
      </c>
      <c r="T86" s="1493"/>
      <c r="V86" s="1513"/>
      <c r="W86" s="1514"/>
    </row>
    <row r="87" spans="1:23" s="386" customFormat="1" ht="12" customHeight="1">
      <c r="B87" s="386" t="s">
        <v>1702</v>
      </c>
      <c r="G87" s="1492">
        <f t="shared" si="9"/>
        <v>0</v>
      </c>
      <c r="H87" s="1493"/>
      <c r="J87" s="949"/>
      <c r="K87" s="949"/>
      <c r="L87" s="806"/>
      <c r="M87" s="949"/>
      <c r="N87" s="949"/>
      <c r="P87" s="949"/>
      <c r="Q87" s="949"/>
      <c r="S87" s="1464"/>
      <c r="T87" s="1465"/>
      <c r="V87" s="1513"/>
      <c r="W87" s="1514"/>
    </row>
    <row r="88" spans="1:23" s="386" customFormat="1" ht="12" customHeight="1">
      <c r="B88" s="386" t="s">
        <v>3026</v>
      </c>
      <c r="G88" s="1492">
        <f t="shared" si="9"/>
        <v>0</v>
      </c>
      <c r="H88" s="1493"/>
      <c r="J88" s="949"/>
      <c r="K88" s="949"/>
      <c r="L88" s="806"/>
      <c r="M88" s="949"/>
      <c r="N88" s="949"/>
      <c r="P88" s="949"/>
      <c r="Q88" s="949"/>
      <c r="S88" s="1464"/>
      <c r="T88" s="1465"/>
      <c r="V88" s="1513"/>
      <c r="W88" s="1514"/>
    </row>
    <row r="89" spans="1:23" s="386" customFormat="1" ht="12" customHeight="1" thickBot="1">
      <c r="A89" s="480" t="str">
        <f>IF(AND(G89&gt;0,OR(C89="",C89="&lt;Enter detailed description here; use Comments section if needed&gt;")),"X","")</f>
        <v/>
      </c>
      <c r="B89" s="386" t="s">
        <v>1045</v>
      </c>
      <c r="C89" s="1318" t="s">
        <v>3180</v>
      </c>
      <c r="D89" s="1318"/>
      <c r="E89" s="1318"/>
      <c r="F89" s="1319"/>
      <c r="G89" s="1492">
        <f t="shared" si="9"/>
        <v>0</v>
      </c>
      <c r="H89" s="1493"/>
      <c r="J89" s="949"/>
      <c r="K89" s="949"/>
      <c r="L89" s="806"/>
      <c r="M89" s="949"/>
      <c r="N89" s="949"/>
      <c r="P89" s="949"/>
      <c r="Q89" s="949"/>
      <c r="S89" s="1464"/>
      <c r="T89" s="1465"/>
      <c r="U89" s="479" t="str">
        <f>IF(AND(G89&gt;0,OR(C89="",C89="&lt;Enter detailed description here; use Comments section if needed&gt;")),"NO DESCRIPTION PROVIDED - please enter detailed description in Other box at left; use Comments section below if needed.","")</f>
        <v/>
      </c>
      <c r="V89" s="1513"/>
      <c r="W89" s="1514"/>
    </row>
    <row r="90" spans="1:23" s="386" customFormat="1" ht="12" customHeight="1" thickTop="1">
      <c r="F90" s="446" t="s">
        <v>209</v>
      </c>
      <c r="G90" s="944">
        <f>SUM(G84:H89)</f>
        <v>21429</v>
      </c>
      <c r="H90" s="948"/>
      <c r="J90" s="949"/>
      <c r="K90" s="949"/>
      <c r="L90" s="448"/>
      <c r="M90" s="949"/>
      <c r="N90" s="949"/>
      <c r="P90" s="949"/>
      <c r="Q90" s="949"/>
      <c r="S90" s="944">
        <f>SUM(S84:T89)</f>
        <v>21429</v>
      </c>
      <c r="T90" s="948"/>
      <c r="V90" s="1516"/>
      <c r="W90" s="1517"/>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795</v>
      </c>
      <c r="B92" s="566" t="s">
        <v>1295</v>
      </c>
      <c r="H92" s="796"/>
      <c r="I92" s="796"/>
      <c r="J92" s="950" t="s">
        <v>299</v>
      </c>
      <c r="K92" s="951"/>
      <c r="L92" s="445"/>
      <c r="M92" s="969" t="s">
        <v>622</v>
      </c>
      <c r="N92" s="970"/>
      <c r="P92" s="950" t="s">
        <v>300</v>
      </c>
      <c r="Q92" s="951"/>
      <c r="S92" s="950" t="s">
        <v>301</v>
      </c>
      <c r="T92" s="951"/>
      <c r="V92" s="567" t="str">
        <f>B92</f>
        <v>DEVELOPMENT BUDGET</v>
      </c>
    </row>
    <row r="93" spans="1:23" s="386" customFormat="1" ht="18" customHeight="1" thickBot="1">
      <c r="G93" s="963" t="s">
        <v>107</v>
      </c>
      <c r="H93" s="964"/>
      <c r="J93" s="952"/>
      <c r="K93" s="953"/>
      <c r="L93" s="445"/>
      <c r="M93" s="971"/>
      <c r="N93" s="972"/>
      <c r="P93" s="952"/>
      <c r="Q93" s="953"/>
      <c r="S93" s="952"/>
      <c r="T93" s="953"/>
      <c r="V93" s="947" t="s">
        <v>3547</v>
      </c>
      <c r="W93" s="947"/>
    </row>
    <row r="94" spans="1:23" s="386" customFormat="1" ht="13.15" customHeight="1">
      <c r="B94" s="389" t="s">
        <v>917</v>
      </c>
      <c r="J94" s="448"/>
      <c r="K94" s="448"/>
      <c r="M94" s="448"/>
      <c r="N94" s="448"/>
      <c r="O94" s="447" t="str">
        <f>B94</f>
        <v>DCA-RELATED COSTS</v>
      </c>
      <c r="P94" s="448"/>
      <c r="Q94" s="448"/>
      <c r="S94" s="448"/>
      <c r="T94" s="448"/>
      <c r="V94" s="386" t="str">
        <f>B94</f>
        <v>DCA-RELATED COSTS</v>
      </c>
    </row>
    <row r="95" spans="1:23" s="386" customFormat="1" ht="12.6" customHeight="1">
      <c r="B95" s="386" t="s">
        <v>1993</v>
      </c>
      <c r="G95" s="1492">
        <f>S95</f>
        <v>0</v>
      </c>
      <c r="H95" s="1493"/>
      <c r="J95" s="448"/>
      <c r="K95" s="448"/>
      <c r="L95" s="806"/>
      <c r="M95" s="448"/>
      <c r="N95" s="448"/>
      <c r="P95" s="448"/>
      <c r="Q95" s="448"/>
      <c r="S95" s="1464"/>
      <c r="T95" s="1465"/>
      <c r="V95" s="1511"/>
      <c r="W95" s="1512"/>
    </row>
    <row r="96" spans="1:23" s="386" customFormat="1" ht="12.6" customHeight="1">
      <c r="B96" s="386" t="s">
        <v>1617</v>
      </c>
      <c r="G96" s="1492">
        <f t="shared" ref="G96:G103" si="10">S96</f>
        <v>6500</v>
      </c>
      <c r="H96" s="1493"/>
      <c r="J96" s="448"/>
      <c r="K96" s="448"/>
      <c r="L96" s="462"/>
      <c r="M96" s="448"/>
      <c r="N96" s="448"/>
      <c r="P96" s="448"/>
      <c r="Q96" s="448"/>
      <c r="S96" s="1492">
        <v>6500</v>
      </c>
      <c r="T96" s="1493"/>
      <c r="V96" s="1513"/>
      <c r="W96" s="1514"/>
    </row>
    <row r="97" spans="1:23" s="386" customFormat="1" ht="12.6" customHeight="1">
      <c r="B97" s="386" t="s">
        <v>3589</v>
      </c>
      <c r="G97" s="1492">
        <f t="shared" si="10"/>
        <v>1500</v>
      </c>
      <c r="H97" s="1493"/>
      <c r="J97" s="448"/>
      <c r="K97" s="448"/>
      <c r="L97" s="462"/>
      <c r="M97" s="448"/>
      <c r="N97" s="448"/>
      <c r="O97" s="796"/>
      <c r="P97" s="448"/>
      <c r="Q97" s="448"/>
      <c r="S97" s="1492">
        <v>1500</v>
      </c>
      <c r="T97" s="1493"/>
      <c r="V97" s="1513"/>
      <c r="W97" s="1514"/>
    </row>
    <row r="98" spans="1:23" s="386" customFormat="1" ht="12.6" customHeight="1">
      <c r="B98" s="386" t="s">
        <v>685</v>
      </c>
      <c r="E98" s="967">
        <f>'DCA Underwriting Assumptions'!$Q$39*$J$172</f>
        <v>40824.523452639987</v>
      </c>
      <c r="F98" s="968"/>
      <c r="G98" s="1492">
        <f t="shared" si="10"/>
        <v>40825</v>
      </c>
      <c r="H98" s="1493"/>
      <c r="J98" s="448"/>
      <c r="K98" s="448"/>
      <c r="L98" s="806"/>
      <c r="M98" s="448"/>
      <c r="N98" s="448"/>
      <c r="O98" s="796"/>
      <c r="P98" s="448"/>
      <c r="Q98" s="448"/>
      <c r="S98" s="1492">
        <v>40825</v>
      </c>
      <c r="T98" s="1493"/>
      <c r="V98" s="1513"/>
      <c r="W98" s="1514"/>
    </row>
    <row r="99" spans="1:23" s="386" customFormat="1" ht="12.6" customHeight="1">
      <c r="B99" s="386" t="s">
        <v>1057</v>
      </c>
      <c r="E99" s="967">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19600</v>
      </c>
      <c r="F99" s="968"/>
      <c r="G99" s="1492">
        <f t="shared" si="10"/>
        <v>19600</v>
      </c>
      <c r="H99" s="1493"/>
      <c r="J99" s="353"/>
      <c r="K99" s="353"/>
      <c r="L99" s="353"/>
      <c r="M99" s="353"/>
      <c r="N99" s="353"/>
      <c r="O99" s="353"/>
      <c r="P99" s="353"/>
      <c r="Q99" s="353"/>
      <c r="S99" s="1492">
        <v>19600</v>
      </c>
      <c r="T99" s="1493"/>
      <c r="V99" s="1513"/>
      <c r="W99" s="1514"/>
    </row>
    <row r="100" spans="1:23" s="386" customFormat="1" ht="12.6" customHeight="1">
      <c r="B100" s="386" t="s">
        <v>617</v>
      </c>
      <c r="G100" s="1492">
        <f t="shared" si="10"/>
        <v>2700</v>
      </c>
      <c r="H100" s="1493"/>
      <c r="J100" s="353"/>
      <c r="K100" s="353"/>
      <c r="L100" s="353"/>
      <c r="M100" s="353"/>
      <c r="N100" s="353"/>
      <c r="O100" s="353"/>
      <c r="P100" s="353"/>
      <c r="Q100" s="353"/>
      <c r="S100" s="1492">
        <v>2700</v>
      </c>
      <c r="T100" s="1493"/>
      <c r="V100" s="1513"/>
      <c r="W100" s="1514"/>
    </row>
    <row r="101" spans="1:23" s="386" customFormat="1" ht="12.6" customHeight="1">
      <c r="B101" s="386" t="s">
        <v>3104</v>
      </c>
      <c r="G101" s="1492">
        <f t="shared" si="10"/>
        <v>3000</v>
      </c>
      <c r="H101" s="1493"/>
      <c r="J101" s="353"/>
      <c r="K101" s="353"/>
      <c r="L101" s="353"/>
      <c r="M101" s="353"/>
      <c r="N101" s="353"/>
      <c r="O101" s="353"/>
      <c r="P101" s="353"/>
      <c r="Q101" s="353"/>
      <c r="S101" s="1492">
        <v>3000</v>
      </c>
      <c r="T101" s="1493"/>
      <c r="V101" s="1513"/>
      <c r="W101" s="1514"/>
    </row>
    <row r="102" spans="1:23" s="386" customFormat="1" ht="12.6" customHeight="1">
      <c r="A102" s="480" t="str">
        <f>IF(AND(G102&gt;0,OR(C102="",C102="&lt;Enter detailed description here; use Comments section if needed&gt;")),"X","")</f>
        <v/>
      </c>
      <c r="B102" s="386" t="s">
        <v>1045</v>
      </c>
      <c r="C102" s="1318" t="s">
        <v>3180</v>
      </c>
      <c r="D102" s="1318"/>
      <c r="E102" s="1318"/>
      <c r="F102" s="1319"/>
      <c r="G102" s="1492">
        <f t="shared" si="10"/>
        <v>0</v>
      </c>
      <c r="H102" s="1493"/>
      <c r="J102" s="353"/>
      <c r="K102" s="353"/>
      <c r="L102" s="353"/>
      <c r="M102" s="353"/>
      <c r="N102" s="353"/>
      <c r="O102" s="353"/>
      <c r="P102" s="353"/>
      <c r="Q102" s="353"/>
      <c r="S102" s="1464"/>
      <c r="T102" s="1465"/>
      <c r="U102" s="479" t="str">
        <f>IF(AND(G102&gt;0,OR(C102="",C102="&lt;Enter detailed description here; use Comments section if needed&gt;")),"NO DESCRIPTION PROVIDED - please enter detailed description in Other box at left; use Comments section below if needed.","")</f>
        <v/>
      </c>
      <c r="V102" s="1513"/>
      <c r="W102" s="1514"/>
    </row>
    <row r="103" spans="1:23" s="386" customFormat="1" ht="12.6" customHeight="1" thickBot="1">
      <c r="A103" s="480" t="str">
        <f>IF(AND(G103&gt;0,OR(C103="",C103="&lt;Enter detailed description here; use Comments section if needed&gt;")),"X","")</f>
        <v/>
      </c>
      <c r="B103" s="386" t="s">
        <v>1045</v>
      </c>
      <c r="C103" s="1318" t="s">
        <v>3180</v>
      </c>
      <c r="D103" s="1318"/>
      <c r="E103" s="1318"/>
      <c r="F103" s="1319"/>
      <c r="G103" s="1498">
        <f t="shared" si="10"/>
        <v>0</v>
      </c>
      <c r="H103" s="1499"/>
      <c r="J103" s="353"/>
      <c r="K103" s="353"/>
      <c r="L103" s="353"/>
      <c r="M103" s="353"/>
      <c r="N103" s="353"/>
      <c r="O103" s="353"/>
      <c r="P103" s="353"/>
      <c r="Q103" s="353"/>
      <c r="S103" s="1464"/>
      <c r="T103" s="1465"/>
      <c r="U103" s="479" t="str">
        <f>IF(AND(G103&gt;0,OR(C103="",C103="&lt;Enter detailed description here; use Comments section if needed&gt;")),"NO DESCRIPTION PROVIDED - please enter detailed description in Other box at left; use Comments section below if needed.","")</f>
        <v/>
      </c>
      <c r="V103" s="1513"/>
      <c r="W103" s="1514"/>
    </row>
    <row r="104" spans="1:23" s="386" customFormat="1" ht="12.6" customHeight="1" thickTop="1">
      <c r="F104" s="446" t="s">
        <v>209</v>
      </c>
      <c r="G104" s="944">
        <f>SUM(G95:H103)</f>
        <v>74125</v>
      </c>
      <c r="H104" s="948"/>
      <c r="J104" s="448"/>
      <c r="K104" s="448"/>
      <c r="L104" s="806"/>
      <c r="M104" s="448"/>
      <c r="N104" s="448"/>
      <c r="P104" s="448"/>
      <c r="Q104" s="448"/>
      <c r="S104" s="944">
        <f>SUM(S95:T103)</f>
        <v>74125</v>
      </c>
      <c r="T104" s="948"/>
      <c r="V104" s="1516"/>
      <c r="W104" s="1517"/>
    </row>
    <row r="105" spans="1:23" s="386" customFormat="1" ht="13.15" customHeight="1">
      <c r="B105" s="389" t="s">
        <v>3027</v>
      </c>
      <c r="J105" s="448"/>
      <c r="K105" s="448"/>
      <c r="M105" s="448"/>
      <c r="N105" s="448"/>
      <c r="O105" s="447" t="str">
        <f>B105</f>
        <v>EQUITY COSTS</v>
      </c>
      <c r="P105" s="448"/>
      <c r="Q105" s="448"/>
      <c r="S105" s="448"/>
      <c r="T105" s="448"/>
      <c r="V105" s="386" t="str">
        <f>B105</f>
        <v>EQUITY COSTS</v>
      </c>
    </row>
    <row r="106" spans="1:23" s="386" customFormat="1" ht="12.6" customHeight="1">
      <c r="B106" s="386" t="s">
        <v>308</v>
      </c>
      <c r="G106" s="1492">
        <f t="shared" ref="G106:G109" si="11">SUM(J106:T106)</f>
        <v>1000</v>
      </c>
      <c r="H106" s="1493"/>
      <c r="J106" s="949"/>
      <c r="K106" s="949"/>
      <c r="L106" s="806"/>
      <c r="M106" s="949"/>
      <c r="N106" s="949"/>
      <c r="O106" s="796"/>
      <c r="P106" s="949"/>
      <c r="Q106" s="949"/>
      <c r="S106" s="1492">
        <v>1000</v>
      </c>
      <c r="T106" s="1493"/>
      <c r="V106" s="1511"/>
      <c r="W106" s="1512"/>
    </row>
    <row r="107" spans="1:23" s="386" customFormat="1" ht="12.6" customHeight="1">
      <c r="B107" s="386" t="s">
        <v>310</v>
      </c>
      <c r="G107" s="1492">
        <f t="shared" si="11"/>
        <v>10000</v>
      </c>
      <c r="H107" s="1493"/>
      <c r="J107" s="949"/>
      <c r="K107" s="949"/>
      <c r="L107" s="806"/>
      <c r="M107" s="949"/>
      <c r="N107" s="949"/>
      <c r="O107" s="796"/>
      <c r="P107" s="949"/>
      <c r="Q107" s="949"/>
      <c r="S107" s="1492">
        <v>10000</v>
      </c>
      <c r="T107" s="1493"/>
      <c r="V107" s="1513"/>
      <c r="W107" s="1514"/>
    </row>
    <row r="108" spans="1:23" s="386" customFormat="1" ht="12.6" customHeight="1">
      <c r="B108" s="386" t="s">
        <v>3142</v>
      </c>
      <c r="G108" s="1492">
        <f t="shared" si="11"/>
        <v>20000</v>
      </c>
      <c r="H108" s="1493"/>
      <c r="J108" s="949"/>
      <c r="K108" s="949"/>
      <c r="L108" s="806"/>
      <c r="M108" s="949"/>
      <c r="N108" s="949"/>
      <c r="O108" s="796"/>
      <c r="P108" s="949"/>
      <c r="Q108" s="949"/>
      <c r="S108" s="1492">
        <v>20000</v>
      </c>
      <c r="T108" s="1493"/>
      <c r="V108" s="1513"/>
      <c r="W108" s="1514"/>
    </row>
    <row r="109" spans="1:23" s="386" customFormat="1" ht="12.6" customHeight="1" thickBot="1">
      <c r="A109" s="480" t="str">
        <f>IF(AND(G109&gt;0,OR(C109="",C109="&lt;Enter detailed description here; use Comments section if needed&gt;")),"X","")</f>
        <v/>
      </c>
      <c r="B109" s="386" t="s">
        <v>1045</v>
      </c>
      <c r="C109" s="1318" t="s">
        <v>4114</v>
      </c>
      <c r="D109" s="1318"/>
      <c r="E109" s="1318"/>
      <c r="F109" s="1319"/>
      <c r="G109" s="1492">
        <f t="shared" si="11"/>
        <v>45000</v>
      </c>
      <c r="H109" s="1493"/>
      <c r="J109" s="949"/>
      <c r="K109" s="949"/>
      <c r="L109" s="806"/>
      <c r="M109" s="949"/>
      <c r="N109" s="949"/>
      <c r="O109" s="796"/>
      <c r="P109" s="949"/>
      <c r="Q109" s="949"/>
      <c r="S109" s="1464">
        <f>45000</f>
        <v>45000</v>
      </c>
      <c r="T109" s="1465"/>
      <c r="U109" s="479" t="str">
        <f>IF(AND(G109&gt;0,OR(C109="",C109="&lt;Enter detailed description here; use Comments section if needed&gt;")),"NO DESCRIPTION PROVIDED - please enter detailed description in Other box at left; use Comments section below if needed.","")</f>
        <v/>
      </c>
      <c r="V109" s="1513"/>
      <c r="W109" s="1514"/>
    </row>
    <row r="110" spans="1:23" s="386" customFormat="1" ht="12.6" customHeight="1" thickTop="1">
      <c r="F110" s="446" t="s">
        <v>209</v>
      </c>
      <c r="G110" s="944">
        <f>SUM(G106:H109)</f>
        <v>76000</v>
      </c>
      <c r="H110" s="948"/>
      <c r="J110" s="949"/>
      <c r="K110" s="949"/>
      <c r="L110" s="806"/>
      <c r="M110" s="949"/>
      <c r="N110" s="949"/>
      <c r="O110" s="796"/>
      <c r="P110" s="949"/>
      <c r="Q110" s="949"/>
      <c r="S110" s="944">
        <f>SUM(S106:T109)</f>
        <v>76000</v>
      </c>
      <c r="T110" s="948"/>
      <c r="V110" s="1516"/>
      <c r="W110" s="1517"/>
    </row>
    <row r="111" spans="1:23" s="386" customFormat="1" ht="13.15" customHeight="1">
      <c r="B111" s="389" t="s">
        <v>311</v>
      </c>
      <c r="J111" s="448"/>
      <c r="K111" s="445"/>
      <c r="M111" s="448"/>
      <c r="N111" s="445"/>
      <c r="O111" s="447" t="str">
        <f>B111</f>
        <v>DEVELOPER'S FEE</v>
      </c>
      <c r="P111" s="448"/>
      <c r="Q111" s="445"/>
      <c r="S111" s="448"/>
      <c r="T111" s="445"/>
      <c r="V111" s="386" t="str">
        <f>B111</f>
        <v>DEVELOPER'S FEE</v>
      </c>
    </row>
    <row r="112" spans="1:23" s="386" customFormat="1" ht="12.6" customHeight="1">
      <c r="B112" s="386" t="s">
        <v>2563</v>
      </c>
      <c r="F112" s="527">
        <f>G112/$G$115</f>
        <v>0.19999999999999998</v>
      </c>
      <c r="G112" s="1492">
        <f>SUM(J112:T112)</f>
        <v>175999.99999999997</v>
      </c>
      <c r="H112" s="1493"/>
      <c r="J112" s="1492">
        <f>880000*0.2*4.97%</f>
        <v>8747.1999999999989</v>
      </c>
      <c r="K112" s="1493"/>
      <c r="L112" s="447"/>
      <c r="M112" s="1492">
        <f>880000*0.2*25.06%</f>
        <v>44105.599999999999</v>
      </c>
      <c r="N112" s="1493"/>
      <c r="P112" s="1492">
        <f>880000*0.2*69.96%+17.6</f>
        <v>123147.19999999998</v>
      </c>
      <c r="Q112" s="1493"/>
      <c r="S112" s="1464"/>
      <c r="T112" s="1465"/>
      <c r="V112" s="1511"/>
      <c r="W112" s="1512"/>
    </row>
    <row r="113" spans="1:23" s="386" customFormat="1" ht="12.6" customHeight="1">
      <c r="B113" s="386" t="s">
        <v>2564</v>
      </c>
      <c r="F113" s="527">
        <f>G113/$G$115</f>
        <v>0</v>
      </c>
      <c r="G113" s="1492">
        <f t="shared" ref="G113:G114" si="12">SUM(J113:T113)</f>
        <v>0</v>
      </c>
      <c r="H113" s="1493"/>
      <c r="J113" s="1492"/>
      <c r="K113" s="1493"/>
      <c r="L113" s="806"/>
      <c r="M113" s="1492"/>
      <c r="N113" s="1493"/>
      <c r="P113" s="1492"/>
      <c r="Q113" s="1493"/>
      <c r="S113" s="1464"/>
      <c r="T113" s="1465"/>
      <c r="V113" s="1513"/>
      <c r="W113" s="1514"/>
    </row>
    <row r="114" spans="1:23" s="386" customFormat="1" ht="12.6" customHeight="1" thickBot="1">
      <c r="B114" s="386" t="s">
        <v>2556</v>
      </c>
      <c r="F114" s="527">
        <f>G114/$G$115</f>
        <v>0.79999999999999993</v>
      </c>
      <c r="G114" s="1498">
        <f t="shared" si="12"/>
        <v>703999.99999999988</v>
      </c>
      <c r="H114" s="1499"/>
      <c r="J114" s="1492">
        <f>880000*0.8*4.97%</f>
        <v>34988.799999999996</v>
      </c>
      <c r="K114" s="1493"/>
      <c r="L114" s="806"/>
      <c r="M114" s="1492">
        <f>880000*0.8*25.06%</f>
        <v>176422.39999999999</v>
      </c>
      <c r="N114" s="1493"/>
      <c r="P114" s="1492">
        <f>880000*0.8*69.96%+70.4</f>
        <v>492588.79999999993</v>
      </c>
      <c r="Q114" s="1493"/>
      <c r="S114" s="1464"/>
      <c r="T114" s="1465"/>
      <c r="V114" s="1513"/>
      <c r="W114" s="1514"/>
    </row>
    <row r="115" spans="1:23" s="386" customFormat="1" ht="12.6" customHeight="1" thickTop="1">
      <c r="C115" s="479" t="str">
        <f>IF(G115&lt;='DCA Underwriting Assumptions'!$Q$46,"","Developer Fee exceeds DCA Program Maximum !!!")</f>
        <v/>
      </c>
      <c r="F115" s="446" t="s">
        <v>209</v>
      </c>
      <c r="G115" s="944">
        <f>SUM(G112:H114)</f>
        <v>879999.99999999988</v>
      </c>
      <c r="H115" s="948"/>
      <c r="J115" s="944">
        <f>SUM(J112:K114)</f>
        <v>43735.999999999993</v>
      </c>
      <c r="K115" s="948"/>
      <c r="L115" s="806"/>
      <c r="M115" s="944">
        <f>SUM(M112:N114)</f>
        <v>220528</v>
      </c>
      <c r="N115" s="948"/>
      <c r="P115" s="944">
        <f>SUM(P112:Q114)</f>
        <v>615735.99999999988</v>
      </c>
      <c r="Q115" s="948"/>
      <c r="S115" s="944">
        <f>SUM(S112:T114)</f>
        <v>0</v>
      </c>
      <c r="T115" s="948"/>
      <c r="V115" s="1516"/>
      <c r="W115" s="1517"/>
    </row>
    <row r="116" spans="1:23" s="386" customFormat="1" ht="13.15" customHeight="1">
      <c r="B116" s="389" t="s">
        <v>1742</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275</v>
      </c>
      <c r="G117" s="1492">
        <f t="shared" ref="G117:G122" si="13">SUM(J117:T117)</f>
        <v>0</v>
      </c>
      <c r="H117" s="1493"/>
      <c r="J117" s="463"/>
      <c r="K117" s="463"/>
      <c r="L117" s="463"/>
      <c r="M117" s="463"/>
      <c r="N117" s="463"/>
      <c r="P117" s="463"/>
      <c r="Q117" s="463"/>
      <c r="S117" s="1464"/>
      <c r="T117" s="1465"/>
      <c r="V117" s="1511"/>
      <c r="W117" s="1512"/>
    </row>
    <row r="118" spans="1:23" s="386" customFormat="1" ht="12.6" customHeight="1">
      <c r="B118" s="386" t="s">
        <v>1992</v>
      </c>
      <c r="F118" s="764">
        <f>+'Part VI-Revenues &amp; Expenses'!P157*('DCA Underwriting Assumptions'!$Q$58/12)</f>
        <v>44451.25</v>
      </c>
      <c r="G118" s="1492">
        <f t="shared" si="13"/>
        <v>59268</v>
      </c>
      <c r="H118" s="1493"/>
      <c r="J118" s="949"/>
      <c r="K118" s="949"/>
      <c r="L118" s="806"/>
      <c r="M118" s="949"/>
      <c r="N118" s="949"/>
      <c r="O118" s="796"/>
      <c r="P118" s="949"/>
      <c r="Q118" s="949"/>
      <c r="R118" s="796"/>
      <c r="S118" s="1492">
        <v>59268</v>
      </c>
      <c r="T118" s="1493"/>
      <c r="V118" s="1513"/>
      <c r="W118" s="1514"/>
    </row>
    <row r="119" spans="1:23" s="386" customFormat="1" ht="12.6" customHeight="1">
      <c r="B119" s="386" t="s">
        <v>863</v>
      </c>
      <c r="F119" s="765">
        <f>'Part VI-Revenues &amp; Expenses'!P157*('DCA Underwriting Assumptions'!Q57/12)+('Part VII-Pro Forma'!B23+'Part VII-Pro Forma'!B24+'Part VII-Pro Forma'!B25+'Part VII-Pro Forma'!B26)*'DCA Underwriting Assumptions'!Q56/(-12)</f>
        <v>107841.5</v>
      </c>
      <c r="G119" s="1492">
        <f t="shared" si="13"/>
        <v>107842</v>
      </c>
      <c r="H119" s="1493"/>
      <c r="J119" s="462"/>
      <c r="K119" s="462"/>
      <c r="L119" s="462"/>
      <c r="M119" s="462"/>
      <c r="N119" s="462"/>
      <c r="O119" s="796"/>
      <c r="P119" s="462"/>
      <c r="Q119" s="462"/>
      <c r="R119" s="796"/>
      <c r="S119" s="1492">
        <v>107842</v>
      </c>
      <c r="T119" s="1493"/>
      <c r="V119" s="1513"/>
      <c r="W119" s="1514"/>
    </row>
    <row r="120" spans="1:23" s="386" customFormat="1" ht="12.6" customHeight="1">
      <c r="B120" s="386" t="s">
        <v>1666</v>
      </c>
      <c r="G120" s="1492">
        <f t="shared" si="13"/>
        <v>59476</v>
      </c>
      <c r="H120" s="1493"/>
      <c r="J120" s="463"/>
      <c r="K120" s="463"/>
      <c r="L120" s="463"/>
      <c r="M120" s="463"/>
      <c r="N120" s="463"/>
      <c r="P120" s="463"/>
      <c r="Q120" s="463"/>
      <c r="S120" s="1492">
        <v>59476</v>
      </c>
      <c r="T120" s="1493"/>
      <c r="V120" s="1513"/>
      <c r="W120" s="1514"/>
    </row>
    <row r="121" spans="1:23" s="386" customFormat="1" ht="12.6" customHeight="1">
      <c r="B121" s="386" t="s">
        <v>1667</v>
      </c>
      <c r="E121" s="386" t="s">
        <v>3941</v>
      </c>
      <c r="F121" s="650">
        <f>G121/'Part VI-Revenues &amp; Expenses'!$M$62</f>
        <v>510.20408163265307</v>
      </c>
      <c r="G121" s="1492">
        <f t="shared" si="13"/>
        <v>25000</v>
      </c>
      <c r="H121" s="1493"/>
      <c r="J121" s="1464"/>
      <c r="K121" s="1465"/>
      <c r="L121" s="806"/>
      <c r="M121" s="1464"/>
      <c r="N121" s="1465"/>
      <c r="P121" s="1464">
        <v>25000</v>
      </c>
      <c r="Q121" s="1465"/>
      <c r="S121" s="1492"/>
      <c r="T121" s="1493"/>
      <c r="V121" s="1513"/>
      <c r="W121" s="1514"/>
    </row>
    <row r="122" spans="1:23" s="386" customFormat="1" ht="12.6" customHeight="1" thickBot="1">
      <c r="A122" s="480" t="str">
        <f>IF(AND(G122&gt;0,OR(C122="",C122="&lt;Enter detailed description here; use Comments section if needed&gt;")),"X","")</f>
        <v/>
      </c>
      <c r="B122" s="386" t="s">
        <v>1045</v>
      </c>
      <c r="C122" s="1318" t="s">
        <v>3180</v>
      </c>
      <c r="D122" s="1318"/>
      <c r="E122" s="1318"/>
      <c r="F122" s="1319"/>
      <c r="G122" s="1492">
        <f t="shared" si="13"/>
        <v>0</v>
      </c>
      <c r="H122" s="1493"/>
      <c r="J122" s="1464"/>
      <c r="K122" s="1465"/>
      <c r="L122" s="806"/>
      <c r="M122" s="1464"/>
      <c r="N122" s="1465"/>
      <c r="P122" s="1464"/>
      <c r="Q122" s="1465"/>
      <c r="S122" s="1464"/>
      <c r="T122" s="1465"/>
      <c r="U122" s="479" t="str">
        <f>IF(AND(G122&gt;0,OR(C122="",C122="&lt;Enter detailed description here; use Comments section if needed&gt;")),"NO DESCRIPTION PROVIDED - please enter detailed description in Other box at left; use Comments section below if needed.","")</f>
        <v/>
      </c>
      <c r="V122" s="1513"/>
      <c r="W122" s="1514"/>
    </row>
    <row r="123" spans="1:23" s="386" customFormat="1" ht="12.6" customHeight="1" thickTop="1">
      <c r="B123" s="464"/>
      <c r="F123" s="446" t="s">
        <v>209</v>
      </c>
      <c r="G123" s="944">
        <f>SUM(G117:H122)</f>
        <v>251586</v>
      </c>
      <c r="H123" s="948"/>
      <c r="J123" s="944">
        <f>SUM(J121:K122)</f>
        <v>0</v>
      </c>
      <c r="K123" s="948"/>
      <c r="L123" s="806"/>
      <c r="M123" s="944">
        <f>SUM(M121:N122)</f>
        <v>0</v>
      </c>
      <c r="N123" s="948"/>
      <c r="P123" s="944">
        <f>SUM(P121:Q122)</f>
        <v>25000</v>
      </c>
      <c r="Q123" s="948"/>
      <c r="S123" s="944">
        <f>SUM(S117:T122)</f>
        <v>226586</v>
      </c>
      <c r="T123" s="948"/>
      <c r="V123" s="1516"/>
      <c r="W123" s="1517"/>
    </row>
    <row r="124" spans="1:23" s="386" customFormat="1" ht="13.15" customHeight="1">
      <c r="B124" s="389" t="s">
        <v>789</v>
      </c>
      <c r="C124" s="791"/>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790</v>
      </c>
      <c r="C125" s="791"/>
      <c r="G125" s="1492">
        <v>118184</v>
      </c>
      <c r="H125" s="1493"/>
      <c r="J125" s="1464"/>
      <c r="K125" s="1465"/>
      <c r="L125" s="447"/>
      <c r="M125" s="1464"/>
      <c r="N125" s="1465"/>
      <c r="P125" s="1492">
        <v>118184</v>
      </c>
      <c r="Q125" s="1493"/>
      <c r="S125" s="1508"/>
      <c r="T125" s="1465"/>
      <c r="V125" s="1511"/>
      <c r="W125" s="1512"/>
    </row>
    <row r="126" spans="1:23" s="386" customFormat="1" ht="12.6" customHeight="1" thickBot="1">
      <c r="A126" s="480" t="str">
        <f>IF(AND(G126&gt;0,OR(C126="",C126="&lt;Enter detailed description here; use Comments section if needed&gt;")),"X","")</f>
        <v/>
      </c>
      <c r="B126" s="386" t="s">
        <v>1045</v>
      </c>
      <c r="C126" s="1318" t="s">
        <v>3180</v>
      </c>
      <c r="D126" s="1318"/>
      <c r="E126" s="1318"/>
      <c r="F126" s="1319"/>
      <c r="G126" s="1492">
        <f t="shared" ref="G126" si="14">SUM(J126:T126)</f>
        <v>0</v>
      </c>
      <c r="H126" s="1493"/>
      <c r="J126" s="1464"/>
      <c r="K126" s="1465"/>
      <c r="L126" s="806"/>
      <c r="M126" s="1464"/>
      <c r="N126" s="1465"/>
      <c r="P126" s="1464"/>
      <c r="Q126" s="1465"/>
      <c r="S126" s="1464"/>
      <c r="T126" s="1465"/>
      <c r="U126" s="479" t="str">
        <f>IF(AND(G126&gt;0,OR(C126="",C126="&lt;Enter detailed description here; use Comments section if needed&gt;")),"NO DESCRIPTION PROVIDED - please enter detailed description in Other box at left; use Comments section below if needed.","")</f>
        <v/>
      </c>
      <c r="V126" s="1513"/>
      <c r="W126" s="1514"/>
    </row>
    <row r="127" spans="1:23" s="386" customFormat="1" ht="12.6" customHeight="1" thickTop="1">
      <c r="C127" s="791"/>
      <c r="F127" s="446" t="s">
        <v>209</v>
      </c>
      <c r="G127" s="944">
        <f>SUM(G125:H126)</f>
        <v>118184</v>
      </c>
      <c r="H127" s="948"/>
      <c r="J127" s="944">
        <f>SUM(J125:K126)</f>
        <v>0</v>
      </c>
      <c r="K127" s="948"/>
      <c r="L127" s="806"/>
      <c r="M127" s="944">
        <f>SUM(M125:N126)</f>
        <v>0</v>
      </c>
      <c r="N127" s="948"/>
      <c r="P127" s="944">
        <f>SUM(P125:Q126)</f>
        <v>118184</v>
      </c>
      <c r="Q127" s="948"/>
      <c r="S127" s="944">
        <f>SUM(S125:T126)</f>
        <v>0</v>
      </c>
      <c r="T127" s="948"/>
      <c r="V127" s="1513"/>
      <c r="W127" s="1514"/>
    </row>
    <row r="128" spans="1:23" s="386" customFormat="1" ht="3" customHeight="1" thickBot="1">
      <c r="C128" s="791"/>
      <c r="H128" s="460"/>
      <c r="I128" s="460"/>
      <c r="L128" s="796"/>
      <c r="V128" s="1513"/>
      <c r="W128" s="1514"/>
    </row>
    <row r="129" spans="1:23" s="386" customFormat="1" ht="13.9" customHeight="1" thickBot="1">
      <c r="B129" s="393" t="s">
        <v>3958</v>
      </c>
      <c r="G129" s="954">
        <f>G17+G23+G27+G32+G37+G40+G46+G63+G76+G82+G90+G104+G110+G115+G123+G127</f>
        <v>7082916.1300000008</v>
      </c>
      <c r="H129" s="955"/>
      <c r="J129" s="954">
        <f>J17+J23+J27+J32+J37+J40+J46+J63+J76+J82+J90+J104+J110+J115+J123+J127</f>
        <v>361198.75260000001</v>
      </c>
      <c r="K129" s="955"/>
      <c r="M129" s="954">
        <f>M17+M23+M27+M32+M37+M40+M46+M63+M76+M82+M90+M104+M110+M115+M123+M127</f>
        <v>1626191</v>
      </c>
      <c r="N129" s="955"/>
      <c r="P129" s="954">
        <f>P17+P23+P27+P32+P37+P40+P46+P63+P76+P82+P90+P104+P110+P115+P123+P127</f>
        <v>4414030.6473999992</v>
      </c>
      <c r="Q129" s="955"/>
      <c r="S129" s="954">
        <f>S17+S23+S27+S32+S37+S40+S46+S63+S76+S82+S90+S104+S110+S115+S123+S127</f>
        <v>681495.73</v>
      </c>
      <c r="T129" s="955"/>
      <c r="V129" s="1516"/>
      <c r="W129" s="1517"/>
    </row>
    <row r="130" spans="1:23" s="386" customFormat="1" ht="3" customHeight="1">
      <c r="C130" s="791"/>
      <c r="H130" s="460"/>
      <c r="I130" s="460"/>
      <c r="L130" s="796"/>
    </row>
    <row r="131" spans="1:23" s="386" customFormat="1" ht="13.9" customHeight="1">
      <c r="B131" s="779" t="s">
        <v>3959</v>
      </c>
      <c r="C131" s="777"/>
      <c r="D131" s="961">
        <f>G129/'Part VI-Revenues &amp; Expenses'!$M$62</f>
        <v>144549.30877551023</v>
      </c>
      <c r="E131" s="961"/>
      <c r="F131" s="778" t="s">
        <v>3957</v>
      </c>
      <c r="G131" s="961">
        <f>G129/'Part VI-Revenues &amp; Expenses'!$M$100</f>
        <v>164.88002537362075</v>
      </c>
      <c r="H131" s="962"/>
      <c r="I131" s="465"/>
    </row>
    <row r="132" spans="1:23" s="386" customFormat="1" ht="3" customHeight="1">
      <c r="I132" s="465"/>
      <c r="L132" s="465"/>
    </row>
    <row r="133" spans="1:23" s="386" customFormat="1" ht="3.6" customHeight="1" thickBot="1">
      <c r="D133" s="791"/>
      <c r="E133" s="791"/>
      <c r="I133" s="460"/>
      <c r="J133" s="460"/>
      <c r="K133" s="466"/>
      <c r="L133" s="392"/>
      <c r="P133" s="796"/>
    </row>
    <row r="134" spans="1:23" s="386" customFormat="1" ht="25.9" customHeight="1">
      <c r="A134" s="566" t="s">
        <v>1044</v>
      </c>
      <c r="B134" s="568" t="s">
        <v>1868</v>
      </c>
      <c r="C134" s="387"/>
      <c r="D134" s="806"/>
      <c r="E134" s="806"/>
      <c r="G134" s="796"/>
      <c r="H134" s="796"/>
      <c r="I134" s="467"/>
      <c r="J134" s="950" t="s">
        <v>299</v>
      </c>
      <c r="K134" s="951"/>
      <c r="M134" s="950" t="s">
        <v>106</v>
      </c>
      <c r="N134" s="951"/>
      <c r="P134" s="950" t="s">
        <v>300</v>
      </c>
      <c r="Q134" s="951"/>
      <c r="V134" s="567" t="str">
        <f>B134</f>
        <v>TAX CREDIT CALCULATION - BASIS METHOD</v>
      </c>
    </row>
    <row r="135" spans="1:23" s="386" customFormat="1" ht="15" customHeight="1" thickBot="1">
      <c r="B135" s="393" t="s">
        <v>2757</v>
      </c>
      <c r="D135" s="806"/>
      <c r="E135" s="806"/>
      <c r="I135" s="467"/>
      <c r="J135" s="952"/>
      <c r="K135" s="953"/>
      <c r="L135" s="387"/>
      <c r="M135" s="952"/>
      <c r="N135" s="953"/>
      <c r="P135" s="952"/>
      <c r="Q135" s="953"/>
      <c r="V135" s="386" t="str">
        <f>B135</f>
        <v>Subtractions From Eligible Basis</v>
      </c>
      <c r="W135" s="430"/>
    </row>
    <row r="136" spans="1:23" s="386" customFormat="1" ht="6" customHeight="1">
      <c r="D136" s="791"/>
      <c r="E136" s="791"/>
      <c r="I136" s="460"/>
      <c r="J136" s="460"/>
      <c r="K136" s="466"/>
      <c r="L136" s="392"/>
      <c r="P136" s="796"/>
    </row>
    <row r="137" spans="1:23" s="386" customFormat="1" ht="13.9" customHeight="1">
      <c r="B137" s="791" t="s">
        <v>151</v>
      </c>
      <c r="D137" s="796"/>
      <c r="E137" s="796"/>
      <c r="F137" s="796"/>
      <c r="G137" s="796"/>
      <c r="H137" s="796"/>
      <c r="I137" s="467"/>
      <c r="J137" s="1518"/>
      <c r="K137" s="1519"/>
      <c r="P137" s="1518"/>
      <c r="Q137" s="1519"/>
      <c r="V137" s="1511"/>
      <c r="W137" s="1512"/>
    </row>
    <row r="138" spans="1:23" s="386" customFormat="1" ht="13.9" customHeight="1">
      <c r="B138" s="796" t="s">
        <v>2868</v>
      </c>
      <c r="D138" s="796"/>
      <c r="E138" s="796"/>
      <c r="F138" s="796"/>
      <c r="G138" s="796"/>
      <c r="H138" s="796"/>
      <c r="I138" s="467"/>
      <c r="J138" s="1518"/>
      <c r="K138" s="1519"/>
      <c r="P138" s="1518"/>
      <c r="Q138" s="1519"/>
      <c r="V138" s="1513"/>
      <c r="W138" s="1514"/>
    </row>
    <row r="139" spans="1:23" s="386" customFormat="1" ht="13.9" customHeight="1">
      <c r="B139" s="796" t="s">
        <v>2566</v>
      </c>
      <c r="D139" s="796"/>
      <c r="E139" s="796"/>
      <c r="I139" s="467"/>
      <c r="J139" s="1518"/>
      <c r="K139" s="1519"/>
      <c r="P139" s="1518"/>
      <c r="Q139" s="1519"/>
      <c r="V139" s="1513"/>
      <c r="W139" s="1514"/>
    </row>
    <row r="140" spans="1:23" s="386" customFormat="1" ht="13.9" customHeight="1">
      <c r="B140" s="796" t="s">
        <v>2567</v>
      </c>
      <c r="D140" s="796"/>
      <c r="E140" s="796"/>
      <c r="I140" s="467"/>
      <c r="J140" s="1518"/>
      <c r="K140" s="1519"/>
      <c r="P140" s="1518"/>
      <c r="Q140" s="1519"/>
      <c r="V140" s="1513"/>
      <c r="W140" s="1514"/>
    </row>
    <row r="141" spans="1:23" s="386" customFormat="1" ht="13.9" customHeight="1">
      <c r="B141" s="796" t="s">
        <v>279</v>
      </c>
      <c r="D141" s="796"/>
      <c r="E141" s="796"/>
      <c r="I141" s="467"/>
      <c r="J141" s="1518"/>
      <c r="K141" s="1519"/>
      <c r="P141" s="1518"/>
      <c r="Q141" s="1519"/>
      <c r="V141" s="1513"/>
      <c r="W141" s="1514"/>
    </row>
    <row r="142" spans="1:23" s="386" customFormat="1" ht="13.9" customHeight="1" thickBot="1">
      <c r="B142" s="796" t="s">
        <v>2065</v>
      </c>
      <c r="C142" s="1318" t="s">
        <v>3180</v>
      </c>
      <c r="D142" s="1318"/>
      <c r="E142" s="1318"/>
      <c r="F142" s="1318"/>
      <c r="G142" s="1318"/>
      <c r="H142" s="1318"/>
      <c r="I142" s="1319"/>
      <c r="J142" s="1518"/>
      <c r="K142" s="1519"/>
      <c r="P142" s="1518"/>
      <c r="Q142" s="1519"/>
      <c r="V142" s="1513"/>
      <c r="W142" s="1514"/>
    </row>
    <row r="143" spans="1:23" s="386" customFormat="1" ht="13.9" customHeight="1" thickBot="1">
      <c r="B143" s="398" t="s">
        <v>2568</v>
      </c>
      <c r="C143" s="401"/>
      <c r="J143" s="904">
        <f>SUM(J137:K142)</f>
        <v>0</v>
      </c>
      <c r="K143" s="905"/>
      <c r="P143" s="904">
        <f>SUM(P137:Q142)</f>
        <v>0</v>
      </c>
      <c r="Q143" s="905"/>
      <c r="V143" s="1516"/>
      <c r="W143" s="1517"/>
    </row>
    <row r="144" spans="1:23" s="386" customFormat="1" ht="3" customHeight="1"/>
    <row r="145" spans="1:23" s="386" customFormat="1" ht="15" customHeight="1" thickBot="1">
      <c r="B145" s="389" t="s">
        <v>3071</v>
      </c>
      <c r="V145" s="386" t="str">
        <f>B145</f>
        <v>Eligible Basis Calculation</v>
      </c>
    </row>
    <row r="146" spans="1:23" s="386" customFormat="1" ht="13.9" customHeight="1">
      <c r="B146" s="386" t="s">
        <v>2485</v>
      </c>
      <c r="J146" s="1009">
        <f>J129</f>
        <v>361198.75260000001</v>
      </c>
      <c r="K146" s="1010"/>
      <c r="M146" s="1011">
        <f>M129</f>
        <v>1626191</v>
      </c>
      <c r="N146" s="1012"/>
      <c r="P146" s="1009">
        <f>P129</f>
        <v>4414030.6473999992</v>
      </c>
      <c r="Q146" s="1010"/>
      <c r="V146" s="1511"/>
      <c r="W146" s="1512"/>
    </row>
    <row r="147" spans="1:23" s="386" customFormat="1" ht="13.9" customHeight="1">
      <c r="B147" s="386" t="s">
        <v>2943</v>
      </c>
      <c r="J147" s="956">
        <f>J143</f>
        <v>0</v>
      </c>
      <c r="K147" s="957"/>
      <c r="M147" s="960"/>
      <c r="N147" s="960"/>
      <c r="P147" s="956">
        <f>P143</f>
        <v>0</v>
      </c>
      <c r="Q147" s="957"/>
      <c r="V147" s="1513"/>
      <c r="W147" s="1514"/>
    </row>
    <row r="148" spans="1:23" s="386" customFormat="1" ht="13.9" customHeight="1">
      <c r="B148" s="386" t="s">
        <v>2944</v>
      </c>
      <c r="J148" s="956">
        <f>J146-J147</f>
        <v>361198.75260000001</v>
      </c>
      <c r="K148" s="957"/>
      <c r="M148" s="956">
        <f>M146</f>
        <v>1626191</v>
      </c>
      <c r="N148" s="957"/>
      <c r="P148" s="956">
        <f>P146-P147</f>
        <v>4414030.6473999992</v>
      </c>
      <c r="Q148" s="957"/>
      <c r="V148" s="1513"/>
      <c r="W148" s="1514"/>
    </row>
    <row r="149" spans="1:23" s="386" customFormat="1" ht="13.9" customHeight="1">
      <c r="B149" s="386" t="s">
        <v>1936</v>
      </c>
      <c r="G149" s="788" t="s">
        <v>2403</v>
      </c>
      <c r="H149" s="1308" t="s">
        <v>4062</v>
      </c>
      <c r="I149" s="1309"/>
      <c r="J149" s="1520">
        <v>1.3</v>
      </c>
      <c r="K149" s="1521"/>
      <c r="M149" s="1008"/>
      <c r="N149" s="1008"/>
      <c r="P149" s="1520">
        <v>1.3</v>
      </c>
      <c r="Q149" s="1521"/>
      <c r="V149" s="1513"/>
      <c r="W149" s="1514"/>
    </row>
    <row r="150" spans="1:23" s="386" customFormat="1" ht="13.9" customHeight="1">
      <c r="B150" s="386" t="s">
        <v>2768</v>
      </c>
      <c r="J150" s="956">
        <f>J148*J149</f>
        <v>469558.37838000001</v>
      </c>
      <c r="K150" s="957"/>
      <c r="M150" s="956">
        <f>+M148</f>
        <v>1626191</v>
      </c>
      <c r="N150" s="957"/>
      <c r="P150" s="956">
        <f>P148*P149</f>
        <v>5738239.8416199991</v>
      </c>
      <c r="Q150" s="957"/>
      <c r="V150" s="1513"/>
      <c r="W150" s="1514"/>
    </row>
    <row r="151" spans="1:23" s="386" customFormat="1" ht="13.9" customHeight="1">
      <c r="B151" s="386" t="s">
        <v>3338</v>
      </c>
      <c r="J151" s="958">
        <f>MIN('Part VI-Revenues &amp; Expenses'!$M$58/'Part VI-Revenues &amp; Expenses'!$M$60,'Part VI-Revenues &amp; Expenses'!$M$96/'Part VI-Revenues &amp; Expenses'!$M$98)</f>
        <v>1</v>
      </c>
      <c r="K151" s="959"/>
      <c r="M151" s="958">
        <f>MIN('Part VI-Revenues &amp; Expenses'!$M$58/'Part VI-Revenues &amp; Expenses'!$M$60,'Part VI-Revenues &amp; Expenses'!$M$96/'Part VI-Revenues &amp; Expenses'!$M$98)</f>
        <v>1</v>
      </c>
      <c r="N151" s="959"/>
      <c r="P151" s="958">
        <f>MIN('Part VI-Revenues &amp; Expenses'!$M$58/'Part VI-Revenues &amp; Expenses'!$M$60,'Part VI-Revenues &amp; Expenses'!$M$96/'Part VI-Revenues &amp; Expenses'!$M$98)</f>
        <v>1</v>
      </c>
      <c r="Q151" s="959"/>
      <c r="V151" s="1513"/>
      <c r="W151" s="1514"/>
    </row>
    <row r="152" spans="1:23" s="386" customFormat="1" ht="13.9" customHeight="1">
      <c r="B152" s="386" t="s">
        <v>2758</v>
      </c>
      <c r="J152" s="956">
        <f>J150*J151</f>
        <v>469558.37838000001</v>
      </c>
      <c r="K152" s="957"/>
      <c r="M152" s="956">
        <f>M150*M151</f>
        <v>1626191</v>
      </c>
      <c r="N152" s="957"/>
      <c r="P152" s="956">
        <f>P150*P151</f>
        <v>5738239.8416199991</v>
      </c>
      <c r="Q152" s="957"/>
      <c r="V152" s="1513"/>
      <c r="W152" s="1514"/>
    </row>
    <row r="153" spans="1:23" s="386" customFormat="1" ht="13.9" customHeight="1">
      <c r="B153" s="386" t="s">
        <v>2759</v>
      </c>
      <c r="J153" s="1520">
        <v>7.3899999999999993E-2</v>
      </c>
      <c r="K153" s="1521"/>
      <c r="M153" s="1520">
        <v>3.1699999999999999E-2</v>
      </c>
      <c r="N153" s="1521"/>
      <c r="P153" s="1520">
        <v>7.3899999999999993E-2</v>
      </c>
      <c r="Q153" s="1521"/>
      <c r="V153" s="1513"/>
      <c r="W153" s="1514"/>
    </row>
    <row r="154" spans="1:23" s="386" customFormat="1" ht="13.9" customHeight="1" thickBot="1">
      <c r="B154" s="386" t="s">
        <v>3339</v>
      </c>
      <c r="J154" s="1006">
        <f>J152*J153</f>
        <v>34700.364162282</v>
      </c>
      <c r="K154" s="1007"/>
      <c r="M154" s="1006">
        <f>M152*M153</f>
        <v>51550.254699999998</v>
      </c>
      <c r="N154" s="1007"/>
      <c r="P154" s="1006">
        <f>P152*P153</f>
        <v>424055.92429571791</v>
      </c>
      <c r="Q154" s="1007"/>
      <c r="V154" s="1513"/>
      <c r="W154" s="1514"/>
    </row>
    <row r="155" spans="1:23" s="386" customFormat="1" ht="13.9" customHeight="1" thickBot="1">
      <c r="B155" s="389" t="s">
        <v>1866</v>
      </c>
      <c r="J155" s="904">
        <f>J154+M154+P154</f>
        <v>510306.54315799987</v>
      </c>
      <c r="K155" s="998"/>
      <c r="L155" s="998"/>
      <c r="M155" s="998"/>
      <c r="N155" s="998"/>
      <c r="O155" s="998"/>
      <c r="P155" s="998"/>
      <c r="Q155" s="905"/>
      <c r="V155" s="1516"/>
      <c r="W155" s="1517"/>
    </row>
    <row r="156" spans="1:23" s="386" customFormat="1" ht="6" customHeight="1">
      <c r="B156" s="468"/>
      <c r="L156" s="469"/>
      <c r="M156" s="469"/>
      <c r="N156" s="469"/>
      <c r="O156" s="469"/>
    </row>
    <row r="157" spans="1:23" s="386" customFormat="1" ht="13.9" customHeight="1">
      <c r="A157" s="567" t="s">
        <v>1046</v>
      </c>
      <c r="B157" s="567" t="s">
        <v>1869</v>
      </c>
      <c r="H157" s="460"/>
      <c r="I157" s="460"/>
      <c r="L157" s="796"/>
      <c r="M157" s="673"/>
      <c r="N157" s="796"/>
      <c r="O157" s="796"/>
      <c r="P157" s="796"/>
      <c r="Q157" s="796"/>
      <c r="R157" s="796"/>
      <c r="S157" s="796"/>
      <c r="T157" s="796"/>
    </row>
    <row r="158" spans="1:23" s="386" customFormat="1" ht="15" customHeight="1" thickBot="1">
      <c r="B158" s="389" t="s">
        <v>191</v>
      </c>
      <c r="H158" s="351"/>
      <c r="M158" s="673"/>
      <c r="N158" s="796"/>
      <c r="O158" s="796"/>
      <c r="P158" s="796"/>
      <c r="Q158" s="796"/>
      <c r="R158" s="796"/>
      <c r="S158" s="796"/>
      <c r="T158" s="796"/>
      <c r="V158" s="567" t="str">
        <f>B157</f>
        <v>TAX CREDIT CALCULATION - GAP METHOD</v>
      </c>
    </row>
    <row r="159" spans="1:23" s="386" customFormat="1" ht="15" customHeight="1">
      <c r="B159" s="377" t="s">
        <v>3926</v>
      </c>
      <c r="G159" s="993" t="str">
        <f>IF(J160&gt;J159,"TDC exceeds QAP PUCL!","")</f>
        <v/>
      </c>
      <c r="H159" s="993"/>
      <c r="I159" s="994"/>
      <c r="J159" s="995">
        <f>'Part VIII-Threshold Criteria'!$P$48</f>
        <v>7108451</v>
      </c>
      <c r="K159" s="996"/>
      <c r="L159" s="997"/>
      <c r="M159" s="983" t="s">
        <v>3768</v>
      </c>
      <c r="N159" s="984"/>
      <c r="O159" s="984"/>
      <c r="P159" s="984"/>
      <c r="Q159" s="984"/>
      <c r="R159" s="985"/>
      <c r="S159" s="989" t="s">
        <v>3667</v>
      </c>
      <c r="T159" s="990"/>
      <c r="V159" s="1511"/>
      <c r="W159" s="1512"/>
    </row>
    <row r="160" spans="1:23" s="386" customFormat="1" ht="13.9" customHeight="1">
      <c r="B160" s="386" t="s">
        <v>3770</v>
      </c>
      <c r="J160" s="1522">
        <f>MIN(G129,J159,(G129-O162))</f>
        <v>7082916.1300000008</v>
      </c>
      <c r="K160" s="1523"/>
      <c r="L160" s="1524"/>
      <c r="M160" s="986"/>
      <c r="N160" s="987"/>
      <c r="O160" s="987"/>
      <c r="P160" s="987"/>
      <c r="Q160" s="987"/>
      <c r="R160" s="988"/>
      <c r="S160" s="991"/>
      <c r="T160" s="992"/>
      <c r="V160" s="1513"/>
      <c r="W160" s="1514"/>
    </row>
    <row r="161" spans="1:23" s="386" customFormat="1" ht="13.9" customHeight="1">
      <c r="B161" s="386" t="s">
        <v>289</v>
      </c>
      <c r="J161" s="956">
        <f>'Part III-Sources of Funds'!$H$49-'Part III-Sources of Funds'!H36-'Part III-Sources of Funds'!$H$37-'Part III-Sources of Funds'!$H$40-'Part III-Sources of Funds'!$H$41</f>
        <v>1363553</v>
      </c>
      <c r="K161" s="960"/>
      <c r="L161" s="999"/>
      <c r="M161" s="986"/>
      <c r="N161" s="987"/>
      <c r="O161" s="987"/>
      <c r="P161" s="987"/>
      <c r="Q161" s="987"/>
      <c r="R161" s="988"/>
      <c r="S161" s="991"/>
      <c r="T161" s="992"/>
      <c r="V161" s="1513"/>
      <c r="W161" s="1514"/>
    </row>
    <row r="162" spans="1:23" s="386" customFormat="1" ht="13.9" customHeight="1" thickBot="1">
      <c r="B162" s="386" t="s">
        <v>2956</v>
      </c>
      <c r="J162" s="956">
        <f>+J160-J161</f>
        <v>5719363.1300000008</v>
      </c>
      <c r="K162" s="960"/>
      <c r="L162" s="999"/>
      <c r="M162" s="1014" t="s">
        <v>3769</v>
      </c>
      <c r="N162" s="1015"/>
      <c r="O162" s="1000">
        <f>'Part III-Sources of Funds'!H36</f>
        <v>0</v>
      </c>
      <c r="P162" s="1000"/>
      <c r="Q162" s="1000"/>
      <c r="R162" s="1001"/>
      <c r="S162" s="540" t="s">
        <v>2341</v>
      </c>
      <c r="T162" s="1525" t="s">
        <v>4063</v>
      </c>
      <c r="V162" s="1513"/>
      <c r="W162" s="1514"/>
    </row>
    <row r="163" spans="1:23" s="386" customFormat="1" ht="13.9" customHeight="1">
      <c r="B163" s="386" t="s">
        <v>1719</v>
      </c>
      <c r="J163" s="1013" t="str">
        <f>"/ 10"</f>
        <v>/ 10</v>
      </c>
      <c r="K163" s="1013"/>
      <c r="L163" s="1013"/>
      <c r="M163" s="796"/>
      <c r="N163" s="668"/>
      <c r="O163" s="668"/>
      <c r="P163" s="668"/>
      <c r="Q163" s="668"/>
      <c r="R163" s="668"/>
      <c r="V163" s="1513"/>
      <c r="W163" s="1514"/>
    </row>
    <row r="164" spans="1:23" s="386" customFormat="1" ht="13.9" customHeight="1">
      <c r="B164" s="386" t="s">
        <v>1720</v>
      </c>
      <c r="J164" s="956">
        <f>J162/10</f>
        <v>571936.31300000008</v>
      </c>
      <c r="K164" s="960"/>
      <c r="L164" s="957"/>
      <c r="M164" s="406"/>
      <c r="N164" s="838" t="s">
        <v>1721</v>
      </c>
      <c r="O164" s="838"/>
      <c r="Q164" s="838" t="s">
        <v>2494</v>
      </c>
      <c r="R164" s="838"/>
      <c r="V164" s="1513"/>
      <c r="W164" s="1514"/>
    </row>
    <row r="165" spans="1:23" s="386" customFormat="1" ht="13.9" customHeight="1" thickBot="1">
      <c r="B165" s="386" t="s">
        <v>1935</v>
      </c>
      <c r="J165" s="1002">
        <f>N165+Q165</f>
        <v>1.1099999999999999</v>
      </c>
      <c r="K165" s="1003"/>
      <c r="L165" s="1004"/>
      <c r="M165" s="788" t="s">
        <v>1722</v>
      </c>
      <c r="N165" s="1526">
        <v>0.85</v>
      </c>
      <c r="O165" s="1527"/>
      <c r="P165" s="788" t="s">
        <v>791</v>
      </c>
      <c r="Q165" s="1526">
        <v>0.26</v>
      </c>
      <c r="R165" s="1527"/>
      <c r="V165" s="1513"/>
      <c r="W165" s="1514"/>
    </row>
    <row r="166" spans="1:23" s="386" customFormat="1" ht="13.9" customHeight="1" thickBot="1">
      <c r="B166" s="389" t="s">
        <v>1867</v>
      </c>
      <c r="J166" s="904">
        <f>IF(J165=0,"",J164/J165)</f>
        <v>515257.93963963975</v>
      </c>
      <c r="K166" s="998"/>
      <c r="L166" s="905"/>
      <c r="M166" s="406"/>
      <c r="N166" s="796"/>
      <c r="O166" s="796"/>
      <c r="V166" s="1513"/>
      <c r="W166" s="1514"/>
    </row>
    <row r="167" spans="1:23" s="386" customFormat="1" ht="6" customHeight="1">
      <c r="J167" s="470"/>
      <c r="K167" s="470"/>
      <c r="L167" s="470"/>
      <c r="M167" s="406"/>
      <c r="N167" s="799"/>
      <c r="O167" s="799"/>
      <c r="V167" s="1513"/>
      <c r="W167" s="1514"/>
    </row>
    <row r="168" spans="1:23" s="386" customFormat="1" ht="16.149999999999999" customHeight="1">
      <c r="B168" s="389" t="s">
        <v>381</v>
      </c>
      <c r="J168" s="980">
        <f>+MIN(J155,J166,'DCA Underwriting Assumptions'!$R$6)</f>
        <v>510306.54315799987</v>
      </c>
      <c r="K168" s="981"/>
      <c r="L168" s="982"/>
      <c r="M168" s="406"/>
      <c r="N168" s="799"/>
      <c r="O168" s="799"/>
      <c r="V168" s="1513"/>
      <c r="W168" s="1514"/>
    </row>
    <row r="169" spans="1:23" s="386" customFormat="1" ht="3" customHeight="1">
      <c r="J169" s="470"/>
      <c r="K169" s="470"/>
      <c r="L169" s="470"/>
      <c r="M169" s="406"/>
      <c r="N169" s="799"/>
      <c r="O169" s="799"/>
      <c r="V169" s="1513"/>
      <c r="W169" s="1514"/>
    </row>
    <row r="170" spans="1:23" s="386" customFormat="1" ht="16.149999999999999" customHeight="1">
      <c r="B170" s="389" t="s">
        <v>382</v>
      </c>
      <c r="J170" s="1528">
        <f>J168</f>
        <v>510306.54315799987</v>
      </c>
      <c r="K170" s="1529"/>
      <c r="L170" s="1530"/>
      <c r="M170" s="471" t="str">
        <f>IF(J168=0,"",IF(J170&gt;J168,"ALLOCATION CANNOT EXCEED MAXIMUM - REVISE REQUEST!",""))</f>
        <v/>
      </c>
      <c r="N170" s="799"/>
      <c r="O170" s="799"/>
      <c r="V170" s="1513"/>
      <c r="W170" s="1514"/>
    </row>
    <row r="171" spans="1:23" s="386" customFormat="1" ht="3" customHeight="1">
      <c r="J171" s="470"/>
      <c r="K171" s="470"/>
      <c r="L171" s="470"/>
      <c r="M171" s="406"/>
      <c r="N171" s="799"/>
      <c r="O171" s="799"/>
      <c r="V171" s="1513"/>
      <c r="W171" s="1514"/>
    </row>
    <row r="172" spans="1:23" s="386" customFormat="1" ht="16.149999999999999" customHeight="1">
      <c r="A172" s="567" t="s">
        <v>2487</v>
      </c>
      <c r="B172" s="567" t="s">
        <v>3419</v>
      </c>
      <c r="D172" s="406"/>
      <c r="E172" s="406"/>
      <c r="F172" s="392"/>
      <c r="J172" s="980">
        <f>IF(J170="",0,+MIN(J168,J170))</f>
        <v>510306.54315799987</v>
      </c>
      <c r="K172" s="981"/>
      <c r="L172" s="982"/>
      <c r="N172" s="1531"/>
      <c r="O172" s="1531"/>
      <c r="P172" s="1531"/>
      <c r="Q172" s="1531"/>
      <c r="R172" s="1531"/>
      <c r="S172" s="1531"/>
      <c r="T172" s="1531"/>
      <c r="V172" s="1516"/>
      <c r="W172" s="1517"/>
    </row>
    <row r="173" spans="1:23" ht="3" customHeight="1"/>
    <row r="174" spans="1:23" ht="6" customHeight="1"/>
    <row r="175" spans="1:23" ht="12" customHeight="1">
      <c r="A175" s="389" t="s">
        <v>2489</v>
      </c>
      <c r="B175" s="415" t="s">
        <v>743</v>
      </c>
      <c r="K175" s="389" t="s">
        <v>696</v>
      </c>
      <c r="L175" s="389" t="s">
        <v>83</v>
      </c>
    </row>
    <row r="176" spans="1:23" ht="201" customHeight="1">
      <c r="A176" s="1532" t="s">
        <v>4200</v>
      </c>
      <c r="B176" s="1533"/>
      <c r="C176" s="1533"/>
      <c r="D176" s="1533"/>
      <c r="E176" s="1533"/>
      <c r="F176" s="1533"/>
      <c r="G176" s="1533"/>
      <c r="H176" s="1533"/>
      <c r="I176" s="1533"/>
      <c r="J176" s="1534"/>
      <c r="K176" s="1535"/>
      <c r="L176" s="1533"/>
      <c r="M176" s="1533"/>
      <c r="N176" s="1533"/>
      <c r="O176" s="1533"/>
      <c r="P176" s="1533"/>
      <c r="Q176" s="1533"/>
      <c r="R176" s="1533"/>
      <c r="S176" s="1533"/>
      <c r="T176" s="1534"/>
      <c r="V176" s="924" t="s">
        <v>3594</v>
      </c>
      <c r="W176" s="924"/>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V146:W155"/>
    <mergeCell ref="V137:W143"/>
    <mergeCell ref="V125:W129"/>
    <mergeCell ref="V117:W123"/>
    <mergeCell ref="V112:W115"/>
    <mergeCell ref="V106:W110"/>
    <mergeCell ref="V95:W104"/>
    <mergeCell ref="V84:W90"/>
    <mergeCell ref="V93:W9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s>
  <phoneticPr fontId="6" type="noConversion"/>
  <conditionalFormatting sqref="J172:L172">
    <cfRule type="cellIs" dxfId="8" priority="6" stopIfTrue="1" operator="greaterThan">
      <formula>$J$168</formula>
    </cfRule>
  </conditionalFormatting>
  <conditionalFormatting sqref="G33">
    <cfRule type="cellIs" priority="8" stopIfTrue="1" operator="equal">
      <formula>"""Exceeds the limit! Re-check amounts."""</formula>
    </cfRule>
  </conditionalFormatting>
  <conditionalFormatting sqref="J34:K34 M34:N34 P34:Q34">
    <cfRule type="cellIs" dxfId="7" priority="3" operator="greaterThan">
      <formula>$G$34</formula>
    </cfRule>
  </conditionalFormatting>
  <conditionalFormatting sqref="J35:K36 M35:N36 P35:Q36">
    <cfRule type="cellIs" dxfId="6" priority="2" operator="greaterThan">
      <formula>$G$36</formula>
    </cfRule>
  </conditionalFormatting>
  <dataValidations disablePrompts="1"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16" t="str">
        <f>CONCATENATE("PART FIVE - UTILITY ALLOWANCES","  -  ",'Part I-Project Information'!$O$4," ",'Part I-Project Information'!$F$23,", ",'Part I-Project Information'!F26,", ",'Part I-Project Information'!J27," County")</f>
        <v>PART FIVE - UTILITY ALLOWANCES  -  2013-007 Country Grove Apartments, Monroe, Walton County</v>
      </c>
      <c r="B1" s="1017"/>
      <c r="C1" s="1017"/>
      <c r="D1" s="1017"/>
      <c r="E1" s="1017"/>
      <c r="F1" s="1017"/>
      <c r="G1" s="1017"/>
      <c r="H1" s="1017"/>
      <c r="I1" s="1017"/>
      <c r="J1" s="1017"/>
      <c r="K1" s="1017"/>
      <c r="L1" s="1017"/>
      <c r="M1" s="1017"/>
      <c r="N1" s="11"/>
      <c r="O1" s="11"/>
      <c r="P1" s="11"/>
      <c r="Q1" s="11"/>
      <c r="R1" s="19"/>
      <c r="S1" s="19"/>
      <c r="T1" s="19"/>
    </row>
    <row r="2" spans="1:20" s="9" customFormat="1"/>
    <row r="3" spans="1:20" s="9" customFormat="1">
      <c r="F3" s="5" t="s">
        <v>681</v>
      </c>
      <c r="I3" s="820" t="str">
        <f>VLOOKUP('Part I-Project Information'!$J$27,'Part I-Project Information'!$C$177:$D$336,2)</f>
        <v>Middle</v>
      </c>
    </row>
    <row r="4" spans="1:20" s="9" customFormat="1"/>
    <row r="5" spans="1:20" s="9" customFormat="1">
      <c r="A5" s="16" t="s">
        <v>795</v>
      </c>
      <c r="B5" s="16" t="s">
        <v>2951</v>
      </c>
      <c r="F5" s="9" t="s">
        <v>3305</v>
      </c>
      <c r="I5" s="1536" t="s">
        <v>4184</v>
      </c>
      <c r="J5" s="1537"/>
      <c r="K5" s="1537"/>
      <c r="L5" s="1537"/>
      <c r="M5" s="1538"/>
    </row>
    <row r="6" spans="1:20" s="9" customFormat="1" ht="13.15" customHeight="1">
      <c r="A6" s="16"/>
      <c r="F6" s="9" t="s">
        <v>815</v>
      </c>
      <c r="H6" s="31"/>
      <c r="I6" s="1539">
        <v>41275</v>
      </c>
      <c r="J6" s="1540"/>
      <c r="K6" s="73" t="s">
        <v>706</v>
      </c>
      <c r="L6" s="1541" t="s">
        <v>4107</v>
      </c>
      <c r="M6" s="1538"/>
    </row>
    <row r="7" spans="1:20" s="9" customFormat="1" ht="6" customHeight="1">
      <c r="A7" s="16"/>
    </row>
    <row r="8" spans="1:20" s="16" customFormat="1">
      <c r="B8" s="307"/>
      <c r="C8" s="307"/>
      <c r="D8" s="307"/>
      <c r="E8" s="307"/>
      <c r="F8" s="1019" t="s">
        <v>788</v>
      </c>
      <c r="G8" s="1019"/>
      <c r="I8" s="1018" t="s">
        <v>218</v>
      </c>
      <c r="J8" s="1018"/>
      <c r="K8" s="1018"/>
      <c r="L8" s="1018"/>
      <c r="M8" s="1018"/>
    </row>
    <row r="9" spans="1:20" s="16" customFormat="1">
      <c r="B9" s="307" t="s">
        <v>1190</v>
      </c>
      <c r="D9" s="307" t="s">
        <v>2063</v>
      </c>
      <c r="F9" s="810" t="s">
        <v>821</v>
      </c>
      <c r="G9" s="810" t="s">
        <v>2553</v>
      </c>
      <c r="I9" s="308" t="s">
        <v>735</v>
      </c>
      <c r="J9" s="309">
        <v>1</v>
      </c>
      <c r="K9" s="309">
        <v>2</v>
      </c>
      <c r="L9" s="309">
        <v>3</v>
      </c>
      <c r="M9" s="309">
        <v>4</v>
      </c>
    </row>
    <row r="10" spans="1:20" s="9" customFormat="1">
      <c r="B10" s="310" t="s">
        <v>2555</v>
      </c>
      <c r="C10" s="311"/>
      <c r="D10" s="1542" t="s">
        <v>2059</v>
      </c>
      <c r="E10" s="1543"/>
      <c r="F10" s="1544"/>
      <c r="G10" s="1544"/>
      <c r="H10" s="312"/>
      <c r="I10" s="1545"/>
      <c r="J10" s="1545">
        <v>82</v>
      </c>
      <c r="K10" s="1545">
        <v>103</v>
      </c>
      <c r="L10" s="1545"/>
      <c r="M10" s="1545"/>
    </row>
    <row r="11" spans="1:20" s="9" customFormat="1">
      <c r="B11" s="313" t="s">
        <v>596</v>
      </c>
      <c r="C11" s="314"/>
      <c r="D11" s="313" t="s">
        <v>2059</v>
      </c>
      <c r="E11" s="314"/>
      <c r="F11" s="1546"/>
      <c r="G11" s="1546"/>
      <c r="H11" s="315"/>
      <c r="I11" s="1547"/>
      <c r="J11" s="1548" t="s">
        <v>4185</v>
      </c>
      <c r="K11" s="1548" t="s">
        <v>4185</v>
      </c>
      <c r="L11" s="1549"/>
      <c r="M11" s="1549"/>
    </row>
    <row r="12" spans="1:20" s="9" customFormat="1">
      <c r="B12" s="313" t="s">
        <v>2060</v>
      </c>
      <c r="C12" s="314"/>
      <c r="D12" s="1550" t="s">
        <v>2059</v>
      </c>
      <c r="E12" s="1551"/>
      <c r="F12" s="1546"/>
      <c r="G12" s="1546"/>
      <c r="H12" s="315"/>
      <c r="I12" s="1547"/>
      <c r="J12" s="1548" t="s">
        <v>4185</v>
      </c>
      <c r="K12" s="1548" t="s">
        <v>4185</v>
      </c>
      <c r="L12" s="1549"/>
      <c r="M12" s="1549"/>
    </row>
    <row r="13" spans="1:20" s="9" customFormat="1">
      <c r="B13" s="313" t="s">
        <v>2061</v>
      </c>
      <c r="C13" s="314"/>
      <c r="D13" s="1550" t="s">
        <v>2059</v>
      </c>
      <c r="E13" s="1551"/>
      <c r="F13" s="1546"/>
      <c r="G13" s="1546"/>
      <c r="H13" s="315"/>
      <c r="I13" s="1547"/>
      <c r="J13" s="1548" t="s">
        <v>4185</v>
      </c>
      <c r="K13" s="1548" t="s">
        <v>4185</v>
      </c>
      <c r="L13" s="1549"/>
      <c r="M13" s="1549"/>
    </row>
    <row r="14" spans="1:20" s="9" customFormat="1">
      <c r="B14" s="313" t="s">
        <v>2062</v>
      </c>
      <c r="C14" s="314"/>
      <c r="D14" s="313" t="s">
        <v>2059</v>
      </c>
      <c r="E14" s="316"/>
      <c r="F14" s="1546"/>
      <c r="G14" s="1546"/>
      <c r="H14" s="315"/>
      <c r="I14" s="1547"/>
      <c r="J14" s="1548" t="s">
        <v>4185</v>
      </c>
      <c r="K14" s="1548" t="s">
        <v>4185</v>
      </c>
      <c r="L14" s="1549"/>
      <c r="M14" s="1549"/>
    </row>
    <row r="15" spans="1:20" s="9" customFormat="1">
      <c r="B15" s="313" t="s">
        <v>1804</v>
      </c>
      <c r="C15" s="314"/>
      <c r="D15" s="313" t="s">
        <v>2950</v>
      </c>
      <c r="E15" s="1552" t="s">
        <v>4068</v>
      </c>
      <c r="F15" s="1546"/>
      <c r="G15" s="1546"/>
      <c r="H15" s="315"/>
      <c r="I15" s="1547"/>
      <c r="J15" s="1547">
        <v>35</v>
      </c>
      <c r="K15" s="1547">
        <v>39</v>
      </c>
      <c r="L15" s="1549"/>
      <c r="M15" s="1549"/>
    </row>
    <row r="16" spans="1:20" s="9" customFormat="1">
      <c r="B16" s="317" t="s">
        <v>2554</v>
      </c>
      <c r="C16" s="318"/>
      <c r="D16" s="317"/>
      <c r="E16" s="284"/>
      <c r="F16" s="1553"/>
      <c r="G16" s="1553"/>
      <c r="H16" s="319"/>
      <c r="I16" s="1554"/>
      <c r="J16" s="1554">
        <v>20</v>
      </c>
      <c r="K16" s="1554">
        <v>20</v>
      </c>
      <c r="L16" s="1555"/>
      <c r="M16" s="1555"/>
    </row>
    <row r="17" spans="1:19" s="9" customFormat="1">
      <c r="B17" s="307" t="s">
        <v>1422</v>
      </c>
      <c r="D17" s="31"/>
      <c r="E17" s="31"/>
      <c r="F17" s="97"/>
      <c r="G17" s="97"/>
      <c r="I17" s="810">
        <f>SUM(I10:I16)</f>
        <v>0</v>
      </c>
      <c r="J17" s="810">
        <f>SUM(J10:J16)</f>
        <v>137</v>
      </c>
      <c r="K17" s="810">
        <f>SUM(K10:K16)</f>
        <v>162</v>
      </c>
      <c r="L17" s="810">
        <f>SUM(L10:L16)</f>
        <v>0</v>
      </c>
      <c r="M17" s="810">
        <f>SUM(M10:M16)</f>
        <v>0</v>
      </c>
    </row>
    <row r="18" spans="1:19" s="9" customFormat="1" ht="11.25" customHeight="1">
      <c r="M18" s="31"/>
      <c r="N18" s="31"/>
      <c r="O18" s="31"/>
      <c r="P18" s="31"/>
      <c r="Q18" s="31"/>
      <c r="R18" s="31"/>
      <c r="S18" s="31"/>
    </row>
    <row r="19" spans="1:19" s="9" customFormat="1">
      <c r="A19" s="16" t="s">
        <v>1044</v>
      </c>
      <c r="B19" s="16" t="s">
        <v>2952</v>
      </c>
      <c r="F19" s="9" t="s">
        <v>3305</v>
      </c>
      <c r="I19" s="1536" t="s">
        <v>1368</v>
      </c>
      <c r="J19" s="1537"/>
      <c r="K19" s="1537"/>
      <c r="L19" s="1537"/>
      <c r="M19" s="1538"/>
    </row>
    <row r="20" spans="1:19" s="9" customFormat="1" ht="13.15" customHeight="1">
      <c r="A20" s="16"/>
      <c r="B20" s="16"/>
      <c r="F20" s="9" t="s">
        <v>815</v>
      </c>
      <c r="H20" s="31"/>
      <c r="I20" s="1556" t="s">
        <v>1368</v>
      </c>
      <c r="J20" s="1540"/>
      <c r="K20" s="73" t="s">
        <v>706</v>
      </c>
      <c r="L20" s="1541"/>
      <c r="M20" s="1538"/>
    </row>
    <row r="21" spans="1:19" s="9" customFormat="1" ht="6" customHeight="1">
      <c r="A21" s="16"/>
    </row>
    <row r="22" spans="1:19" s="16" customFormat="1">
      <c r="B22" s="307"/>
      <c r="C22" s="307"/>
      <c r="D22" s="307"/>
      <c r="E22" s="307"/>
      <c r="F22" s="1019" t="s">
        <v>788</v>
      </c>
      <c r="G22" s="1019"/>
      <c r="I22" s="1018" t="s">
        <v>218</v>
      </c>
      <c r="J22" s="1018"/>
      <c r="K22" s="1018"/>
      <c r="L22" s="1018"/>
      <c r="M22" s="1018"/>
    </row>
    <row r="23" spans="1:19" s="16" customFormat="1">
      <c r="B23" s="307" t="s">
        <v>1190</v>
      </c>
      <c r="D23" s="307" t="s">
        <v>2063</v>
      </c>
      <c r="F23" s="810" t="s">
        <v>821</v>
      </c>
      <c r="G23" s="810" t="s">
        <v>2553</v>
      </c>
      <c r="I23" s="308" t="s">
        <v>735</v>
      </c>
      <c r="J23" s="309">
        <v>1</v>
      </c>
      <c r="K23" s="309">
        <v>2</v>
      </c>
      <c r="L23" s="309">
        <v>3</v>
      </c>
      <c r="M23" s="309">
        <v>4</v>
      </c>
    </row>
    <row r="24" spans="1:19" s="9" customFormat="1">
      <c r="B24" s="310" t="s">
        <v>2555</v>
      </c>
      <c r="C24" s="311"/>
      <c r="D24" s="1542" t="s">
        <v>2518</v>
      </c>
      <c r="E24" s="1543"/>
      <c r="F24" s="1544"/>
      <c r="G24" s="1544"/>
      <c r="H24" s="312"/>
      <c r="I24" s="1545"/>
      <c r="J24" s="1545"/>
      <c r="K24" s="1545"/>
      <c r="L24" s="1545"/>
      <c r="M24" s="1545"/>
    </row>
    <row r="25" spans="1:19" s="9" customFormat="1">
      <c r="B25" s="313" t="s">
        <v>596</v>
      </c>
      <c r="C25" s="314"/>
      <c r="D25" s="313" t="s">
        <v>2059</v>
      </c>
      <c r="E25" s="314"/>
      <c r="F25" s="1546"/>
      <c r="G25" s="1546"/>
      <c r="H25" s="315"/>
      <c r="I25" s="1547"/>
      <c r="J25" s="1547"/>
      <c r="K25" s="1547"/>
      <c r="L25" s="1549"/>
      <c r="M25" s="1549"/>
    </row>
    <row r="26" spans="1:19" s="9" customFormat="1">
      <c r="B26" s="313" t="s">
        <v>2060</v>
      </c>
      <c r="C26" s="314"/>
      <c r="D26" s="1550" t="s">
        <v>2518</v>
      </c>
      <c r="E26" s="1551"/>
      <c r="F26" s="1546"/>
      <c r="G26" s="1546"/>
      <c r="H26" s="315"/>
      <c r="I26" s="1547"/>
      <c r="J26" s="1547"/>
      <c r="K26" s="1547"/>
      <c r="L26" s="1549"/>
      <c r="M26" s="1549"/>
    </row>
    <row r="27" spans="1:19" s="9" customFormat="1">
      <c r="B27" s="313" t="s">
        <v>2061</v>
      </c>
      <c r="C27" s="314"/>
      <c r="D27" s="1550" t="s">
        <v>2518</v>
      </c>
      <c r="E27" s="1551"/>
      <c r="F27" s="1546"/>
      <c r="G27" s="1546"/>
      <c r="H27" s="315"/>
      <c r="I27" s="1547"/>
      <c r="J27" s="1547"/>
      <c r="K27" s="1547"/>
      <c r="L27" s="1549"/>
      <c r="M27" s="1549"/>
    </row>
    <row r="28" spans="1:19" s="9" customFormat="1">
      <c r="B28" s="313" t="s">
        <v>2062</v>
      </c>
      <c r="C28" s="314"/>
      <c r="D28" s="313" t="s">
        <v>2059</v>
      </c>
      <c r="E28" s="316"/>
      <c r="F28" s="1546"/>
      <c r="G28" s="1546"/>
      <c r="H28" s="315"/>
      <c r="I28" s="1547"/>
      <c r="J28" s="1547"/>
      <c r="K28" s="1547"/>
      <c r="L28" s="1549"/>
      <c r="M28" s="1549"/>
    </row>
    <row r="29" spans="1:19" s="9" customFormat="1">
      <c r="B29" s="313" t="s">
        <v>1804</v>
      </c>
      <c r="C29" s="314"/>
      <c r="D29" s="313" t="s">
        <v>2950</v>
      </c>
      <c r="E29" s="1552" t="s">
        <v>219</v>
      </c>
      <c r="F29" s="1546"/>
      <c r="G29" s="1546"/>
      <c r="H29" s="315"/>
      <c r="I29" s="1547"/>
      <c r="J29" s="1547"/>
      <c r="K29" s="1547"/>
      <c r="L29" s="1549"/>
      <c r="M29" s="1549"/>
    </row>
    <row r="30" spans="1:19" s="9" customFormat="1">
      <c r="B30" s="317" t="s">
        <v>2554</v>
      </c>
      <c r="C30" s="318"/>
      <c r="D30" s="317"/>
      <c r="E30" s="284"/>
      <c r="F30" s="1553"/>
      <c r="G30" s="1553"/>
      <c r="H30" s="319"/>
      <c r="I30" s="1554"/>
      <c r="J30" s="1554"/>
      <c r="K30" s="1554"/>
      <c r="L30" s="1555"/>
      <c r="M30" s="1555"/>
    </row>
    <row r="31" spans="1:19" s="9" customFormat="1">
      <c r="B31" s="307" t="s">
        <v>1422</v>
      </c>
      <c r="D31" s="31"/>
      <c r="E31" s="31"/>
      <c r="F31" s="97"/>
      <c r="G31" s="97"/>
      <c r="I31" s="810">
        <f>SUM(I24:I30)</f>
        <v>0</v>
      </c>
      <c r="J31" s="810">
        <f>SUM(J24:J30)</f>
        <v>0</v>
      </c>
      <c r="K31" s="810">
        <f>SUM(K24:K30)</f>
        <v>0</v>
      </c>
      <c r="L31" s="810">
        <f>SUM(L24:L30)</f>
        <v>0</v>
      </c>
      <c r="M31" s="810">
        <f>SUM(M24:M30)</f>
        <v>0</v>
      </c>
    </row>
    <row r="32" spans="1:19">
      <c r="A32" s="9"/>
    </row>
    <row r="33" spans="1:19">
      <c r="B33" s="320" t="s">
        <v>2503</v>
      </c>
    </row>
    <row r="34" spans="1:19" s="9" customFormat="1" ht="6" customHeight="1">
      <c r="M34" s="31"/>
      <c r="N34" s="31"/>
      <c r="O34" s="31"/>
      <c r="P34" s="31"/>
      <c r="Q34" s="31"/>
      <c r="R34" s="31"/>
      <c r="S34" s="31"/>
    </row>
    <row r="35" spans="1:19" s="9" customFormat="1" ht="12" customHeight="1">
      <c r="A35" s="16"/>
      <c r="B35" s="16" t="s">
        <v>743</v>
      </c>
      <c r="M35" s="31"/>
      <c r="N35" s="31"/>
      <c r="O35" s="31"/>
      <c r="P35" s="31"/>
      <c r="Q35" s="31"/>
      <c r="R35" s="31"/>
      <c r="S35" s="31"/>
    </row>
    <row r="36" spans="1:19" s="9" customFormat="1" ht="24.75" customHeight="1">
      <c r="B36" s="1557" t="s">
        <v>4108</v>
      </c>
      <c r="C36" s="1558"/>
      <c r="D36" s="1558"/>
      <c r="E36" s="1558"/>
      <c r="F36" s="1558"/>
      <c r="G36" s="1558"/>
      <c r="H36" s="1558"/>
      <c r="I36" s="1558"/>
      <c r="J36" s="1558"/>
      <c r="K36" s="1558"/>
      <c r="L36" s="1558"/>
      <c r="M36" s="1559"/>
      <c r="N36" s="31"/>
      <c r="O36" s="826" t="s">
        <v>3594</v>
      </c>
      <c r="P36" s="826"/>
      <c r="Q36" s="826"/>
      <c r="R36" s="826"/>
      <c r="S36" s="826"/>
    </row>
    <row r="37" spans="1:19" s="9" customFormat="1" ht="3" customHeight="1">
      <c r="M37" s="31"/>
      <c r="N37" s="31"/>
      <c r="O37" s="826"/>
      <c r="P37" s="826"/>
      <c r="Q37" s="826"/>
      <c r="R37" s="826"/>
      <c r="S37" s="826"/>
    </row>
    <row r="38" spans="1:19" s="9" customFormat="1" ht="12" customHeight="1">
      <c r="A38" s="16"/>
      <c r="B38" s="16" t="s">
        <v>2548</v>
      </c>
      <c r="M38" s="31"/>
      <c r="N38" s="31"/>
      <c r="O38" s="826"/>
      <c r="P38" s="826"/>
      <c r="Q38" s="826"/>
      <c r="R38" s="826"/>
      <c r="S38" s="826"/>
    </row>
    <row r="39" spans="1:19" s="9" customFormat="1" ht="24.75" customHeight="1">
      <c r="B39" s="1560"/>
      <c r="C39" s="1561"/>
      <c r="D39" s="1561"/>
      <c r="E39" s="1561"/>
      <c r="F39" s="1561"/>
      <c r="G39" s="1561"/>
      <c r="H39" s="1561"/>
      <c r="I39" s="1561"/>
      <c r="J39" s="1561"/>
      <c r="K39" s="1561"/>
      <c r="L39" s="1561"/>
      <c r="M39" s="1562"/>
      <c r="N39" s="31"/>
      <c r="O39" s="826"/>
      <c r="P39" s="826"/>
      <c r="Q39" s="826"/>
      <c r="R39" s="826"/>
      <c r="S39" s="826"/>
    </row>
  </sheetData>
  <sheetProtection password="BD88"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2013-06-12T20:40:26Z</cp:lastPrinted>
  <dcterms:created xsi:type="dcterms:W3CDTF">2005-09-15T20:51:37Z</dcterms:created>
  <dcterms:modified xsi:type="dcterms:W3CDTF">2013-10-09T17:36:38Z</dcterms:modified>
</cp:coreProperties>
</file>