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015" yWindow="15" windowWidth="22845" windowHeight="13335"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F36" i="8"/>
  <c r="G36"/>
  <c r="H36" s="1"/>
  <c r="B28" l="1"/>
  <c r="B37" l="1"/>
  <c r="S118" i="15" l="1"/>
  <c r="S119"/>
  <c r="S120"/>
  <c r="S117"/>
  <c r="J113"/>
  <c r="S107"/>
  <c r="S108"/>
  <c r="S109"/>
  <c r="S106"/>
  <c r="S96"/>
  <c r="S97"/>
  <c r="S99"/>
  <c r="S100"/>
  <c r="S101"/>
  <c r="S102"/>
  <c r="S103"/>
  <c r="S95"/>
  <c r="S85"/>
  <c r="S87"/>
  <c r="S88"/>
  <c r="S89"/>
  <c r="S84"/>
  <c r="J79"/>
  <c r="J66"/>
  <c r="J67"/>
  <c r="J68"/>
  <c r="J69"/>
  <c r="J70"/>
  <c r="J71"/>
  <c r="J72"/>
  <c r="J73"/>
  <c r="J74"/>
  <c r="J75"/>
  <c r="J65"/>
  <c r="J53"/>
  <c r="J54"/>
  <c r="J55"/>
  <c r="J56"/>
  <c r="J57"/>
  <c r="J58"/>
  <c r="J59"/>
  <c r="J60"/>
  <c r="J61"/>
  <c r="J62"/>
  <c r="J52"/>
  <c r="J35"/>
  <c r="J36"/>
  <c r="J34"/>
  <c r="J29"/>
  <c r="J25"/>
  <c r="S12"/>
  <c r="J13"/>
  <c r="J9"/>
  <c r="J10"/>
  <c r="J11"/>
  <c r="J8"/>
  <c r="H32" i="3"/>
  <c r="L156" i="11" l="1"/>
  <c r="O63"/>
  <c r="M214"/>
  <c r="P211" s="1"/>
  <c r="K214"/>
  <c r="O211" s="1"/>
  <c r="P38"/>
  <c r="O38"/>
  <c r="M37" i="3" l="1"/>
  <c r="M35"/>
  <c r="M34"/>
  <c r="M33"/>
  <c r="A113" i="11"/>
  <c r="A105"/>
  <c r="A103"/>
  <c r="A102"/>
  <c r="A95"/>
  <c r="A89"/>
  <c r="U61" i="15"/>
  <c r="A61"/>
  <c r="V39"/>
  <c r="O39"/>
  <c r="E36"/>
  <c r="E35"/>
  <c r="S37"/>
  <c r="P37"/>
  <c r="M37"/>
  <c r="J37"/>
  <c r="G37"/>
  <c r="S32"/>
  <c r="P32"/>
  <c r="M32"/>
  <c r="J32"/>
  <c r="G32"/>
  <c r="B25" i="8" l="1"/>
  <c r="B26"/>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M96" i="11" l="1"/>
  <c r="P259"/>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26"/>
  <c r="J26"/>
  <c r="I26"/>
  <c r="H26"/>
  <c r="G26"/>
  <c r="F26"/>
  <c r="E26"/>
  <c r="D26"/>
  <c r="C26"/>
  <c r="K25"/>
  <c r="J25"/>
  <c r="I25"/>
  <c r="H25"/>
  <c r="G25"/>
  <c r="F25"/>
  <c r="E25"/>
  <c r="D25"/>
  <c r="C25"/>
  <c r="N53" i="6" l="1"/>
  <c r="Q20" i="36"/>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D29" i="8"/>
  <c r="E29"/>
  <c r="F29"/>
  <c r="G29"/>
  <c r="H29"/>
  <c r="I29"/>
  <c r="J29"/>
  <c r="K29"/>
  <c r="B20"/>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78" i="8"/>
  <c r="J78"/>
  <c r="I78"/>
  <c r="H78"/>
  <c r="G78"/>
  <c r="F78"/>
  <c r="E78"/>
  <c r="D78"/>
  <c r="C78"/>
  <c r="B78"/>
  <c r="K49"/>
  <c r="J49"/>
  <c r="I49"/>
  <c r="H49"/>
  <c r="G49"/>
  <c r="F49"/>
  <c r="E49"/>
  <c r="D49"/>
  <c r="C49"/>
  <c r="B49"/>
  <c r="C20"/>
  <c r="D20"/>
  <c r="E20"/>
  <c r="F20"/>
  <c r="G20"/>
  <c r="H20"/>
  <c r="I20"/>
  <c r="J20"/>
  <c r="K20"/>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26" i="3" l="1"/>
  <c r="C40" i="8"/>
  <c r="FW48" i="36"/>
  <c r="J85" s="1"/>
  <c r="A82"/>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7"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B5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D40" i="8" l="1"/>
  <c r="I207" i="11"/>
  <c r="O188" s="1"/>
  <c r="L207"/>
  <c r="P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P157" i="36"/>
  <c r="F118" i="15" s="1"/>
  <c r="I70" i="36"/>
  <c r="B14" i="8"/>
  <c r="K14" s="1"/>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Q18" l="1"/>
  <c r="Q16"/>
  <c r="Q12"/>
  <c r="Q10"/>
  <c r="Q11"/>
  <c r="Q15"/>
  <c r="Q13"/>
  <c r="Q14"/>
  <c r="Q19"/>
  <c r="Q17"/>
  <c r="E40" i="8"/>
  <c r="Q97" i="36"/>
  <c r="Q56"/>
  <c r="Q61"/>
  <c r="Q64"/>
  <c r="Q89"/>
  <c r="Q59"/>
  <c r="Q99"/>
  <c r="Q65"/>
  <c r="I50" i="6"/>
  <c r="B19" i="8"/>
  <c r="F119" i="15"/>
  <c r="M66" i="36"/>
  <c r="Q66" s="1"/>
  <c r="I50" i="7"/>
  <c r="H51"/>
  <c r="M58" i="36"/>
  <c r="H50" i="6"/>
  <c r="H52" i="7"/>
  <c r="I51"/>
  <c r="I52" i="6"/>
  <c r="H52"/>
  <c r="Q57" i="36"/>
  <c r="H50" i="7"/>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E28" i="8"/>
  <c r="M96" i="36"/>
  <c r="H98"/>
  <c r="H49" i="7" l="1"/>
  <c r="F40" i="8"/>
  <c r="F77"/>
  <c r="H19"/>
  <c r="J48"/>
  <c r="I48"/>
  <c r="I164" i="11"/>
  <c r="J159" i="36"/>
  <c r="J158"/>
  <c r="J157"/>
  <c r="N148"/>
  <c r="F46" i="7"/>
  <c r="K164" i="11"/>
  <c r="E48" i="8"/>
  <c r="F45" i="7"/>
  <c r="E42" i="15"/>
  <c r="Q58" i="36"/>
  <c r="N157"/>
  <c r="C77" i="8"/>
  <c r="C48"/>
  <c r="H77"/>
  <c r="G19"/>
  <c r="F19"/>
  <c r="D77"/>
  <c r="E19"/>
  <c r="J19"/>
  <c r="J77"/>
  <c r="F48"/>
  <c r="K19"/>
  <c r="B77"/>
  <c r="G77"/>
  <c r="B48"/>
  <c r="G48"/>
  <c r="D19"/>
  <c r="D48"/>
  <c r="K48"/>
  <c r="H48"/>
  <c r="C19"/>
  <c r="I19"/>
  <c r="K77"/>
  <c r="E77"/>
  <c r="I77"/>
  <c r="H53" i="7"/>
  <c r="H55" s="1"/>
  <c r="Q60" i="36"/>
  <c r="P138" i="7"/>
  <c r="L32" i="11"/>
  <c r="P137" i="7"/>
  <c r="L31" i="11"/>
  <c r="Q77" i="36"/>
  <c r="Q80"/>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F28" i="8"/>
  <c r="M98" i="36"/>
  <c r="H100"/>
  <c r="M100" s="1"/>
  <c r="P49" i="7"/>
  <c r="P51" s="1"/>
  <c r="P53" s="1"/>
  <c r="P58" s="1"/>
  <c r="Q96" i="36"/>
  <c r="G40" i="8" l="1"/>
  <c r="J151" i="15"/>
  <c r="J152" s="1"/>
  <c r="J154" s="1"/>
  <c r="P30" i="11"/>
  <c r="O30"/>
  <c r="J159" i="15"/>
  <c r="Q98" i="36"/>
  <c r="E43" i="15"/>
  <c r="K5" i="8"/>
  <c r="P151" i="15"/>
  <c r="P152" s="1"/>
  <c r="P154" s="1"/>
  <c r="M151"/>
  <c r="M152" s="1"/>
  <c r="M154" s="1"/>
  <c r="B21" i="8"/>
  <c r="B35" s="1"/>
  <c r="P165" i="36"/>
  <c r="G28" i="8"/>
  <c r="Q100" i="36"/>
  <c r="G43" i="15"/>
  <c r="G131"/>
  <c r="H40" i="8" l="1"/>
  <c r="O288" i="11"/>
  <c r="L30"/>
  <c r="P288"/>
  <c r="R30"/>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B27" s="1"/>
  <c r="H28"/>
  <c r="I40" l="1"/>
  <c r="P6" i="11"/>
  <c r="P289"/>
  <c r="O6"/>
  <c r="J162" i="15"/>
  <c r="J164" s="1"/>
  <c r="J166" s="1"/>
  <c r="J168" s="1"/>
  <c r="G159"/>
  <c r="O289" i="11"/>
  <c r="C22" i="8"/>
  <c r="C27" s="1"/>
  <c r="E80"/>
  <c r="J51"/>
  <c r="J56" s="1"/>
  <c r="H22"/>
  <c r="H27" s="1"/>
  <c r="E51"/>
  <c r="C80"/>
  <c r="J80"/>
  <c r="G22"/>
  <c r="G27" s="1"/>
  <c r="B51"/>
  <c r="F51"/>
  <c r="J22"/>
  <c r="C51"/>
  <c r="K51"/>
  <c r="K56" s="1"/>
  <c r="H80"/>
  <c r="I22"/>
  <c r="H51"/>
  <c r="H56" s="1"/>
  <c r="E22"/>
  <c r="E27" s="1"/>
  <c r="K80"/>
  <c r="D22"/>
  <c r="D27" s="1"/>
  <c r="I51"/>
  <c r="I56" s="1"/>
  <c r="F80"/>
  <c r="K22"/>
  <c r="D51"/>
  <c r="I80"/>
  <c r="G80"/>
  <c r="F22"/>
  <c r="F27" s="1"/>
  <c r="G51"/>
  <c r="G56" s="1"/>
  <c r="D80"/>
  <c r="B80"/>
  <c r="I28"/>
  <c r="I27" l="1"/>
  <c r="J40"/>
  <c r="M170" i="15"/>
  <c r="J172"/>
  <c r="J28" i="8"/>
  <c r="J27" l="1"/>
  <c r="K40"/>
  <c r="J41" i="3"/>
  <c r="L41" s="1"/>
  <c r="E98" i="15"/>
  <c r="J6" i="7"/>
  <c r="J40" i="3"/>
  <c r="L40" s="1"/>
  <c r="K28" i="8"/>
  <c r="K27" l="1"/>
  <c r="B69"/>
  <c r="B57"/>
  <c r="B56" l="1"/>
  <c r="C69"/>
  <c r="C57"/>
  <c r="C56" l="1"/>
  <c r="D69"/>
  <c r="D57"/>
  <c r="D56" l="1"/>
  <c r="E69"/>
  <c r="E57"/>
  <c r="E56" l="1"/>
  <c r="F69"/>
  <c r="F57"/>
  <c r="F56" l="1"/>
  <c r="G69"/>
  <c r="H69" l="1"/>
  <c r="I69" l="1"/>
  <c r="J69" l="1"/>
  <c r="K69" l="1"/>
  <c r="B98" l="1"/>
  <c r="B86"/>
  <c r="C98" l="1"/>
  <c r="C86"/>
  <c r="D98" l="1"/>
  <c r="D86"/>
  <c r="E98" l="1"/>
  <c r="E86"/>
  <c r="F98" l="1"/>
  <c r="F86"/>
  <c r="G98" l="1"/>
  <c r="G86"/>
  <c r="H98" l="1"/>
  <c r="H86"/>
  <c r="I98" l="1"/>
  <c r="I86"/>
  <c r="J98" l="1"/>
  <c r="J86"/>
  <c r="K98" l="1"/>
  <c r="K86"/>
  <c r="B30" l="1"/>
  <c r="D32"/>
  <c r="H30"/>
  <c r="D30"/>
  <c r="E30"/>
  <c r="B33"/>
  <c r="D59"/>
  <c r="E59"/>
  <c r="B60"/>
  <c r="C60"/>
  <c r="H61"/>
  <c r="I61"/>
  <c r="B81"/>
  <c r="C81"/>
  <c r="D81"/>
  <c r="E81"/>
  <c r="F81"/>
  <c r="G81"/>
  <c r="H81"/>
  <c r="I81"/>
  <c r="J81"/>
  <c r="K81"/>
  <c r="D88"/>
  <c r="E88"/>
  <c r="E34" l="1"/>
  <c r="D31"/>
  <c r="E32"/>
  <c r="H32"/>
  <c r="E31"/>
  <c r="I32"/>
  <c r="I31"/>
  <c r="D62"/>
  <c r="H31"/>
  <c r="I30"/>
  <c r="D63"/>
  <c r="I62"/>
  <c r="E63"/>
  <c r="H88"/>
  <c r="D89"/>
  <c r="F62"/>
  <c r="E89"/>
  <c r="H34"/>
  <c r="D33"/>
  <c r="H62"/>
  <c r="H33"/>
  <c r="E92"/>
  <c r="D90"/>
  <c r="E90"/>
  <c r="E91"/>
  <c r="E62"/>
  <c r="D92"/>
  <c r="D34"/>
  <c r="D91"/>
  <c r="J59"/>
  <c r="B59"/>
  <c r="F30"/>
  <c r="G59"/>
  <c r="C59"/>
  <c r="K30"/>
  <c r="C30"/>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B94" l="1"/>
  <c r="C94" l="1"/>
  <c r="D94" l="1"/>
  <c r="E94" l="1"/>
  <c r="F94" l="1"/>
  <c r="G94" l="1"/>
  <c r="H94" l="1"/>
  <c r="I94" l="1"/>
  <c r="J94" l="1"/>
  <c r="K94" l="1"/>
</calcChain>
</file>

<file path=xl/sharedStrings.xml><?xml version="1.0" encoding="utf-8"?>
<sst xmlns="http://schemas.openxmlformats.org/spreadsheetml/2006/main" count="8185" uniqueCount="4204">
  <si>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</si>
  <si>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</si>
  <si>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</si>
  <si>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</si>
  <si>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</si>
  <si>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</si>
  <si>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</si>
  <si>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</si>
  <si>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</si>
  <si>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</si>
  <si>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</si>
  <si>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</si>
  <si>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</si>
  <si>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</si>
  <si>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</si>
  <si>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</si>
  <si>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</si>
  <si>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</si>
  <si>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</si>
  <si>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</si>
  <si>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</si>
  <si>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</si>
  <si>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</si>
  <si>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</si>
  <si>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</si>
  <si>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</si>
  <si>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</si>
  <si>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</si>
  <si>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</si>
  <si>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</si>
  <si>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</si>
  <si>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</si>
  <si>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</si>
  <si>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</si>
  <si>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</si>
  <si>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</si>
  <si>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</si>
  <si>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</si>
  <si>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</si>
  <si>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</si>
  <si>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</si>
  <si>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</si>
  <si>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</si>
  <si>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</si>
  <si>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</si>
  <si>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</si>
  <si>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</si>
  <si>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</si>
  <si>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</si>
  <si>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</si>
  <si>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</si>
  <si>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</si>
  <si>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</si>
  <si>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</si>
  <si>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</si>
  <si>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</si>
  <si>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</si>
  <si>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</si>
  <si>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</si>
  <si>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</si>
  <si>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</si>
  <si>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</si>
  <si>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</si>
  <si>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</si>
  <si>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</si>
  <si>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</si>
  <si>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</si>
  <si>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</si>
  <si>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</si>
  <si>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</si>
  <si>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</si>
  <si>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</si>
  <si>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</si>
  <si>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</si>
  <si>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</si>
  <si>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</si>
  <si>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</si>
  <si>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</si>
  <si>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</si>
  <si>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</si>
  <si>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</si>
  <si>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</si>
  <si>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</si>
  <si>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</si>
  <si>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</si>
  <si>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</si>
  <si>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</si>
  <si>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</si>
  <si>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</si>
  <si>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</si>
  <si>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</si>
  <si>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</si>
  <si>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</si>
  <si>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</si>
  <si>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</si>
  <si>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</si>
  <si>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</si>
  <si>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</si>
  <si>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</si>
  <si>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</si>
  <si>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</si>
  <si>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</si>
  <si>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</si>
  <si>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</si>
  <si>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</si>
  <si>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</si>
  <si>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</si>
  <si>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</si>
  <si>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</si>
  <si>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</si>
  <si>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</si>
  <si>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</si>
  <si>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</si>
  <si>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</si>
  <si>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</si>
  <si>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</si>
  <si>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</si>
  <si>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</si>
  <si>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</si>
  <si>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</si>
  <si>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</si>
  <si>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</si>
  <si>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</si>
  <si>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</si>
  <si>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</si>
  <si>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</si>
  <si>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</si>
  <si>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</si>
  <si>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</si>
  <si>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</si>
  <si>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</si>
  <si>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</si>
  <si>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</si>
  <si>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</si>
  <si>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</si>
  <si>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</si>
  <si>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</si>
  <si>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</si>
  <si>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</si>
  <si>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</si>
  <si>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</si>
  <si>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</si>
  <si>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</si>
  <si>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</si>
  <si>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</si>
  <si>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</si>
  <si>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</si>
  <si>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</si>
  <si>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</si>
  <si>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</si>
  <si>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</si>
  <si>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</si>
  <si>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</si>
  <si>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</si>
  <si>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</si>
  <si>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</si>
  <si>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</si>
  <si>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</si>
  <si>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</si>
  <si>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</si>
  <si>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</si>
  <si>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</si>
  <si>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</si>
  <si>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</si>
  <si>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</si>
  <si>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</si>
  <si>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</si>
  <si>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</si>
  <si>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</si>
  <si>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</si>
  <si>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</si>
  <si>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</si>
  <si>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</si>
  <si>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</si>
  <si>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</si>
  <si>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</si>
  <si>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</si>
  <si>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</si>
  <si>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</si>
  <si>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</si>
  <si>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</si>
  <si>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</si>
  <si>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</si>
  <si>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</si>
  <si>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</si>
  <si>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</si>
  <si>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</si>
  <si>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</si>
  <si>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</si>
  <si>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</si>
  <si>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</si>
  <si>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</si>
  <si>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</si>
  <si>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</si>
  <si>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</si>
  <si>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</si>
  <si>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</si>
  <si>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</si>
  <si>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</si>
  <si>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</si>
  <si>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</si>
  <si>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</si>
  <si>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</si>
  <si>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</si>
  <si>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</si>
  <si>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</si>
  <si>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</si>
  <si>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</si>
  <si>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</si>
  <si>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</si>
  <si>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</si>
  <si>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</si>
  <si>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</si>
  <si>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</si>
  <si>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</si>
  <si>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</si>
  <si>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</si>
  <si>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</si>
  <si>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</si>
  <si>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</si>
  <si>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</si>
  <si>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</si>
  <si>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</si>
  <si>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</si>
  <si>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</si>
  <si>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</si>
  <si>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</si>
  <si>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</si>
  <si>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</si>
  <si>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</si>
  <si>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</si>
  <si>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</si>
  <si>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</si>
  <si>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</si>
  <si>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</si>
  <si>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</si>
  <si>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</si>
  <si>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</si>
  <si>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</si>
  <si>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</si>
  <si>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</si>
  <si>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</si>
  <si>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</si>
  <si>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</si>
  <si>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</si>
  <si>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</si>
  <si>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</si>
  <si>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</si>
  <si>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</si>
  <si>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</si>
  <si>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</si>
  <si>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</si>
  <si>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</si>
  <si>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</si>
  <si>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</si>
  <si>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</si>
  <si>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</si>
  <si>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</si>
  <si>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</si>
  <si>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</si>
  <si>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</si>
  <si>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</si>
  <si>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</si>
  <si>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</si>
  <si>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</si>
  <si>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</si>
  <si>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</si>
  <si>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</si>
  <si>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</si>
  <si>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</si>
  <si>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</si>
  <si>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</si>
  <si>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</si>
  <si>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</si>
  <si>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</si>
  <si>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</si>
  <si>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</si>
  <si>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</si>
  <si>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</si>
  <si>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</si>
  <si>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</si>
  <si>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</si>
  <si>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</si>
  <si>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</si>
  <si>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</si>
  <si>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</si>
  <si>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</si>
  <si>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</si>
  <si>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</si>
  <si>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</si>
  <si>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</si>
  <si>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</si>
  <si>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</si>
  <si>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</si>
  <si>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</si>
  <si>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</si>
  <si>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</si>
  <si>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</si>
  <si>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</si>
  <si>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</si>
  <si>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</si>
  <si>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</si>
  <si>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</si>
  <si>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</si>
  <si>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</si>
  <si>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</si>
  <si>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</si>
  <si>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</si>
  <si>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</si>
  <si>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</si>
  <si>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</si>
  <si>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</si>
  <si>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</si>
  <si>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</si>
  <si>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</si>
  <si>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</si>
  <si>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</si>
  <si>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</si>
  <si>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</si>
  <si>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</si>
  <si>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</si>
  <si>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</si>
  <si>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</si>
  <si>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</si>
  <si>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</si>
  <si>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</si>
  <si>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</si>
  <si>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</si>
  <si>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</si>
  <si>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</si>
  <si>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</si>
  <si>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</si>
  <si>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</si>
  <si>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</si>
  <si>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</si>
  <si>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</si>
  <si>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</si>
  <si>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</si>
  <si>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</si>
  <si>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</si>
  <si>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</si>
  <si>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</si>
  <si>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</si>
  <si>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</si>
  <si>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</si>
  <si>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</si>
  <si>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</si>
  <si>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</si>
  <si>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</si>
  <si>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</si>
  <si>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</si>
  <si>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</si>
  <si>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</si>
  <si>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</si>
  <si>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</si>
  <si>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</si>
  <si>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</si>
  <si>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</si>
  <si>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</si>
  <si>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</si>
  <si>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</si>
  <si>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</si>
  <si>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</si>
  <si>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</si>
  <si>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</si>
  <si>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</si>
  <si>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</si>
  <si>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</si>
  <si>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</si>
  <si>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</si>
  <si>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</si>
  <si>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</si>
  <si>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</si>
  <si>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</si>
  <si>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</si>
  <si>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</si>
  <si>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</si>
  <si>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</si>
  <si>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</si>
  <si>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</si>
  <si>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</si>
  <si>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</si>
  <si>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</si>
  <si>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</si>
  <si>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</si>
  <si>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</si>
  <si>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</si>
  <si>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</si>
  <si>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</si>
  <si>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</si>
  <si>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</si>
  <si>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</si>
  <si>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</si>
  <si>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</si>
  <si>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</si>
  <si>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</si>
  <si>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</si>
  <si>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</si>
  <si>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</si>
  <si>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</si>
  <si>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</si>
  <si>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</si>
  <si>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</si>
  <si>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</si>
  <si>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</si>
  <si>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</si>
  <si>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</si>
  <si>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</si>
  <si>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</si>
  <si>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</si>
  <si>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</si>
  <si>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</si>
  <si>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</si>
  <si>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</si>
  <si>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</si>
  <si>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</si>
  <si>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</si>
  <si>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</si>
  <si>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</si>
  <si>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</si>
  <si>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</si>
  <si>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</si>
  <si>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</si>
  <si>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</si>
  <si>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</si>
  <si>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</si>
  <si>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</si>
  <si>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</si>
  <si>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</si>
  <si>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</si>
  <si>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</si>
  <si>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</si>
  <si>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</si>
  <si>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</si>
  <si>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</si>
  <si>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</si>
  <si>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</si>
  <si>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</si>
  <si>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</si>
  <si>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</si>
  <si>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</si>
  <si>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</si>
  <si>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</si>
  <si>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</si>
  <si>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</si>
  <si>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</si>
  <si>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</si>
  <si>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</si>
  <si>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</si>
  <si>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</si>
  <si>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</si>
  <si>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</si>
  <si>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</si>
  <si>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</si>
  <si>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</si>
  <si>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</si>
  <si>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</si>
  <si>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</si>
  <si>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</si>
  <si>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</si>
  <si>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</si>
  <si>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</si>
  <si>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</si>
  <si>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</si>
  <si>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</si>
  <si>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</si>
  <si>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</si>
  <si>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</si>
  <si>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</si>
  <si>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</si>
  <si>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</si>
  <si>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</si>
  <si>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</si>
  <si>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</si>
  <si>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</si>
  <si>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</si>
  <si>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</si>
  <si>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</si>
  <si>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</si>
  <si>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</si>
  <si>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</si>
  <si>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</si>
  <si>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</si>
  <si>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</si>
  <si>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</si>
  <si>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</si>
  <si>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</si>
  <si>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</si>
  <si>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</si>
  <si>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</si>
  <si>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</si>
  <si>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</si>
  <si>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</si>
  <si>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</si>
  <si>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</si>
  <si>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</si>
  <si>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</si>
  <si>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</si>
  <si>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</si>
  <si>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</si>
  <si>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</si>
  <si>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</si>
  <si>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</si>
  <si>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</si>
  <si>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</si>
  <si>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</si>
  <si>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</si>
  <si>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</si>
  <si>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</si>
  <si>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</si>
  <si>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</si>
  <si>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</si>
  <si>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</si>
  <si>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</si>
  <si>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</si>
  <si>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</si>
  <si>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</si>
  <si>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</si>
  <si>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</si>
  <si>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</si>
  <si>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</si>
  <si>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</si>
  <si>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</si>
  <si>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</si>
  <si>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</si>
  <si>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</si>
  <si>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</si>
  <si>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</si>
  <si>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</si>
  <si>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</si>
  <si>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</si>
  <si>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</si>
  <si>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</si>
  <si>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</si>
  <si>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</si>
  <si>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</si>
  <si>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</si>
  <si>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</si>
  <si>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</si>
  <si>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</si>
  <si>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</si>
  <si>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</si>
  <si>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</si>
  <si>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</si>
  <si>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</si>
  <si>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</si>
  <si>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</si>
  <si>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</si>
  <si>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</si>
  <si>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</si>
  <si>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</si>
  <si>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</si>
  <si>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</si>
  <si>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</si>
  <si>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</si>
  <si>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</si>
  <si>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</si>
  <si>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</si>
  <si>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</si>
  <si>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</si>
  <si>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</si>
  <si>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</si>
  <si>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</si>
  <si>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</si>
  <si>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</si>
  <si>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</si>
  <si>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</si>
  <si>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</si>
  <si>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</si>
  <si>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</si>
  <si>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</si>
  <si>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</si>
  <si>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</si>
  <si>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</si>
  <si>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</si>
  <si>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</si>
  <si>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</si>
  <si>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</si>
  <si>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</si>
  <si>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</si>
  <si>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</si>
  <si>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</si>
  <si>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</si>
  <si>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</si>
  <si>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</si>
  <si>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</si>
  <si>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</si>
  <si>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</si>
  <si>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</si>
  <si>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</si>
  <si>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</si>
  <si>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</si>
  <si>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</si>
  <si>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</si>
  <si>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</si>
  <si>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</si>
  <si>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</si>
  <si>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</si>
  <si>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</si>
  <si>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</si>
  <si>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</si>
  <si>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</si>
  <si>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</si>
  <si>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</si>
  <si>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</si>
  <si>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</si>
  <si>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</si>
  <si>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</si>
  <si>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</si>
  <si>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</si>
  <si>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</si>
  <si>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</si>
  <si>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</si>
  <si>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</si>
  <si>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</si>
  <si>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</si>
  <si>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</si>
  <si>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</si>
  <si>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</si>
  <si>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</si>
  <si>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</si>
  <si>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</si>
  <si>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</si>
  <si>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</si>
  <si>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</si>
  <si>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</si>
  <si>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</si>
  <si>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</si>
  <si>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</si>
  <si>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</si>
  <si>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</si>
  <si>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</si>
  <si>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</si>
  <si>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</si>
  <si>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</si>
  <si>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</si>
  <si>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</si>
  <si>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</si>
  <si>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</si>
  <si>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</si>
  <si>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</si>
  <si>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</si>
  <si>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</si>
  <si>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</si>
  <si>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</si>
  <si>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</si>
  <si>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</si>
  <si>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</si>
  <si>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</si>
  <si>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</si>
  <si>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</si>
  <si>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</si>
  <si>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</si>
  <si>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</si>
  <si>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</si>
  <si>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</si>
  <si>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</si>
  <si>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</si>
  <si>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</si>
  <si>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</si>
  <si>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</si>
  <si>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</si>
  <si>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</si>
  <si>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</si>
  <si>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</si>
  <si>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</si>
  <si>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</si>
  <si>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</si>
  <si>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</si>
  <si>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</si>
  <si>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</si>
  <si>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</si>
  <si>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</si>
  <si>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</si>
  <si>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</si>
  <si>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</si>
  <si>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</si>
  <si>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</si>
  <si>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</si>
  <si>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</si>
  <si>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</si>
  <si>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</si>
  <si>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</si>
  <si>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</si>
  <si>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</si>
  <si>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</si>
  <si>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</si>
  <si>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</si>
  <si>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</si>
  <si>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</si>
  <si>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</si>
  <si>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</si>
  <si>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</si>
  <si>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</si>
  <si>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</si>
  <si>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</si>
  <si>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</si>
  <si>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</si>
  <si>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</si>
  <si>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</si>
  <si>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</si>
  <si>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</si>
  <si>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</si>
  <si>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</si>
  <si>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</si>
  <si>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</si>
  <si>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</si>
  <si>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</si>
  <si>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</si>
  <si>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</si>
  <si>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</si>
  <si>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</si>
  <si>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</si>
  <si>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</si>
  <si>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</si>
  <si>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</si>
  <si>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</si>
  <si>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</si>
  <si>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</si>
  <si>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</si>
  <si>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</si>
  <si>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</si>
  <si>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</si>
  <si>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</si>
  <si>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</si>
  <si>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</si>
  <si>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</si>
  <si>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</si>
  <si>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</si>
  <si>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</si>
  <si>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</si>
  <si>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</si>
  <si>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</si>
  <si>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</si>
  <si>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</si>
  <si>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</si>
  <si>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</si>
  <si>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</si>
  <si>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</si>
  <si>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</si>
  <si>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</si>
  <si>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</si>
  <si>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</si>
  <si>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</si>
  <si>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</si>
  <si>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</si>
  <si>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</si>
  <si>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</si>
  <si>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</si>
  <si>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</si>
  <si>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</si>
  <si>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</si>
  <si>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</si>
  <si>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</si>
  <si>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</si>
  <si>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</si>
  <si>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</si>
  <si>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</si>
  <si>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</si>
  <si>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</si>
  <si>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</si>
  <si>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</si>
  <si>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</si>
  <si>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</si>
  <si>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</si>
  <si>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</si>
  <si>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</si>
  <si>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</si>
  <si>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</si>
  <si>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</si>
  <si>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</si>
  <si>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</si>
  <si>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</si>
  <si>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</si>
  <si>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</si>
  <si>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</si>
  <si>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</si>
  <si>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</si>
  <si>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</si>
  <si>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</si>
  <si>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</si>
  <si>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</si>
  <si>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</si>
  <si>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</si>
  <si>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</si>
  <si>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</si>
  <si>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</si>
  <si>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</si>
  <si>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</si>
  <si>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</si>
  <si>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</si>
  <si>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</si>
  <si>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</si>
  <si>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</si>
  <si>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</si>
  <si>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</si>
  <si>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</si>
  <si>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</si>
  <si>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</si>
  <si>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</si>
  <si>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</si>
  <si>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</si>
  <si>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</si>
  <si>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</si>
  <si>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</si>
  <si>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</si>
  <si>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</si>
  <si>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</si>
  <si>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</si>
  <si>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</si>
  <si>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</si>
  <si>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</si>
  <si>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</si>
  <si>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</si>
  <si>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</si>
  <si>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</si>
  <si>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</si>
  <si>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</si>
  <si>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</si>
  <si>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</si>
  <si>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</si>
  <si>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</si>
  <si>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</si>
  <si>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</si>
  <si>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</si>
  <si>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</si>
  <si>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</si>
  <si>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</si>
  <si>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</si>
  <si>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</si>
  <si>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</si>
  <si>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</si>
  <si>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</si>
  <si>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</si>
  <si>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</si>
  <si>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</si>
  <si>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</si>
  <si>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</si>
  <si>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</si>
  <si>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</si>
  <si>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</si>
  <si>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</si>
  <si>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</si>
  <si>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</si>
  <si>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</si>
  <si>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</si>
  <si>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</si>
  <si>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</si>
  <si>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</si>
  <si>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</si>
  <si>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</si>
  <si>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</si>
  <si>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</si>
  <si>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</si>
  <si>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</si>
  <si>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</si>
  <si>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</si>
  <si>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</si>
  <si>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</si>
  <si>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</si>
  <si>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</si>
  <si>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</si>
  <si>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</si>
  <si>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</si>
  <si>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</si>
  <si>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</si>
  <si>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</si>
  <si>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</si>
  <si>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</si>
  <si>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</si>
  <si>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</si>
  <si>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</si>
  <si>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</si>
  <si>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</si>
  <si>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</si>
  <si>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</si>
  <si>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</si>
  <si>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</si>
  <si>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</si>
  <si>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</si>
  <si>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</si>
  <si>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</si>
  <si>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</si>
  <si>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</si>
  <si>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</si>
  <si>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</si>
  <si>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</si>
  <si>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</si>
  <si>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</si>
  <si>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</si>
  <si>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</si>
  <si>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</si>
  <si>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</si>
  <si>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</si>
  <si>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</si>
  <si>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</si>
  <si>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</si>
  <si>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</si>
  <si>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</si>
  <si>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</si>
  <si>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</si>
  <si>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</si>
  <si>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</si>
  <si>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</si>
  <si>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</si>
  <si>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</si>
  <si>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</si>
  <si>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</si>
  <si>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</si>
  <si>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</si>
  <si>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</si>
  <si>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</si>
  <si>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</si>
  <si>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</si>
  <si>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</si>
  <si>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</si>
  <si>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</si>
  <si>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</si>
  <si>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</si>
  <si>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</si>
  <si>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</si>
  <si>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</si>
  <si>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</si>
  <si>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</si>
  <si>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</si>
  <si>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</si>
  <si>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</si>
  <si>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</si>
  <si>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</si>
  <si>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</si>
  <si>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</si>
  <si>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</si>
  <si>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</si>
  <si>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</si>
  <si>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</si>
  <si>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</si>
  <si>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</si>
  <si>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</si>
  <si>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</si>
  <si>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</si>
  <si>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</si>
  <si>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</si>
  <si>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</si>
  <si>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</si>
  <si>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</si>
  <si>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</si>
  <si>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</si>
  <si>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</si>
  <si>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</si>
  <si>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</si>
  <si>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</si>
  <si>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</si>
  <si>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</si>
  <si>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</si>
  <si>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</si>
  <si>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</si>
  <si>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</si>
  <si>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</si>
  <si>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</si>
  <si>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</si>
  <si>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</si>
  <si>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</si>
  <si>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</si>
  <si>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</si>
  <si>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</si>
  <si>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</si>
  <si>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</si>
  <si>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</si>
  <si>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</si>
  <si>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</si>
  <si>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</si>
  <si>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</si>
  <si>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</si>
  <si>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</si>
  <si>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</si>
  <si>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</si>
  <si>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</si>
  <si>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</si>
  <si>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</si>
  <si>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</si>
  <si>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</si>
  <si>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</si>
  <si>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</si>
  <si>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</si>
  <si>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</si>
  <si>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</si>
  <si>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</si>
  <si>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</si>
  <si>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</si>
  <si>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</si>
  <si>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</si>
  <si>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</si>
  <si>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</si>
  <si>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</si>
  <si>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</si>
  <si>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</si>
  <si>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</si>
  <si>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</si>
  <si>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</si>
  <si>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</si>
  <si>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</si>
  <si>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</si>
  <si>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</si>
  <si>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</si>
  <si>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</si>
  <si>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</si>
  <si>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</si>
  <si>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</si>
  <si>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</si>
  <si>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</si>
  <si>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</si>
  <si>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</si>
  <si>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</si>
  <si>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</si>
  <si>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</si>
  <si>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</si>
  <si>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</si>
  <si>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</si>
  <si>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</si>
  <si>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</si>
  <si>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</si>
  <si>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</si>
  <si>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</si>
  <si>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</si>
  <si>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</si>
  <si>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</si>
  <si>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</si>
  <si>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</si>
  <si>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</si>
  <si>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</si>
  <si>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</si>
  <si>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</si>
  <si>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</si>
  <si>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</si>
  <si>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</si>
  <si>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</si>
  <si>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</si>
  <si>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</si>
  <si>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</si>
  <si>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</si>
  <si>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</si>
  <si>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</si>
  <si>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</si>
  <si>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</si>
  <si>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</si>
  <si>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</si>
  <si>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</si>
  <si>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</si>
  <si>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</si>
  <si>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</si>
  <si>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</si>
  <si>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</si>
  <si>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</si>
  <si>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</si>
  <si>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</si>
  <si>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</si>
  <si>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</si>
  <si>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</si>
  <si>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</si>
  <si>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</si>
  <si>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</si>
  <si>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</si>
  <si>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</si>
  <si>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</si>
  <si>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</si>
  <si>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</si>
  <si>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</si>
  <si>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</si>
  <si>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</si>
  <si>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</si>
  <si>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</si>
  <si>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</si>
  <si>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</si>
  <si>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</si>
  <si>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</si>
  <si>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</si>
  <si>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</si>
  <si>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</si>
  <si>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</si>
  <si>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</si>
  <si>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</si>
  <si>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</si>
  <si>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</si>
  <si>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</si>
  <si>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</si>
  <si>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</si>
  <si>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</si>
  <si>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</si>
  <si>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</si>
  <si>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</si>
  <si>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</si>
  <si>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</si>
  <si>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</si>
  <si>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</si>
  <si>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</si>
  <si>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</si>
  <si>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</si>
  <si>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</si>
  <si>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</si>
  <si>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</si>
  <si>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</si>
  <si>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</si>
  <si>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</si>
  <si>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</si>
  <si>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</si>
  <si>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</si>
  <si>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</si>
  <si>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</si>
  <si>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</si>
  <si>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</si>
  <si>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</si>
  <si>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</si>
  <si>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</si>
  <si>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</si>
  <si>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</si>
  <si>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</si>
  <si>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</si>
  <si>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</si>
  <si>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</si>
  <si>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</si>
  <si>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</si>
  <si>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</si>
  <si>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</si>
  <si>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</si>
  <si>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</si>
  <si>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</si>
  <si>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</si>
  <si>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</si>
  <si>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</si>
  <si>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</si>
  <si>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</si>
  <si>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</si>
  <si>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</si>
  <si>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</si>
  <si>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</si>
  <si>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</si>
  <si>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</si>
  <si>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</si>
  <si>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</si>
  <si>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</si>
  <si>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</si>
  <si>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</si>
  <si>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</si>
  <si>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</si>
  <si>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</si>
  <si>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</si>
  <si>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</si>
  <si>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</si>
  <si>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</si>
  <si>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</si>
  <si>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</si>
  <si>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</si>
  <si>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</si>
  <si>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</si>
  <si>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</si>
  <si>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</si>
  <si>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</si>
  <si>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</si>
  <si>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</si>
  <si>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</si>
  <si>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</si>
  <si>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</si>
  <si>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</si>
  <si>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</si>
  <si>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</si>
  <si>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</si>
  <si>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</si>
  <si>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</si>
  <si>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</si>
  <si>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</si>
  <si>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</si>
  <si>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</si>
  <si>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</si>
  <si>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</si>
  <si>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</si>
  <si>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</si>
  <si>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</si>
  <si>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</si>
  <si>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</si>
  <si>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</si>
  <si>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</si>
  <si>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</si>
  <si>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</si>
  <si>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</si>
  <si>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</si>
  <si>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</si>
  <si>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</si>
  <si>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</si>
  <si>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</si>
  <si>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</si>
  <si>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</si>
  <si>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</si>
  <si>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</si>
  <si>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</si>
  <si>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</si>
  <si>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</si>
  <si>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</si>
  <si>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</si>
  <si>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</si>
  <si>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</si>
  <si>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</si>
  <si>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</si>
  <si>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</si>
  <si>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</si>
  <si>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</si>
  <si>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</si>
  <si>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</si>
  <si>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</si>
  <si>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</si>
  <si>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</si>
  <si>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</si>
  <si>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</si>
  <si>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</si>
  <si>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</si>
  <si>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</si>
  <si>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</si>
  <si>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</si>
  <si>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</si>
  <si>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</si>
  <si>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</si>
  <si>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</si>
  <si>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</si>
  <si>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</si>
  <si>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</si>
  <si>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</si>
  <si>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</si>
  <si>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</si>
  <si>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</si>
  <si>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</si>
  <si>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</si>
  <si>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</si>
  <si>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</si>
  <si>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</si>
  <si>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</si>
  <si>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</si>
  <si>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</si>
  <si>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</si>
  <si>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</si>
  <si>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</si>
  <si>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</si>
  <si>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</si>
  <si>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</si>
  <si>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</si>
  <si>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</si>
  <si>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</si>
  <si>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</si>
  <si>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</si>
  <si>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</si>
  <si>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</si>
  <si>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</si>
  <si>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</si>
  <si>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</si>
  <si>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</si>
  <si>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</si>
  <si>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</si>
  <si>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</si>
  <si>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</si>
  <si>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</si>
  <si>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</si>
  <si>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</si>
  <si>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</si>
  <si>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</si>
  <si>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</si>
  <si>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</si>
  <si>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</si>
  <si>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</si>
  <si>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</si>
  <si>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</si>
  <si>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</si>
  <si>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</si>
  <si>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</si>
  <si>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</si>
  <si>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</si>
  <si>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</si>
  <si>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</si>
  <si>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</si>
  <si>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</si>
  <si>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</si>
  <si>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</si>
  <si>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</si>
  <si>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</si>
  <si>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</si>
  <si>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</si>
  <si>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</si>
  <si>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</si>
  <si>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</si>
  <si>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</si>
  <si>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</si>
  <si>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</si>
  <si>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</si>
  <si>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</si>
  <si>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</si>
  <si>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</si>
  <si>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</si>
  <si>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</si>
  <si>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</si>
  <si>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</si>
  <si>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</si>
  <si>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</si>
  <si>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</si>
  <si>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</si>
  <si>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</si>
  <si>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</si>
  <si>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</si>
  <si>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</si>
  <si>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</si>
  <si>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</si>
  <si>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</si>
  <si>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</si>
  <si>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</si>
  <si>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</si>
  <si>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</si>
  <si>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</si>
  <si>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</si>
  <si>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</si>
  <si>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</si>
  <si>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</si>
  <si>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</si>
  <si>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</si>
  <si>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</si>
  <si>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</si>
  <si>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</si>
  <si>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</si>
  <si>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</si>
  <si>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</si>
  <si>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</si>
  <si>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</si>
  <si>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</si>
  <si>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</si>
  <si>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</si>
  <si>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</si>
  <si>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</si>
  <si>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</si>
  <si>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</si>
  <si>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</si>
  <si>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</si>
  <si>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</si>
  <si>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</si>
  <si>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</si>
  <si>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</si>
  <si>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</si>
  <si>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</si>
  <si>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</si>
  <si>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</si>
  <si>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</si>
  <si>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</si>
  <si>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</si>
  <si>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</si>
  <si>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</si>
  <si>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</si>
  <si>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</si>
  <si>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</si>
  <si>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</si>
  <si>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</si>
  <si>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</si>
  <si>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</si>
  <si>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</si>
  <si>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</si>
  <si>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</si>
  <si>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</si>
  <si>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</si>
  <si>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</si>
  <si>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</si>
  <si>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</si>
  <si>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</si>
  <si>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</si>
  <si>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</si>
  <si>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</si>
  <si>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</si>
  <si>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</si>
  <si>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</si>
  <si>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</si>
  <si>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</si>
  <si>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</si>
  <si>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</si>
  <si>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</si>
  <si>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</si>
  <si>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</si>
  <si>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</si>
  <si>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</si>
  <si>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</si>
  <si>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</si>
  <si>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</si>
  <si>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</si>
  <si>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</si>
  <si>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</si>
  <si>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</si>
  <si>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</si>
  <si>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</si>
  <si>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</si>
  <si>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</si>
  <si>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</si>
  <si>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</si>
  <si>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</si>
  <si>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</si>
  <si>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</si>
  <si>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</si>
  <si>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</si>
  <si>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</si>
  <si>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</si>
  <si>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</si>
  <si>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</si>
  <si>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</si>
  <si>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</si>
  <si>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</si>
  <si>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</si>
  <si>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</si>
  <si>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</si>
  <si>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</si>
  <si>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</si>
  <si>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</si>
  <si>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</si>
  <si>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</si>
  <si>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</si>
  <si>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</si>
  <si>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</si>
  <si>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</si>
  <si>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</si>
  <si>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</si>
  <si>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</si>
  <si>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</si>
  <si>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</si>
  <si>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</si>
  <si>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</si>
  <si>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</si>
  <si>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</si>
  <si>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</si>
  <si>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</si>
  <si>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</si>
  <si>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</si>
  <si>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</si>
  <si>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</si>
  <si>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</si>
  <si>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</si>
  <si>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</si>
  <si>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</si>
  <si>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</si>
  <si>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</si>
  <si>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</si>
  <si>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</si>
  <si>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</si>
  <si>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</si>
  <si>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</si>
  <si>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</si>
  <si>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</si>
  <si>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</si>
  <si>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</si>
  <si>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</si>
  <si>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</si>
  <si>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</si>
  <si>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</si>
  <si>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</si>
  <si>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</si>
  <si>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</si>
  <si>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</si>
  <si>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</si>
  <si>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</si>
  <si>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</si>
  <si>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</si>
  <si>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</si>
  <si>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</si>
  <si>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</si>
  <si>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</si>
  <si>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</si>
  <si>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</si>
  <si>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</si>
  <si>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</si>
  <si>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</si>
  <si>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</si>
  <si>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</si>
  <si>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</si>
  <si>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</si>
  <si>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</si>
  <si>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</si>
  <si>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</si>
  <si>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</si>
  <si>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</si>
  <si>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</si>
  <si>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</si>
  <si>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</si>
  <si>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</si>
  <si>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</si>
  <si>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</si>
  <si>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</si>
  <si>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</si>
  <si>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</si>
  <si>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</si>
  <si>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</si>
  <si>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</si>
  <si>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</si>
  <si>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</si>
  <si>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</si>
  <si>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</si>
  <si>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</si>
  <si>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</si>
  <si>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</si>
  <si>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</si>
  <si>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</si>
  <si>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</si>
  <si>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</si>
  <si>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</si>
  <si>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</si>
  <si>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</si>
  <si>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</si>
  <si>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</si>
  <si>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</si>
  <si>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</si>
  <si>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</si>
  <si>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</si>
  <si>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</si>
  <si>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</si>
  <si>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</si>
  <si>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</si>
  <si>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</si>
  <si>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</si>
  <si>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</si>
  <si>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</si>
  <si>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</si>
  <si>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</si>
  <si>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</si>
  <si>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</si>
  <si>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</si>
  <si>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</si>
  <si>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</si>
  <si>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</si>
  <si>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</si>
  <si>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</si>
  <si>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</si>
  <si>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</si>
  <si>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</si>
  <si>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</si>
  <si>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</si>
  <si>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</si>
  <si>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</si>
  <si>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</si>
  <si>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</si>
  <si>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</si>
  <si>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</si>
  <si>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</si>
  <si>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</si>
  <si>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</si>
  <si>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</si>
  <si>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</si>
  <si>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</si>
  <si>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</si>
  <si>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</si>
  <si>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</si>
  <si>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</si>
  <si>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</si>
  <si>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</si>
  <si>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</si>
  <si>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</si>
  <si>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</si>
  <si>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</si>
  <si>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</si>
  <si>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</si>
  <si>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</si>
  <si>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</si>
  <si>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</si>
  <si>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</si>
  <si>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</si>
  <si>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</si>
  <si>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</si>
  <si>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</si>
  <si>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</si>
  <si>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</si>
  <si>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</si>
  <si>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</si>
  <si>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</si>
  <si>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</si>
  <si>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</si>
  <si>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</si>
  <si>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</si>
  <si>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</si>
  <si>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</si>
  <si>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</si>
  <si>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</si>
  <si>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</si>
  <si>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</si>
  <si>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</si>
  <si>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</si>
  <si>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</si>
  <si>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</si>
  <si>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</si>
  <si>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</si>
  <si>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</si>
  <si>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</si>
  <si>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</si>
  <si>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</si>
  <si>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</si>
  <si>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</si>
  <si>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</si>
  <si>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</si>
  <si>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</si>
  <si>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</si>
  <si>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</si>
  <si>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</si>
  <si>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</si>
  <si>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</si>
  <si>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</si>
  <si>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</si>
  <si>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</si>
  <si>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</si>
  <si>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</si>
  <si>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</si>
  <si>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</si>
  <si>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</si>
  <si>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</si>
  <si>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</si>
  <si>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</si>
  <si>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</si>
  <si>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</si>
  <si>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</si>
  <si>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</si>
  <si>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</si>
  <si>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</si>
  <si>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</si>
  <si>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</si>
  <si>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</si>
  <si>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</si>
  <si>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</si>
  <si>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</si>
  <si>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</si>
  <si>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</si>
  <si>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</si>
  <si>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</si>
  <si>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</si>
  <si>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</si>
  <si>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</si>
  <si>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</si>
  <si>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</si>
  <si>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</si>
  <si>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</si>
  <si>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</si>
  <si>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</si>
  <si>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</si>
  <si>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</si>
  <si>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</si>
  <si>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</si>
  <si>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</si>
  <si>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</si>
  <si>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</si>
  <si>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</si>
  <si>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</si>
  <si>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</si>
  <si>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</si>
  <si>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</si>
  <si>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</si>
  <si>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</si>
  <si>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</si>
  <si>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</si>
  <si>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</si>
  <si>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</si>
  <si>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</si>
  <si>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</si>
  <si>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</si>
  <si>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</si>
  <si>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</si>
  <si>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</si>
  <si>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</si>
  <si>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</si>
  <si>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</si>
  <si>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</si>
  <si>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</si>
  <si>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</si>
  <si>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</si>
  <si>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</si>
  <si>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</si>
  <si>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</si>
  <si>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</si>
  <si>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</si>
  <si>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</si>
  <si>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</si>
  <si>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</si>
  <si>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</si>
  <si>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</si>
  <si>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</si>
  <si>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</si>
  <si>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</si>
  <si>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</si>
  <si>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</si>
  <si>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</si>
  <si>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</si>
  <si>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</si>
  <si>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</si>
  <si>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</si>
  <si>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</si>
  <si>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</si>
  <si>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</si>
  <si>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</si>
  <si>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</si>
  <si>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</si>
  <si>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</si>
  <si>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</si>
  <si>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</si>
  <si>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</si>
  <si>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</si>
  <si>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</si>
  <si>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</si>
  <si>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</si>
  <si>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</si>
  <si>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</si>
  <si>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</si>
  <si>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</si>
  <si>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</si>
  <si>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</si>
  <si>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</si>
  <si>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</si>
  <si>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</si>
  <si>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</si>
  <si>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</si>
  <si>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</si>
  <si>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</si>
  <si>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</si>
  <si>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</si>
  <si>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</si>
  <si>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</si>
  <si>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</si>
  <si>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</si>
  <si>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</si>
  <si>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</si>
  <si>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</si>
  <si>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</si>
  <si>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</si>
  <si>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</si>
  <si>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</si>
  <si>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</si>
  <si>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</si>
  <si>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</si>
  <si>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</si>
  <si>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</si>
  <si>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</si>
  <si>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</si>
  <si>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</si>
  <si>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</si>
  <si>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</si>
  <si>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</si>
  <si>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</si>
  <si>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</si>
  <si>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</si>
  <si>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</si>
  <si>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</si>
  <si>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</si>
  <si>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</si>
  <si>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</si>
  <si>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</si>
  <si>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</si>
  <si>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</si>
  <si>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</si>
  <si>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</si>
  <si>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</si>
  <si>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</si>
  <si>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</si>
  <si>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</si>
  <si>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</si>
  <si>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</si>
  <si>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</si>
  <si>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</si>
  <si>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</si>
  <si>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</si>
  <si>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</si>
  <si>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</si>
  <si>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</si>
  <si>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</si>
  <si>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</si>
  <si>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</si>
  <si>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</si>
  <si>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</si>
  <si>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</si>
  <si>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</si>
  <si>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</si>
  <si>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</si>
  <si>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</si>
  <si>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</si>
  <si>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</si>
  <si>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</si>
  <si>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</si>
  <si>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</si>
  <si>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</si>
  <si>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</si>
  <si>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</si>
  <si>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</si>
  <si>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</si>
  <si>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</si>
  <si>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</si>
  <si>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</si>
  <si>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</si>
  <si>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</si>
  <si>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</si>
  <si>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</si>
  <si>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</si>
  <si>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</si>
  <si>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</si>
  <si>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</si>
  <si>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</si>
  <si>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</si>
  <si>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</si>
  <si>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</si>
  <si>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</si>
  <si>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</si>
  <si>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</si>
  <si>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</si>
  <si>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</si>
  <si>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</si>
  <si>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</si>
  <si>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</si>
  <si>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</si>
  <si>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</si>
  <si>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</si>
  <si>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</si>
  <si>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</si>
  <si>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</si>
  <si>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</si>
  <si>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</si>
  <si>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</si>
  <si>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</si>
  <si>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</si>
  <si>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</si>
  <si>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</si>
  <si>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</si>
  <si>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</si>
  <si>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</si>
  <si>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</si>
  <si>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</si>
  <si>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</si>
  <si>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</si>
  <si>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</si>
  <si>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</si>
  <si>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</si>
  <si>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</si>
  <si>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</si>
  <si>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</si>
  <si>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</si>
  <si>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</si>
  <si>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</si>
  <si>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</si>
  <si>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</si>
  <si>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</si>
  <si>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</si>
  <si>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</si>
  <si>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</si>
  <si>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</si>
  <si>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</si>
  <si>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</si>
  <si>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</si>
  <si>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</si>
  <si>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</si>
  <si>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</si>
  <si>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</si>
  <si>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</si>
  <si>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</si>
  <si>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</si>
  <si>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</si>
  <si>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</si>
  <si>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</si>
  <si>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</si>
  <si>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</si>
  <si>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</si>
  <si>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</si>
  <si>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</si>
  <si>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</si>
  <si>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</si>
  <si>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</si>
  <si>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</si>
  <si>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</si>
  <si>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</si>
  <si>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</si>
  <si>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</si>
  <si>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</si>
  <si>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</si>
  <si>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</si>
  <si>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</si>
  <si>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</si>
  <si>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</si>
  <si>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</si>
  <si>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</si>
  <si>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</si>
  <si>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</si>
  <si>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</si>
  <si>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</si>
  <si>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</si>
  <si>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</si>
  <si>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</si>
  <si>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</si>
  <si>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</si>
  <si>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</si>
  <si>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</si>
  <si>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</si>
  <si>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</si>
  <si>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</si>
  <si>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</si>
  <si>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</si>
  <si>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</si>
  <si>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</si>
  <si>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</si>
  <si>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</si>
  <si>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</si>
  <si>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</si>
  <si>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</si>
  <si>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</si>
  <si>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</si>
  <si>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</si>
  <si>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</si>
  <si>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</si>
  <si>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</si>
  <si>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</si>
  <si>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</si>
  <si>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</si>
  <si>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</si>
  <si>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</si>
  <si>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</si>
  <si>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</si>
  <si>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</si>
  <si>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</si>
  <si>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</si>
  <si>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</si>
  <si>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</si>
  <si>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</si>
  <si>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</si>
  <si>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</si>
  <si>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</si>
  <si>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</si>
  <si>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</si>
  <si>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</si>
  <si>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</si>
  <si>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</si>
  <si>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</si>
  <si>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</si>
  <si>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</si>
  <si>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</si>
  <si>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</si>
  <si>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</si>
  <si>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</si>
  <si>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</si>
  <si>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</si>
  <si>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</si>
  <si>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</si>
  <si>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</si>
  <si>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</si>
  <si>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</si>
  <si>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</si>
  <si>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</si>
  <si>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</si>
  <si>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</si>
  <si>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</si>
  <si>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</si>
  <si>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</si>
  <si>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</si>
  <si>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</si>
  <si>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</si>
  <si>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</si>
  <si>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</si>
  <si>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</si>
  <si>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</si>
  <si>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</si>
  <si>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</si>
  <si>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</si>
  <si>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</si>
  <si>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</si>
  <si>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</si>
  <si>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</si>
  <si>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</si>
  <si>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</si>
  <si>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</si>
  <si>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</si>
  <si>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</si>
  <si>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</si>
  <si>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</si>
  <si>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</si>
  <si>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</si>
  <si>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</si>
  <si>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</si>
  <si>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</si>
  <si>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</si>
  <si>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</si>
  <si>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</si>
  <si>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</si>
  <si>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</si>
  <si>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</si>
  <si>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</si>
  <si>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</si>
  <si>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</si>
  <si>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</si>
  <si>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</si>
  <si>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</si>
  <si>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</si>
  <si>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</si>
  <si>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</si>
  <si>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</si>
  <si>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</si>
  <si>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</si>
  <si>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</si>
  <si>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</si>
  <si>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</si>
  <si>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</si>
  <si>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</si>
  <si>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</si>
  <si>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</si>
  <si>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</si>
  <si>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</si>
  <si>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</si>
  <si>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</si>
  <si>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</si>
  <si>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</si>
  <si>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</si>
  <si>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</si>
  <si>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</si>
  <si>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</si>
  <si>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</si>
  <si>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</si>
  <si>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</si>
  <si>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</si>
  <si>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</si>
  <si>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</si>
  <si>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</si>
  <si>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</si>
  <si>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</si>
  <si>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</si>
  <si>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</si>
  <si>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</si>
  <si>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</si>
  <si>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</si>
  <si>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</si>
  <si>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</si>
  <si>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</si>
  <si>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</si>
  <si>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</si>
  <si>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</si>
  <si>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</si>
  <si>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</si>
  <si>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</si>
  <si>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</si>
  <si>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</si>
  <si>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</si>
  <si>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</si>
  <si>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</si>
  <si>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</si>
  <si>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</si>
  <si>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</si>
  <si>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</si>
  <si>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</si>
  <si>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</si>
  <si>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</si>
  <si>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</si>
  <si>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</si>
  <si>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</si>
  <si>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</si>
  <si>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</si>
  <si>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</si>
  <si>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</si>
  <si>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</si>
  <si>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</si>
  <si>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</si>
  <si>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</si>
  <si>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</si>
  <si>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</si>
  <si>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</si>
  <si>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</si>
  <si>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</si>
  <si>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</si>
  <si>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</si>
  <si>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</si>
  <si>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</si>
  <si>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</si>
  <si>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</si>
  <si>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</si>
  <si>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</si>
  <si>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</si>
  <si>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</si>
  <si>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</si>
  <si>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</si>
  <si>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</si>
  <si>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</si>
  <si>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</si>
  <si>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</si>
  <si>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</si>
  <si>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</si>
  <si>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</si>
  <si>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</si>
  <si>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</si>
  <si>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</si>
  <si>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</si>
  <si>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</si>
  <si>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</si>
  <si>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</si>
  <si>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</si>
  <si>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</si>
  <si>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</si>
  <si>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</si>
  <si>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</si>
  <si>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</si>
  <si>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</si>
  <si>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</si>
  <si>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</si>
  <si>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</si>
  <si>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</si>
  <si>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</si>
  <si>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</si>
  <si>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</si>
  <si>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</si>
  <si>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</si>
  <si>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</si>
  <si>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</si>
  <si>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</si>
  <si>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</si>
  <si>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</si>
  <si>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</si>
  <si>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</si>
  <si>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</si>
  <si>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</si>
  <si>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</si>
  <si>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</si>
  <si>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</si>
  <si>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</si>
  <si>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</si>
  <si>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</si>
  <si>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</si>
  <si>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</si>
  <si>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</si>
  <si>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</si>
  <si>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</si>
  <si>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</si>
  <si>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</si>
  <si>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</si>
  <si>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</si>
  <si>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</si>
  <si>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</si>
  <si>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</si>
  <si>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</si>
  <si>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</si>
  <si>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</si>
  <si>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</si>
  <si>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</si>
  <si>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</si>
  <si>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</si>
  <si>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</si>
  <si>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</si>
  <si>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</si>
  <si>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</si>
  <si>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</si>
  <si>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</si>
  <si>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</si>
  <si>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</si>
  <si>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</si>
  <si>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</si>
  <si>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</si>
  <si>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</si>
  <si>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</si>
  <si>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</si>
  <si>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</si>
  <si>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</si>
  <si>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</si>
  <si>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</si>
  <si>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</si>
  <si>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</si>
  <si>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</si>
  <si>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</si>
  <si>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</si>
  <si>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</si>
  <si>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</si>
  <si>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</si>
  <si>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</si>
  <si>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</si>
  <si>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</si>
  <si>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</si>
  <si>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</si>
  <si>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</si>
  <si>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</si>
  <si>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</si>
  <si>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</si>
  <si>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</si>
  <si>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</si>
  <si>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</si>
  <si>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</si>
  <si>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</si>
  <si>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</si>
  <si>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</si>
  <si>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</si>
  <si>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</si>
  <si>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</si>
  <si>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</si>
  <si>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</si>
  <si>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</si>
  <si>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</si>
  <si>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</si>
  <si>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</si>
  <si>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</si>
  <si>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</si>
  <si>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</si>
  <si>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</si>
  <si>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</si>
  <si>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</si>
  <si>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</si>
  <si>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</si>
  <si>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</si>
  <si>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</si>
  <si>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</si>
  <si>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</si>
  <si>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</si>
  <si>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</si>
  <si>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</si>
  <si>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</si>
  <si>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</si>
  <si>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</si>
  <si>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</si>
  <si>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</si>
  <si>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</si>
  <si>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</si>
  <si>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</si>
  <si>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</si>
  <si>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</si>
  <si>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</si>
  <si>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</si>
  <si>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</si>
  <si>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</si>
  <si>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</si>
  <si>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</si>
  <si>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</si>
  <si>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</si>
  <si>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</si>
  <si>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</si>
  <si>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</si>
  <si>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</si>
  <si>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</si>
  <si>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</si>
  <si>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</si>
  <si>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</si>
  <si>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</si>
  <si>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</si>
  <si>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</si>
  <si>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</si>
  <si>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</si>
  <si>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</si>
  <si>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</si>
  <si>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</si>
  <si>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</si>
  <si>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</si>
  <si>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</si>
  <si>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</si>
  <si>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</si>
  <si>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</si>
  <si>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</si>
  <si>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</si>
  <si>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</si>
  <si>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</si>
  <si>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</si>
  <si>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</si>
  <si>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</si>
  <si>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</si>
  <si>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</si>
  <si>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</si>
  <si>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</si>
  <si>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</si>
  <si>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</si>
  <si>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</si>
  <si>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</si>
  <si>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</si>
  <si>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</si>
  <si>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</si>
  <si>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</si>
  <si>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</si>
  <si>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</si>
  <si>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</si>
  <si>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</si>
  <si>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</si>
  <si>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</si>
  <si>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</si>
  <si>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</si>
  <si>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</si>
  <si>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</si>
  <si>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</si>
  <si>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</si>
  <si>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</si>
  <si>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</si>
  <si>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</si>
  <si>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</si>
  <si>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</si>
  <si>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</si>
  <si>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</si>
  <si>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</si>
  <si>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</si>
  <si>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</si>
  <si>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</si>
  <si>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</si>
  <si>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</si>
  <si>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</si>
  <si>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</si>
  <si>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</si>
  <si>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</si>
  <si>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</si>
  <si>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</si>
  <si>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</si>
  <si>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</si>
  <si>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</si>
  <si>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</si>
  <si>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</si>
  <si>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</si>
  <si>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</si>
  <si>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</si>
  <si>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</si>
  <si>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</si>
  <si>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</si>
  <si>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</si>
  <si>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</si>
  <si>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</si>
  <si>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</si>
  <si>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</si>
  <si>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</si>
  <si>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</si>
  <si>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</si>
  <si>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</si>
  <si>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</si>
  <si>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</si>
  <si>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</si>
  <si>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</si>
  <si>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</si>
  <si>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</si>
  <si>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</si>
  <si>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</si>
  <si>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</si>
  <si>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</si>
  <si>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</si>
  <si>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</si>
  <si>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</si>
  <si>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</si>
  <si>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</si>
  <si>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</si>
  <si>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</si>
  <si>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</si>
  <si>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</si>
  <si>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</si>
  <si>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</si>
  <si>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</si>
  <si>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</si>
  <si>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</si>
  <si>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</si>
  <si>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</si>
  <si>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</si>
  <si>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</si>
  <si>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</si>
  <si>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</si>
  <si>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</si>
  <si>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</si>
  <si>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</si>
  <si>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</si>
  <si>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</si>
  <si>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</si>
  <si>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</si>
  <si>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</si>
  <si>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</si>
  <si>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</si>
  <si>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</si>
  <si>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</si>
  <si>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</si>
  <si>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</si>
  <si>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</si>
  <si>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</si>
  <si>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</si>
  <si>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</si>
  <si>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</si>
  <si>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</si>
  <si>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</si>
  <si>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</si>
  <si>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</si>
  <si>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</si>
  <si>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</si>
  <si>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</si>
  <si>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</si>
  <si>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</si>
  <si>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</si>
  <si>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</si>
  <si>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</si>
  <si>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</si>
  <si>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</si>
  <si>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</si>
  <si>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</si>
  <si>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</si>
  <si>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</si>
  <si>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</si>
  <si>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</si>
  <si>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</si>
  <si>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</si>
  <si>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</si>
  <si>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</si>
  <si>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</si>
  <si>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</si>
  <si>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</si>
  <si>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</si>
  <si>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</si>
  <si>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</si>
  <si>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</si>
  <si>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</si>
  <si>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</si>
  <si>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</si>
  <si>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</si>
  <si>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</si>
  <si>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</si>
  <si>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</si>
  <si>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</si>
  <si>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</si>
  <si>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</si>
  <si>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</si>
  <si>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</si>
  <si>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</si>
  <si>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</si>
  <si>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</si>
  <si>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</si>
  <si>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</si>
  <si>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</si>
  <si>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</si>
  <si>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</si>
  <si>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</si>
  <si>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</si>
  <si>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</si>
  <si>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</si>
  <si>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</si>
  <si>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</si>
  <si>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</si>
  <si>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</si>
  <si>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</si>
  <si>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</si>
  <si>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</si>
  <si>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</si>
  <si>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</si>
  <si>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</si>
  <si>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</si>
  <si>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</si>
  <si>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</si>
  <si>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</si>
  <si>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</si>
  <si>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</si>
  <si>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</si>
  <si>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</si>
  <si>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</si>
  <si>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</si>
  <si>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</si>
  <si>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</si>
  <si>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</si>
  <si>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</si>
  <si>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</si>
  <si>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</si>
  <si>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</si>
  <si>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</si>
  <si>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</si>
  <si>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</si>
  <si>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</si>
  <si>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</si>
  <si>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</si>
  <si>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</si>
  <si>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</si>
  <si>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</si>
  <si>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</si>
  <si>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</si>
  <si>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</si>
  <si>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</si>
  <si>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</si>
  <si>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</si>
  <si>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</si>
  <si>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</si>
  <si>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</si>
  <si>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</si>
  <si>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</si>
  <si>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</si>
  <si>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</si>
  <si>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</si>
  <si>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</si>
  <si>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</si>
  <si>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</si>
  <si>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</si>
  <si>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</si>
  <si>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</si>
  <si>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</si>
  <si>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</si>
  <si>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</si>
  <si>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</si>
  <si>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</si>
  <si>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</si>
  <si>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</si>
  <si>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</si>
  <si>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</si>
  <si>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</si>
  <si>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</si>
  <si>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</si>
  <si>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</si>
  <si>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</si>
  <si>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</si>
  <si>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</si>
  <si>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</si>
  <si>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</si>
  <si>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</si>
  <si>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</si>
  <si>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</si>
  <si>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</si>
  <si>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</si>
  <si>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</si>
  <si>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</si>
  <si>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</si>
  <si>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</si>
  <si>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</si>
  <si>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</si>
  <si>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</si>
  <si>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</si>
  <si>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</si>
  <si>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</si>
  <si>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</si>
  <si>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</si>
  <si>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</si>
  <si>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</si>
  <si>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</si>
  <si>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</si>
  <si>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</si>
  <si>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</si>
  <si>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</si>
  <si>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</si>
  <si>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</si>
  <si>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</si>
  <si>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</si>
  <si>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</si>
  <si>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</si>
  <si>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</si>
  <si>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</si>
  <si>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</si>
  <si>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</si>
  <si>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</si>
  <si>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</si>
  <si>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</si>
  <si>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</si>
  <si>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</si>
  <si>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</si>
  <si>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</si>
  <si>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</si>
  <si>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</si>
  <si>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</si>
  <si>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</si>
  <si>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</si>
  <si>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</si>
  <si>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</si>
  <si>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</si>
  <si>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</si>
  <si>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</si>
  <si>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</si>
  <si>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</si>
  <si>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</si>
  <si>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</si>
  <si>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</si>
  <si>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</si>
  <si>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</si>
  <si>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</si>
  <si>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</si>
  <si>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</si>
  <si>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</si>
  <si>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</si>
  <si>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</si>
  <si>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</si>
  <si>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</si>
  <si>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</si>
  <si>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</si>
  <si>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</si>
  <si>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</si>
  <si>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</si>
  <si>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</si>
  <si>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</si>
  <si>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</si>
  <si>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</si>
  <si>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</si>
  <si>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</si>
  <si>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</si>
  <si>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</si>
  <si>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</si>
  <si>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</si>
  <si>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</si>
  <si>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</si>
  <si>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</si>
  <si>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</si>
  <si>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</si>
  <si>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</si>
  <si>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</si>
  <si>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</si>
  <si>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</si>
  <si>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</si>
  <si>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</si>
  <si>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</si>
  <si>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</si>
  <si>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</si>
  <si>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</si>
  <si>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</si>
  <si>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</si>
  <si>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</si>
  <si>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</si>
  <si>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</si>
  <si>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</si>
  <si>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</si>
  <si>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</si>
  <si>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</si>
  <si>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</si>
  <si>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</si>
  <si>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</si>
  <si>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</si>
  <si>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</si>
  <si>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</si>
  <si>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</si>
  <si>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</si>
  <si>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</si>
  <si>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</si>
  <si>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</si>
  <si>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</si>
  <si>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</si>
  <si>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</si>
  <si>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</si>
  <si>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</si>
  <si>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</si>
  <si>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</si>
  <si>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</si>
  <si>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</si>
  <si>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</si>
  <si>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</si>
  <si>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</si>
  <si>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</si>
  <si>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</si>
  <si>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</si>
  <si>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</si>
  <si>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</si>
  <si>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</si>
  <si>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</si>
  <si>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</si>
  <si>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</si>
  <si>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</si>
  <si>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</si>
  <si>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</si>
  <si>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</si>
  <si>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</si>
  <si>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</si>
  <si>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</si>
  <si>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</si>
  <si>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</si>
  <si>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</si>
  <si>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</si>
  <si>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</si>
  <si>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</si>
  <si>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</si>
  <si>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</si>
  <si>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</si>
  <si>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</si>
  <si>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</si>
  <si>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</si>
  <si>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</si>
  <si>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</si>
  <si>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</si>
  <si>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</si>
  <si>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</si>
  <si>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</si>
  <si>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</si>
  <si>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</si>
  <si>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</si>
  <si>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</si>
  <si>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</si>
  <si>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</si>
  <si>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</si>
  <si>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</si>
  <si>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</si>
  <si>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</si>
  <si>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</si>
  <si>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</si>
  <si>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</si>
  <si>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</si>
  <si>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</si>
  <si>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</si>
  <si>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</si>
  <si>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</si>
  <si>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</si>
  <si>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</si>
  <si>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</si>
  <si>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</si>
  <si>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</si>
  <si>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</si>
  <si>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</si>
  <si>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</si>
  <si>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</si>
  <si>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</si>
  <si>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</si>
  <si>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</si>
  <si>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</si>
  <si>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</si>
  <si>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</si>
  <si>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</si>
  <si>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</si>
  <si>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</si>
  <si>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</si>
  <si>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</si>
  <si>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</si>
  <si>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</si>
  <si>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</si>
  <si>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</si>
  <si>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</si>
  <si>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</si>
  <si>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</si>
  <si>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</si>
  <si>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</si>
  <si>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</si>
  <si>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</si>
  <si>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</si>
  <si>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</si>
  <si>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</si>
  <si>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</si>
  <si>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</si>
  <si>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</si>
  <si>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</si>
  <si>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</si>
  <si>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</si>
  <si>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</si>
  <si>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</si>
  <si>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</si>
  <si>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</si>
  <si>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</si>
  <si>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</si>
  <si>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</si>
  <si>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</si>
  <si>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</si>
  <si>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</si>
  <si>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</si>
  <si>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</si>
  <si>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</si>
  <si>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</si>
  <si>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</si>
  <si>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</si>
  <si>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</si>
  <si>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</si>
  <si>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</si>
  <si>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</si>
  <si>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</si>
  <si>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</si>
  <si>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</si>
  <si>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</si>
  <si>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</si>
  <si>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</si>
  <si>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</si>
  <si>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</si>
  <si>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</si>
  <si>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</si>
  <si>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</si>
  <si>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</si>
  <si>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</si>
  <si>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</si>
  <si>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</si>
  <si>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</si>
  <si>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</si>
  <si>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</si>
  <si>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</si>
  <si>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</si>
  <si>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</si>
  <si>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</si>
  <si>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</si>
  <si>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</si>
  <si>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</si>
  <si>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</si>
  <si>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</si>
  <si>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</si>
  <si>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</si>
  <si>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</si>
  <si>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</si>
  <si>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</si>
  <si>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</si>
  <si>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</si>
  <si>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</si>
  <si>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</si>
  <si>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</si>
  <si>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</si>
  <si>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</si>
  <si>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</si>
  <si>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</si>
  <si>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</si>
  <si>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</si>
  <si>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</si>
  <si>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</si>
  <si>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</si>
  <si>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</si>
  <si>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</si>
  <si>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</si>
  <si>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</si>
  <si>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</si>
  <si>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</si>
  <si>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</si>
  <si>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</si>
  <si>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</si>
  <si>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</si>
  <si>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</si>
  <si>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</si>
  <si>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</si>
  <si>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</si>
  <si>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</si>
  <si>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</si>
  <si>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</si>
  <si>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</si>
  <si>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</si>
  <si>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</si>
  <si>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</si>
  <si>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</si>
  <si>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</si>
  <si>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</si>
  <si>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</si>
  <si>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</si>
  <si>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</si>
  <si>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</si>
  <si>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</si>
  <si>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</si>
  <si>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</si>
  <si>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</si>
  <si>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</si>
  <si>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</si>
  <si>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</si>
  <si>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</si>
  <si>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</si>
  <si>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</si>
  <si>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</si>
  <si>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</si>
  <si>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</si>
  <si>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</si>
  <si>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</si>
  <si>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</si>
  <si>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</si>
  <si>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</si>
  <si>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</si>
  <si>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</si>
  <si>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</si>
  <si>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</si>
  <si>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</si>
  <si>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</si>
  <si>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</si>
  <si>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</si>
  <si>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</si>
  <si>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</si>
  <si>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</si>
  <si>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</si>
  <si>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</si>
  <si>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</si>
  <si>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</si>
  <si>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</si>
  <si>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</si>
  <si>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</si>
  <si>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</si>
  <si>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</si>
  <si>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</si>
  <si>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</si>
  <si>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</si>
  <si>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</si>
  <si>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</si>
  <si>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</si>
  <si>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</si>
  <si>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</si>
  <si>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</si>
  <si>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</si>
  <si>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</si>
  <si>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</si>
  <si>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</si>
  <si>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</si>
  <si>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</si>
  <si>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</si>
  <si>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</si>
  <si>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</si>
  <si>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</si>
  <si>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</si>
  <si>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</si>
  <si>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</si>
  <si>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</si>
  <si>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</si>
  <si>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</si>
  <si>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</si>
  <si>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</si>
  <si>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</si>
  <si>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</si>
  <si>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</si>
  <si>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</si>
  <si>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</si>
  <si>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</si>
  <si>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</si>
  <si>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</si>
  <si>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</si>
  <si>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</si>
  <si>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</si>
  <si>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</si>
  <si>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</si>
  <si>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</si>
  <si>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</si>
  <si>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</si>
  <si>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</si>
  <si>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</si>
  <si>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</si>
  <si>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</si>
  <si>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</si>
  <si>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</si>
  <si>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</si>
  <si>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</si>
  <si>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</si>
  <si>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</si>
  <si>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</si>
  <si>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</si>
  <si>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</si>
  <si>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</si>
  <si>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</si>
  <si>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</si>
  <si>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</si>
  <si>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</si>
  <si>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</si>
  <si>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</si>
  <si>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</si>
  <si>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</si>
  <si>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</si>
  <si>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</si>
  <si>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</si>
  <si>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</si>
  <si>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</si>
  <si>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</si>
  <si>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</si>
  <si>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</si>
  <si>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</si>
  <si>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</si>
  <si>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</si>
  <si>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</si>
  <si>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</si>
  <si>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</si>
  <si>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</si>
  <si>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</si>
  <si>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</si>
  <si>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</si>
  <si>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</si>
  <si>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</si>
  <si>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</si>
  <si>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</si>
  <si>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</si>
  <si>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</si>
  <si>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</si>
  <si>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</si>
  <si>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</si>
  <si>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</si>
  <si>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</si>
  <si>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</si>
  <si>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</si>
  <si>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</si>
  <si>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</si>
  <si>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</si>
  <si>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</si>
  <si>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</si>
  <si>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</si>
  <si>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</si>
  <si>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</si>
  <si>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</si>
  <si>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</si>
  <si>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</si>
  <si>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</si>
  <si>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</si>
  <si>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</si>
  <si>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</si>
  <si>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</si>
  <si>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</si>
  <si>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</si>
  <si>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</si>
  <si>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</si>
  <si>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</si>
  <si>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</si>
  <si>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</si>
  <si>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</si>
  <si>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</si>
  <si>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</si>
  <si>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</si>
  <si>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</si>
  <si>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</si>
  <si>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</si>
  <si>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</si>
  <si>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</si>
  <si>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</si>
  <si>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</si>
  <si>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</si>
  <si>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</si>
  <si>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</si>
  <si>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</si>
  <si>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</si>
  <si>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</si>
  <si>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</si>
  <si>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</si>
  <si>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</si>
  <si>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</si>
  <si>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</si>
  <si>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</si>
  <si>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</si>
  <si>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</si>
  <si>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</si>
  <si>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</si>
  <si>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</si>
  <si>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</si>
  <si>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</si>
  <si>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</si>
  <si>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</si>
  <si>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</si>
  <si>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</si>
  <si>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</si>
  <si>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</si>
  <si>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</si>
  <si>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</si>
  <si>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</si>
  <si>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</si>
  <si>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</si>
  <si>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</si>
  <si>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</si>
  <si>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</si>
  <si>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</si>
  <si>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</si>
  <si>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</si>
  <si>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</si>
  <si>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</si>
  <si>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</si>
  <si>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</si>
  <si>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</si>
  <si>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</si>
  <si>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</si>
  <si>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</si>
  <si>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</si>
  <si>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</si>
  <si>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</si>
  <si>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</si>
  <si>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</si>
  <si>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</si>
  <si>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</si>
  <si>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</si>
  <si>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</si>
  <si>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</si>
  <si>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</si>
  <si>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</si>
  <si>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</si>
  <si>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</si>
  <si>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</si>
  <si>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</si>
  <si>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</si>
  <si>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</si>
  <si>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</si>
  <si>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</si>
  <si>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</si>
  <si>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</si>
  <si>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</si>
  <si>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</si>
  <si>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</si>
  <si>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</si>
  <si>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</si>
  <si>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</si>
  <si>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</si>
  <si>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</si>
  <si>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</si>
  <si>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</si>
  <si>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</si>
  <si>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</si>
  <si>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</si>
  <si>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</si>
  <si>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</si>
  <si>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</si>
  <si>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</si>
  <si>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</si>
  <si>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</si>
  <si>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</si>
  <si>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</si>
  <si>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</si>
  <si>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</si>
  <si>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</si>
  <si>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</si>
  <si>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</si>
  <si>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</si>
  <si>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</si>
  <si>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</si>
  <si>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</si>
  <si>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</si>
  <si>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</si>
  <si>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</si>
  <si>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</si>
  <si>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</si>
  <si>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</si>
  <si>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</si>
  <si>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</si>
  <si>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</si>
  <si>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</si>
  <si>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</si>
  <si>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</si>
  <si>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</si>
  <si>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</si>
  <si>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</si>
  <si>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</si>
  <si>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</si>
  <si>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</si>
  <si>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</si>
  <si>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</si>
  <si>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</si>
  <si>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</si>
  <si>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</si>
  <si>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</si>
  <si>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</si>
  <si>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</si>
  <si>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</si>
  <si>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</si>
  <si>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</si>
  <si>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</si>
  <si>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</si>
  <si>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</si>
  <si>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</si>
  <si>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</si>
  <si>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</si>
  <si>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</si>
  <si>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</si>
  <si>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</si>
  <si>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</si>
  <si>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</si>
  <si>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</si>
  <si>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</si>
  <si>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</si>
  <si>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</si>
  <si>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</si>
  <si>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</si>
  <si>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</si>
  <si>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</si>
  <si>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</si>
  <si>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</si>
  <si>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</si>
  <si>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</si>
  <si>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</si>
  <si>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</si>
  <si>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</si>
  <si>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</si>
  <si>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</si>
  <si>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</si>
  <si>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</si>
  <si>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</si>
  <si>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</si>
  <si>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</si>
  <si>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</si>
  <si>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</si>
  <si>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</si>
  <si>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</si>
  <si>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</si>
  <si>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</si>
  <si>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</si>
  <si>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</si>
  <si>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</si>
  <si>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</si>
  <si>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</si>
  <si>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</si>
  <si>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</si>
  <si>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</si>
  <si>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</si>
  <si>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</si>
  <si>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</si>
  <si>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</si>
  <si>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</si>
  <si>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</si>
  <si>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</si>
  <si>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</si>
  <si>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</si>
  <si>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</si>
  <si>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</si>
  <si>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</si>
  <si>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</si>
  <si>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</si>
  <si>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</si>
  <si>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</si>
  <si>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</si>
  <si>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</si>
  <si>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</si>
  <si>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</si>
  <si>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</si>
  <si>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</si>
  <si>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</si>
  <si>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</si>
  <si>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</si>
  <si>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</si>
  <si>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</si>
  <si>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</si>
  <si>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</si>
  <si>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</si>
  <si>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</si>
  <si>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</si>
  <si>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</si>
  <si>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</si>
  <si>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</si>
  <si>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</si>
  <si>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</si>
  <si>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</si>
  <si>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</si>
  <si>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</si>
  <si>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</si>
  <si>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</si>
  <si>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</si>
  <si>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</si>
  <si>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</si>
  <si>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</si>
  <si>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</si>
  <si>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</si>
  <si>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</si>
  <si>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</si>
  <si>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</si>
  <si>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</si>
  <si>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</si>
  <si>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</si>
  <si>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</si>
  <si>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</si>
  <si>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</si>
  <si>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</si>
  <si>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</si>
  <si>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</si>
  <si>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</si>
  <si>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</si>
  <si>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</si>
  <si>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</si>
  <si>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</si>
  <si>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</si>
  <si>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</si>
  <si>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</si>
  <si>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</si>
  <si>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</si>
  <si>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</si>
  <si>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</si>
  <si>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</si>
  <si>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</si>
  <si>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</si>
  <si>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</si>
  <si>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</si>
  <si>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</si>
  <si>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</si>
  <si>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</si>
  <si>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</si>
  <si>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</si>
  <si>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</si>
  <si>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</si>
  <si>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</si>
  <si>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</si>
  <si>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</si>
  <si>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</si>
  <si>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</si>
  <si>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</si>
  <si>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</si>
  <si>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</si>
  <si>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</si>
  <si>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</si>
  <si>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</si>
  <si>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</si>
  <si>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</si>
  <si>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</si>
  <si>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</si>
  <si>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</si>
  <si>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</si>
  <si>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</si>
  <si>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</si>
  <si>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</si>
  <si>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</si>
  <si>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</si>
  <si>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</si>
  <si>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</si>
  <si>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</si>
  <si>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</si>
  <si>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</si>
  <si>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</si>
  <si>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</si>
  <si>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</si>
  <si>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</si>
  <si>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</si>
  <si>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</si>
  <si>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</si>
  <si>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</si>
  <si>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</si>
  <si>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</si>
  <si>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</si>
  <si>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</si>
  <si>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</si>
  <si>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</si>
  <si>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</si>
  <si>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</si>
  <si>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</si>
  <si>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</si>
  <si>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</si>
  <si>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</si>
  <si>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</si>
  <si>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</si>
  <si>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</si>
  <si>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</si>
  <si>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</si>
  <si>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</si>
  <si>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</si>
  <si>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</si>
  <si>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</si>
  <si>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</si>
  <si>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</si>
  <si>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</si>
  <si>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</si>
  <si>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</si>
  <si>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</si>
  <si>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</si>
  <si>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</si>
  <si>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</si>
  <si>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</si>
  <si>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</si>
  <si>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</si>
  <si>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</si>
  <si>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</si>
  <si>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</si>
  <si>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</si>
  <si>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</si>
  <si>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</si>
  <si>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</si>
  <si>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</si>
  <si>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</si>
  <si>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</si>
  <si>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</si>
  <si>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</si>
  <si>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</si>
  <si>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</si>
  <si>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</si>
  <si>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</si>
  <si>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</si>
  <si>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</si>
  <si>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</si>
  <si>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</si>
  <si>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</si>
  <si>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</si>
  <si>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</si>
  <si>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</si>
  <si>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</si>
  <si>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</si>
  <si>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</si>
  <si>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</si>
  <si>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</si>
  <si>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</si>
  <si>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</si>
  <si>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</si>
  <si>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</si>
  <si>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</si>
  <si>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</si>
  <si>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</si>
  <si>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</si>
  <si>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</si>
  <si>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</si>
  <si>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</si>
  <si>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</si>
  <si>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</si>
  <si>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</si>
  <si>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</si>
  <si>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</si>
  <si>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</si>
  <si>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</si>
  <si>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</si>
  <si>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</si>
  <si>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</si>
  <si>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</si>
  <si>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</si>
  <si>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</si>
  <si>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</si>
  <si>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</si>
  <si>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</si>
  <si>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</si>
  <si>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</si>
  <si>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</si>
  <si>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</si>
  <si>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</si>
  <si>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</si>
  <si>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</si>
  <si>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</si>
  <si>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</si>
  <si>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</si>
  <si>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</si>
  <si>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</si>
  <si>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</si>
  <si>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</si>
  <si>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</si>
  <si>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</si>
  <si>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</si>
  <si>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</si>
  <si>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</si>
  <si>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</si>
  <si>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</si>
  <si>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</si>
  <si>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</si>
  <si>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</si>
  <si>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</si>
  <si>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</si>
  <si>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</si>
  <si>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</si>
  <si>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</si>
  <si>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</si>
  <si>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</si>
  <si>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</si>
  <si>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</si>
  <si>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</si>
  <si>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</si>
  <si>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</si>
  <si>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</si>
  <si>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</si>
  <si>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</si>
  <si>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</si>
  <si>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</si>
  <si>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</si>
  <si>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</si>
  <si>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</si>
  <si>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</si>
  <si>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</si>
  <si>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</si>
  <si>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</si>
  <si>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</si>
  <si>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</si>
  <si>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</si>
  <si>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</si>
  <si>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</si>
  <si>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</si>
  <si>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</si>
  <si>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</si>
  <si>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</si>
  <si>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</si>
  <si>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</si>
  <si>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</si>
  <si>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</si>
  <si>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</si>
  <si>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</si>
  <si>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</si>
  <si>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</si>
  <si>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</si>
  <si>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</si>
  <si>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</si>
  <si>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</si>
  <si>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</si>
  <si>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</si>
  <si>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</si>
  <si>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</si>
  <si>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</si>
  <si>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</si>
  <si>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</si>
  <si>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</si>
  <si>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</si>
  <si>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</si>
  <si>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</si>
  <si>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</si>
  <si>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</si>
  <si>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</si>
  <si>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</si>
  <si>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</si>
  <si>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</si>
  <si>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</si>
  <si>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</si>
  <si>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</si>
  <si>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</si>
  <si>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</si>
  <si>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</si>
  <si>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</si>
  <si>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</si>
  <si>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</si>
  <si>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</si>
  <si>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</si>
  <si>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</si>
  <si>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</si>
  <si>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</si>
  <si>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</si>
  <si>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</si>
  <si>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</si>
  <si>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</si>
  <si>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</si>
  <si>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</si>
  <si>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</si>
  <si>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</si>
  <si>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</si>
  <si>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</si>
  <si>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</si>
  <si>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</si>
  <si>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</si>
  <si>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</si>
  <si>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</si>
  <si>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</si>
  <si>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</si>
  <si>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</si>
  <si>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</si>
  <si>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</si>
  <si>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</si>
  <si>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</si>
  <si>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</si>
  <si>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</si>
  <si>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</si>
  <si>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</si>
  <si>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</si>
  <si>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</si>
  <si>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</si>
  <si>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</si>
  <si>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</si>
  <si>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</si>
  <si>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</si>
  <si>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</si>
  <si>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</si>
  <si>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</si>
  <si>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</si>
  <si>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</si>
  <si>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</si>
  <si>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</si>
  <si>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</si>
  <si>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</si>
  <si>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</si>
  <si>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</si>
  <si>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</si>
  <si>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</si>
  <si>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</si>
  <si>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</si>
  <si>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</si>
  <si>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</si>
  <si>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</si>
  <si>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</si>
  <si>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</si>
  <si>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</si>
  <si>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</si>
  <si>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</si>
  <si>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</si>
  <si>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</si>
  <si>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</si>
  <si>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</si>
  <si>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</si>
  <si>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</si>
  <si>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</si>
  <si>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</si>
  <si>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</si>
  <si>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</si>
  <si>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</si>
  <si>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</si>
  <si>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</si>
  <si>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</si>
  <si>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</si>
  <si>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</si>
  <si>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</si>
  <si>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</si>
  <si>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</si>
  <si>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</si>
  <si>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</si>
  <si>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</si>
  <si>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</si>
  <si>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</si>
  <si>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</si>
  <si>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</si>
  <si>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</si>
  <si>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</si>
  <si>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</si>
  <si>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</si>
  <si>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</si>
  <si>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</si>
  <si>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</si>
  <si>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</si>
  <si>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</si>
  <si>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</si>
  <si>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</si>
  <si>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</si>
  <si>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</si>
  <si>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</si>
  <si>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</si>
  <si>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</si>
  <si>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</si>
  <si>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</si>
  <si>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</si>
  <si>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</si>
  <si>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</si>
  <si>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</si>
  <si>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</si>
  <si>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</si>
  <si>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</si>
  <si>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</si>
  <si>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</si>
  <si>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</si>
  <si>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</si>
  <si>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</si>
  <si>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</si>
  <si>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</si>
  <si>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</si>
  <si>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</si>
  <si>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</si>
  <si>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</si>
  <si>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</si>
  <si>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</si>
  <si>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</si>
  <si>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</si>
  <si>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</si>
  <si>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</si>
  <si>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</si>
  <si>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</si>
  <si>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</si>
  <si>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</si>
  <si>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</si>
  <si>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</si>
  <si>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</si>
  <si>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</si>
  <si>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</si>
  <si>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</si>
  <si>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</si>
  <si>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</si>
  <si>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</si>
  <si>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</si>
  <si>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</si>
  <si>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</si>
  <si>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</si>
  <si>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</si>
  <si>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</si>
  <si>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</si>
  <si>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</si>
  <si>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</si>
  <si>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</si>
  <si>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</si>
  <si>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</si>
  <si>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</si>
  <si>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</si>
  <si>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</si>
  <si>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</si>
  <si>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</si>
  <si>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</si>
  <si>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</si>
  <si>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</si>
  <si>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</si>
  <si>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</si>
  <si>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</si>
  <si>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</si>
  <si>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</si>
  <si>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</si>
  <si>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</si>
  <si>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</si>
  <si>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</si>
  <si>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</si>
  <si>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</si>
  <si>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</si>
  <si>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</si>
  <si>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</si>
  <si>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</si>
  <si>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</si>
  <si>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</si>
  <si>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</si>
  <si>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</si>
  <si>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</si>
  <si>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</si>
  <si>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</si>
  <si>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</si>
  <si>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</si>
  <si>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</si>
  <si>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</si>
  <si>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</si>
  <si>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</si>
  <si>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</si>
  <si>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</si>
  <si>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</si>
  <si>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</si>
  <si>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</si>
  <si>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</si>
  <si>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</si>
  <si>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</si>
  <si>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</si>
  <si>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</si>
  <si>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</si>
  <si>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</si>
  <si>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</si>
  <si>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</si>
  <si>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</si>
  <si>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</si>
  <si>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</si>
  <si>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</si>
  <si>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</si>
  <si>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</si>
  <si>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</si>
  <si>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</si>
  <si>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</si>
  <si>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</si>
  <si>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</si>
  <si>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</si>
  <si>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</si>
  <si>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</si>
  <si>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</si>
  <si>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</si>
  <si>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</si>
  <si>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</si>
  <si>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</si>
  <si>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</si>
  <si>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</si>
  <si>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</si>
  <si>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</si>
  <si>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</si>
  <si>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</si>
  <si>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</si>
  <si>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</si>
  <si>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</si>
  <si>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</si>
  <si>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</si>
  <si>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</si>
  <si>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</si>
  <si>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</si>
  <si>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</si>
  <si>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</si>
  <si>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</si>
  <si>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</si>
  <si>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</si>
  <si>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</si>
  <si>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</si>
  <si>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</si>
  <si>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</si>
  <si>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</si>
  <si>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</si>
  <si>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</si>
  <si>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</si>
  <si>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</si>
  <si>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</si>
  <si>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</si>
  <si>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</si>
  <si>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</si>
  <si>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</si>
  <si>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</si>
  <si>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</si>
  <si>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</si>
  <si>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</si>
  <si>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</si>
  <si>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</si>
  <si>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</si>
  <si>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</si>
  <si>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</si>
  <si>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</si>
  <si>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</si>
  <si>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</si>
  <si>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</si>
  <si>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</si>
  <si>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</si>
  <si>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</si>
  <si>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</si>
  <si>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</si>
  <si>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</si>
  <si>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</si>
  <si>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</si>
  <si>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</si>
  <si>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</si>
  <si>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</si>
  <si>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</si>
  <si>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</si>
  <si>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</si>
  <si>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</si>
  <si>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</si>
  <si>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</si>
  <si>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</si>
  <si>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</si>
  <si>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</si>
  <si>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</si>
  <si>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</si>
  <si>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</si>
  <si>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</si>
  <si>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</si>
  <si>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</si>
  <si>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</si>
  <si>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</si>
  <si>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</si>
  <si>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</si>
  <si>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</si>
  <si>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</si>
  <si>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</si>
  <si>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</si>
  <si>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</si>
  <si>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</si>
  <si>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</si>
  <si>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</si>
  <si>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</si>
  <si>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</si>
  <si>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</si>
  <si>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</si>
  <si>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</si>
  <si>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</si>
  <si>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</si>
  <si>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</si>
  <si>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</si>
  <si>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</si>
  <si>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</si>
  <si>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</si>
  <si>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</si>
  <si>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</si>
  <si>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</si>
  <si>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</si>
  <si>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</si>
  <si>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</si>
  <si>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</si>
  <si>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</si>
  <si>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</si>
  <si>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</si>
  <si>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</si>
  <si>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</si>
  <si>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</si>
  <si>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</si>
  <si>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</si>
  <si>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</si>
  <si>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</si>
  <si>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</si>
  <si>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</si>
  <si>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</si>
  <si>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</si>
  <si>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</si>
  <si>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</si>
  <si>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</si>
  <si>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</si>
  <si>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</si>
  <si>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</si>
  <si>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</si>
  <si>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</si>
  <si>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</si>
  <si>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</si>
  <si>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</si>
  <si>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</si>
  <si>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</si>
  <si>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</si>
  <si>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</si>
  <si>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</si>
  <si>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</si>
  <si>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</si>
  <si>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</si>
  <si>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</si>
  <si>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</si>
  <si>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</si>
  <si>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</si>
  <si>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</si>
  <si>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</si>
  <si>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</si>
  <si>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</si>
  <si>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</si>
  <si>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</si>
  <si>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</si>
  <si>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</si>
  <si>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</si>
  <si>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</si>
  <si>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</si>
  <si>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</si>
  <si>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</si>
  <si>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</si>
  <si>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</si>
  <si>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</si>
  <si>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</si>
  <si>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</si>
  <si>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</si>
  <si>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</si>
  <si>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</si>
  <si>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</si>
  <si>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</si>
  <si>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</si>
  <si>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</si>
  <si>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</si>
  <si>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</si>
  <si>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</si>
  <si>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</si>
  <si>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</si>
  <si>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</si>
  <si>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</si>
  <si>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</si>
  <si>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</si>
  <si>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</si>
  <si>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</si>
  <si>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</si>
  <si>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</si>
  <si>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</si>
  <si>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</si>
  <si>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</si>
  <si>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</si>
  <si>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</si>
  <si>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</si>
  <si>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</si>
  <si>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</si>
  <si>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</si>
  <si>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</si>
  <si>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</si>
  <si>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</si>
  <si>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</si>
  <si>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</si>
  <si>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</si>
  <si>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</si>
  <si>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</si>
  <si>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</si>
  <si>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</si>
  <si>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</si>
  <si>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</si>
  <si>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</si>
  <si>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</si>
  <si>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</si>
  <si>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</si>
  <si>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</si>
  <si>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</si>
  <si>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</si>
  <si>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</si>
  <si>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</si>
  <si>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</si>
  <si>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</si>
  <si>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</si>
  <si>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</si>
  <si>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</si>
  <si>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</si>
  <si>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</si>
  <si>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</si>
  <si>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</si>
  <si>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</si>
  <si>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</si>
  <si>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</si>
  <si>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</si>
  <si>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</si>
  <si>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</si>
  <si>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</si>
  <si>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</si>
  <si>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</si>
  <si>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</si>
  <si>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</si>
  <si>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</si>
  <si>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</si>
  <si>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</si>
  <si>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</si>
  <si>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</si>
  <si>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</si>
  <si>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</si>
  <si>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</si>
  <si>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</si>
  <si>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</si>
  <si>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</si>
  <si>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</si>
  <si>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</si>
  <si>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</si>
  <si>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</si>
  <si>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</si>
  <si>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</si>
  <si>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</si>
  <si>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</si>
  <si>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</si>
  <si>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</si>
  <si>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</si>
  <si>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</si>
  <si>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</si>
  <si>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</si>
  <si>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</si>
  <si>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</si>
  <si>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</si>
  <si>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</si>
  <si>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</si>
  <si>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</si>
  <si>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</si>
  <si>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</si>
  <si>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</si>
  <si>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</si>
  <si>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</si>
  <si>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</si>
  <si>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</si>
  <si>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</si>
  <si>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</si>
  <si>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</si>
  <si>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</si>
  <si>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</si>
  <si>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</si>
  <si>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</si>
  <si>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</si>
  <si>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</si>
  <si>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</si>
  <si>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</si>
  <si>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</si>
  <si>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</si>
  <si>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</si>
  <si>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</si>
  <si>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</si>
  <si>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</si>
  <si>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</si>
  <si>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</si>
  <si>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</si>
  <si>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</si>
  <si>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</si>
  <si>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</si>
  <si>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</si>
  <si>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</si>
  <si>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</si>
  <si>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</si>
  <si>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</si>
  <si>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</si>
  <si>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</si>
  <si>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</si>
  <si>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</si>
  <si>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</si>
  <si>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</si>
  <si>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</si>
  <si>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</si>
  <si>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</si>
  <si>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</si>
  <si>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</si>
  <si>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</si>
  <si>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</si>
  <si>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</si>
  <si>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</si>
  <si>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</si>
  <si>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</si>
  <si>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</si>
  <si>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</si>
  <si>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</si>
  <si>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</si>
  <si>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</si>
  <si>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</si>
  <si>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</si>
  <si>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</si>
  <si>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</si>
  <si>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</si>
  <si>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</si>
  <si>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</si>
  <si>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</si>
  <si>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</si>
  <si>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</si>
  <si>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</si>
  <si>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</si>
  <si>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</si>
  <si>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</si>
  <si>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</si>
  <si>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</si>
  <si>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</si>
  <si>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</si>
  <si>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</si>
  <si>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</si>
  <si>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</si>
  <si>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</si>
  <si>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</si>
  <si>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</si>
  <si>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</si>
  <si>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</si>
  <si>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</si>
  <si>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</si>
  <si>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</si>
  <si>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</si>
  <si>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</si>
  <si>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</si>
  <si>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</si>
  <si>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</si>
  <si>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</si>
  <si>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</si>
  <si>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</si>
  <si>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</si>
  <si>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</si>
  <si>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</si>
  <si>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</si>
  <si>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</si>
  <si>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</si>
  <si>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</si>
  <si>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</si>
  <si>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</si>
  <si>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</si>
  <si>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</si>
  <si>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</si>
  <si>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</si>
  <si>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</si>
  <si>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</si>
  <si>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</si>
  <si>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</si>
  <si>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</si>
  <si>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</si>
  <si>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</si>
  <si>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</si>
  <si>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</si>
  <si>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</si>
  <si>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</si>
  <si>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</si>
  <si>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</si>
  <si>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</si>
  <si>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</si>
  <si>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</si>
  <si>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</si>
  <si>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</si>
  <si>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</si>
  <si>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</si>
  <si>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</si>
  <si>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</si>
  <si>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</si>
  <si>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</si>
  <si>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</si>
  <si>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</si>
  <si>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</si>
  <si>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</si>
  <si>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</si>
  <si>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920 Florence Blvd</t>
  </si>
  <si>
    <t>Florence</t>
  </si>
  <si>
    <t>arappuhn@gatewaymgt.com</t>
  </si>
  <si>
    <t>Family</t>
  </si>
  <si>
    <t>Allan Rappuhn</t>
  </si>
  <si>
    <t>Managing Member</t>
  </si>
  <si>
    <t>Affordable Equity Partners</t>
  </si>
  <si>
    <t>206 Peach Way</t>
  </si>
  <si>
    <t>Brian Kimes</t>
  </si>
  <si>
    <t>Director of Acquistions</t>
  </si>
  <si>
    <t>bkimes@aepartners.com</t>
  </si>
  <si>
    <t>Gateway Construction Corporation</t>
  </si>
  <si>
    <t>Chairman</t>
  </si>
  <si>
    <t>1200 Fourth Ave</t>
  </si>
  <si>
    <t>Richard C. Wolfe</t>
  </si>
  <si>
    <t>csmith@dashlagrange.org</t>
  </si>
  <si>
    <t>Reed Construction Company, LLC</t>
  </si>
  <si>
    <t>114 North Hoyle Ave</t>
  </si>
  <si>
    <t>Bay Minette</t>
  </si>
  <si>
    <t>J. Myles Reed</t>
  </si>
  <si>
    <t>Member</t>
  </si>
  <si>
    <t>reedjm@bellsouth.net</t>
  </si>
  <si>
    <t>Gateway Management Company, LLC</t>
  </si>
  <si>
    <t>200 Cahaba Park Circle, Suite 116</t>
  </si>
  <si>
    <t>Birmingham</t>
  </si>
  <si>
    <t>rfleece@gatewaymgt.com</t>
  </si>
  <si>
    <t>910 N. Patterson Street</t>
  </si>
  <si>
    <t>Thompson Kurrie, Jr.</t>
  </si>
  <si>
    <t>Managing Partner</t>
  </si>
  <si>
    <t>tom.kurrie@colemantalley.com</t>
  </si>
  <si>
    <t>Frost, Cummings, Tidwell Group, LLC</t>
  </si>
  <si>
    <t>2001 Park Place North, Suite 900</t>
  </si>
  <si>
    <t>Barry Tidwell</t>
  </si>
  <si>
    <t>barry.tidwell@thefctgroup.com</t>
  </si>
  <si>
    <t>McKean &amp; Associates, Architects, LLC</t>
  </si>
  <si>
    <t>2815-B Zelda Road</t>
  </si>
  <si>
    <t>Rory McKean</t>
  </si>
  <si>
    <t>President</t>
  </si>
  <si>
    <t>rmckean@mckeanarch.com</t>
  </si>
  <si>
    <t>No</t>
  </si>
  <si>
    <t>Yes</t>
  </si>
  <si>
    <t>For Profit</t>
  </si>
  <si>
    <t>None</t>
  </si>
  <si>
    <t>DCA Home Loan</t>
  </si>
  <si>
    <t>DCA HOME IPS</t>
  </si>
  <si>
    <t>DDA/QCT</t>
  </si>
  <si>
    <t>DCA - Middle Region</t>
  </si>
  <si>
    <t>N/A-CS</t>
  </si>
  <si>
    <t>Common</t>
  </si>
  <si>
    <t>2-Story Walkup</t>
  </si>
  <si>
    <t>Floating</t>
  </si>
  <si>
    <t>Other Employee salaries/benefits</t>
  </si>
  <si>
    <t>Forest Mill Apartments</t>
  </si>
  <si>
    <t>Hatchett Street</t>
  </si>
  <si>
    <t>Competitive Round</t>
  </si>
  <si>
    <t>Forest Mill Apartments, LP</t>
  </si>
  <si>
    <t>Gateway Forest Mill, LLC</t>
  </si>
  <si>
    <t>Drew Ferguson IV</t>
  </si>
  <si>
    <t>Mayor</t>
  </si>
  <si>
    <t>www.cityofwestpointga.com</t>
  </si>
  <si>
    <t>fergusondental@yahoo.com</t>
  </si>
  <si>
    <t>730 1st Avenue</t>
  </si>
  <si>
    <t>City of West Point</t>
  </si>
  <si>
    <t>DASH for LaGrange, Inc./DASH Development Corporation</t>
  </si>
  <si>
    <t xml:space="preserve">Real Estate Tax Calculation: Estimated at $45,000 per unit x 40% x mill rate of .039202 which equals $56,450.                                                                                                Insurance: Total Construction contract amount x .0040. This is based on the average rate across our portfolio. </t>
  </si>
  <si>
    <t>AL - 5</t>
  </si>
  <si>
    <t>applied for</t>
  </si>
  <si>
    <t xml:space="preserve">Forest Mill Apartments is a proposed 80 unit apartment complex located in the town of West Point. It wil consist of 16 one bedroom units, 40 two bedroom units and 24 three bedroom units. The buildings are all two-story and have many design features, services and amenities for family households. The proposed site is also located closely to several family oriented services such as: schools, shopping, and doctors. The complex will have amenities based on the family tenant base such as: washer and dryer connections, dishwashers, community room,gazebo with equipped picnic areas and equipped computer center. Also, the location of this site is withing the boudaries of the West Point redevelopment plan. 
The complex will have rents that are structured to be affordable for housholds at or below 50% and 60% of AMI, as well as 8 market rate units. The complex will also comply with the integrated supportive housing plan. Forest Mill Apartments will accept rental assistance from a state, federal, or other approved entity for up to 5% of the units for the purpose of providing integrated housing opportunities to individuals with mental illness.
We believe, based on our knowledge of the market area, that the proposed development will be favorably received in the market place and will present a sound investment of the Department of Community Affairs Affordable Housing Rescources. </t>
  </si>
  <si>
    <t>Earth Craft House Multifamily</t>
  </si>
  <si>
    <t>Pass</t>
  </si>
  <si>
    <t>36-44 et seq</t>
  </si>
  <si>
    <t>11, 21, 24</t>
  </si>
  <si>
    <t>17, 21, 26, 126, 128-129</t>
  </si>
  <si>
    <t>www.cityofwestpointga.com/Government/CouumnityDevelopment/redevelopplan.shtml</t>
  </si>
  <si>
    <t>Racially mixed</t>
  </si>
  <si>
    <t>Agree</t>
  </si>
  <si>
    <t>Holiday parties, Movie Night</t>
  </si>
  <si>
    <t>Jerry M. Koontz</t>
  </si>
  <si>
    <t>NONE</t>
  </si>
  <si>
    <t>Contract/Option</t>
  </si>
  <si>
    <t>Forest Mill Apartments. LP</t>
  </si>
  <si>
    <t>61 dp</t>
  </si>
  <si>
    <t>All locations are less than 61 dp, therefore no exterior or interior noise mitigation is required per guidelines.</t>
  </si>
  <si>
    <t>Geotechnical &amp; Environmental Consultants, Inc</t>
  </si>
  <si>
    <t>Geotechnical &amp; Environmental Consultants, Inc.</t>
  </si>
  <si>
    <t>Covered Porch</t>
  </si>
  <si>
    <t>On-site laundry</t>
  </si>
  <si>
    <t>Covered Pavilion with Picnic/Barbecue Facilities</t>
  </si>
  <si>
    <t>Qualified without Conditions</t>
  </si>
  <si>
    <t>9609.02, 9611.00, 9801.98, 9607.00, 9545.00, 9544.00</t>
  </si>
  <si>
    <t>Managing Member GP</t>
  </si>
  <si>
    <t>June 1 2013</t>
  </si>
  <si>
    <t>The project was underwritten at 1.30 DSCR as permitted in the QAP.</t>
  </si>
  <si>
    <t>This project is designed for family households.</t>
  </si>
  <si>
    <t>Applicant agrees to 1 basic ongoing service for familes.</t>
  </si>
  <si>
    <t>Sewer is on site.</t>
  </si>
  <si>
    <t>All amenities indicated herein will be provided.</t>
  </si>
  <si>
    <t>See site development plan in TAB 16.</t>
  </si>
  <si>
    <t>The project will meet all energy requirements of the QAP and Architectural Manual.</t>
  </si>
  <si>
    <t>The project will meet all accessibility requirements.</t>
  </si>
  <si>
    <t>The project development team is qualified without conditions.</t>
  </si>
  <si>
    <t>DCA Performance Workbooks were submitted a pre-application for all GP, Developers and Management Company.  There has been no changes since pre-application.</t>
  </si>
  <si>
    <t>This project is not applying for this set-aside.</t>
  </si>
  <si>
    <t>See TAB 25.</t>
  </si>
  <si>
    <t>This project is not displacing or relocating any persons.</t>
  </si>
  <si>
    <t>The applicant does agree.</t>
  </si>
  <si>
    <t>We used the GAP calculation to verify the optimal utilization of resources and that the project is not oversourced.</t>
  </si>
  <si>
    <t>The project will have a sustainable building certification for multi-family.</t>
  </si>
  <si>
    <t>There has not been a award in this community in the last five rounds.</t>
  </si>
  <si>
    <t>See Tab 5.</t>
  </si>
  <si>
    <t>Applicant does agree to forego cancellation for 5 years after close of compliance period.</t>
  </si>
  <si>
    <t>Applicant does agree.</t>
  </si>
  <si>
    <t>See Tab 18.</t>
  </si>
  <si>
    <t>PA13-073</t>
  </si>
  <si>
    <t>See Tab 00</t>
  </si>
  <si>
    <t>Gateway/DASH</t>
  </si>
  <si>
    <t>All utilities are available to the site. Gas will not be used.</t>
  </si>
  <si>
    <t>Our cost is less than limit.</t>
  </si>
  <si>
    <t>This application does not require any legal opinions.</t>
  </si>
  <si>
    <t>9 months</t>
  </si>
  <si>
    <t>3 months</t>
  </si>
  <si>
    <t>Coleman Talley LLP</t>
  </si>
  <si>
    <t>The managing GP is Gateway Forest Mill, LLC, Allan Rappuhn is the manging member. Gateway Construction will be a co-developer, Allan Rappuhn is the Chairman of Gateway Construction. 
Reed Construction Company, LLC, a licensed general contractor ("Reed"), expects to have an indentity of interest with the ownership entity by virtue of a contemplated contractual relationship with Gateway Consulting ("GCC"), an affiliate of the Ownership Entity. It is anticipated that Reed will enter into a consulting agreement with GCC, with respect to the project. GCC will provide general business advice to Reed. Neither GCC nor its affiliates has any ownership in Reed and Reed has no ownership interest in GCC or the ownership entity. Gateway will be paid a yet to be determined amount, expected to exceed $50,000. The amount of the fee, as finally determined, will not be an additional expense to the owner (or increase in the otherwise applicable construction budget) but instead will be paid by Reed as a seperate business expense and, thus, will be treated as a deduction from the profit permitted to be paid by the Owner to Reed.</t>
  </si>
  <si>
    <t xml:space="preserve">Construction Cost numbers were based on estimates by the General Contractor, Reed Construction. </t>
  </si>
  <si>
    <t>We have site control until 12-31-2013.</t>
  </si>
  <si>
    <t>See Tab 29, 10th Street Redevelopment Plan</t>
  </si>
  <si>
    <t>Yes still current, adopted 5/9/11</t>
  </si>
  <si>
    <t>See Tab 35, written letter from the Mayor of West Point</t>
  </si>
  <si>
    <t>UA based on DCA middle region June 1, 2013 - Refuse paid by owner. All other utilities are tenant paid.</t>
  </si>
  <si>
    <t xml:space="preserve">There are no DCA projects within a 10 mile radius. Unit mix and rents in app and market study are the same. </t>
  </si>
  <si>
    <t>The property is zoned MXD-1which allows for multi-family. See tab 10 for zoning letter.</t>
  </si>
  <si>
    <t>The intersecton of Hatchett and Pear Street is being improved by the city and will provide the project with better accessibility. See City Manager letter in tab 9 which has the commitment for the improvements and the timetable for the intersection of Hatchett and Pear.</t>
  </si>
  <si>
    <t>Site is zoned MXD-1 which allows multi-family apartments.</t>
  </si>
  <si>
    <t>See all documentation in TAB 13.</t>
  </si>
  <si>
    <t>The project has set 20% of the units at 50% rent levels.</t>
  </si>
  <si>
    <t>635 Pear Street</t>
  </si>
  <si>
    <t>Allan Lee Rappuhn</t>
  </si>
  <si>
    <t>&lt;1%</t>
  </si>
  <si>
    <t xml:space="preserve">There are no finding in Phase I. There is an intermittent stream identified in the Phase I located near the project entrance. The stream should not be considered undersirable. Forest Mill Apartments, LP will maintain a 100 ft buffer for impervious surfaces. See Tab 9. All permits and approvals will be acquired by August 30th, 2013. </t>
  </si>
  <si>
    <t>2013-001</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</si>
</sst>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4"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86"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13" fillId="0" borderId="14" xfId="0" applyFont="1" applyFill="1" applyBorder="1" applyAlignment="1" applyProtection="1">
      <alignment horizontal="left" vertical="center"/>
    </xf>
    <xf numFmtId="0" fontId="48" fillId="0" borderId="0" xfId="0" applyFont="1" applyFill="1" applyAlignment="1" applyProtection="1">
      <alignment horizontal="center" vertical="center" wrapText="1"/>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61" fillId="0" borderId="87" xfId="0" applyFont="1" applyFill="1" applyBorder="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5"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38" fontId="53" fillId="0" borderId="86" xfId="2" applyNumberFormat="1"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0" fontId="53" fillId="0" borderId="0" xfId="0" applyFont="1" applyFill="1" applyBorder="1" applyAlignment="1" applyProtection="1">
      <alignment horizontal="center"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7"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2" xfId="1" applyNumberFormat="1" applyFont="1" applyFill="1" applyBorder="1" applyAlignment="1" applyProtection="1">
      <alignment horizontal="right" vertical="center"/>
    </xf>
    <xf numFmtId="0" fontId="53" fillId="0" borderId="63" xfId="0" applyFont="1" applyBorder="1" applyProtection="1"/>
    <xf numFmtId="164" fontId="53" fillId="0" borderId="69"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3" xfId="1"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4" fontId="53" fillId="0" borderId="83" xfId="1" applyNumberFormat="1" applyFont="1" applyFill="1" applyBorder="1" applyAlignment="1" applyProtection="1">
      <alignment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116" fillId="0" borderId="0" xfId="0" applyFont="1" applyFill="1" applyAlignment="1" applyProtection="1">
      <alignment horizontal="center" vertical="center" wrapText="1"/>
    </xf>
    <xf numFmtId="0" fontId="3" fillId="0" borderId="0" xfId="0" applyFont="1" applyFill="1" applyAlignment="1" applyProtection="1">
      <alignment horizontal="justify" vertical="top"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9" fillId="4" borderId="37"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9" fillId="4" borderId="38"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Alignment="1" applyProtection="1">
      <alignment horizontal="justify"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6" fillId="0" borderId="0" xfId="0" applyFont="1" applyFill="1" applyBorder="1" applyAlignment="1" applyProtection="1">
      <alignment horizontal="left" vertical="center"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77" fillId="0" borderId="0" xfId="0" applyFont="1" applyAlignment="1" applyProtection="1">
      <alignment horizontal="center"/>
    </xf>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ColWidth="9.140625"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Forest Mill Apartments,  West Point,  Troup County</v>
      </c>
      <c r="B1" s="1168"/>
      <c r="C1" s="1168"/>
      <c r="D1" s="1168"/>
      <c r="E1" s="1168"/>
      <c r="F1" s="1168"/>
      <c r="G1" s="1168"/>
      <c r="H1" s="1168"/>
      <c r="I1" s="1168"/>
      <c r="J1" s="1168"/>
      <c r="K1" s="1168"/>
      <c r="L1" s="1169"/>
    </row>
    <row r="2" spans="1:12" ht="26.25" customHeight="1">
      <c r="A2" s="1171" t="s">
        <v>3971</v>
      </c>
      <c r="B2" s="1171"/>
      <c r="C2" s="1171"/>
      <c r="D2" s="1171"/>
      <c r="E2" s="1171"/>
      <c r="F2" s="1171"/>
      <c r="G2" s="1171"/>
      <c r="H2" s="1171"/>
      <c r="I2" s="1171"/>
      <c r="J2" s="1171"/>
      <c r="K2" s="1171"/>
      <c r="L2" s="1171"/>
    </row>
    <row r="3" spans="1:12" s="1178" customFormat="1" ht="12" customHeight="1">
      <c r="A3" s="1173" t="s">
        <v>3775</v>
      </c>
      <c r="B3" s="1174"/>
      <c r="C3" s="1174"/>
      <c r="D3" s="1174"/>
      <c r="E3" s="1175" t="s">
        <v>3776</v>
      </c>
      <c r="F3" s="1176"/>
      <c r="G3" s="1176"/>
      <c r="H3" s="1176"/>
      <c r="I3" s="1177"/>
      <c r="J3" s="1176"/>
      <c r="K3" s="1176"/>
      <c r="L3" s="1175" t="s">
        <v>3777</v>
      </c>
    </row>
    <row r="4" spans="1:12" s="1178" customFormat="1" ht="12.75" thickBot="1">
      <c r="A4" s="1179"/>
      <c r="B4" s="1180" t="s">
        <v>3778</v>
      </c>
      <c r="C4" s="1180"/>
      <c r="D4" s="1180"/>
      <c r="E4" s="1181"/>
      <c r="F4" s="1180" t="s">
        <v>4000</v>
      </c>
      <c r="G4" s="1182"/>
      <c r="H4" s="1182"/>
      <c r="I4" s="1180" t="s">
        <v>3779</v>
      </c>
      <c r="J4" s="1182"/>
      <c r="K4" s="1182"/>
      <c r="L4" s="1181"/>
    </row>
    <row r="5" spans="1:12" s="1186" customFormat="1">
      <c r="A5" s="1183"/>
      <c r="B5" s="1184"/>
      <c r="C5" s="1184"/>
      <c r="D5" s="1184"/>
      <c r="E5" s="1185"/>
      <c r="F5" s="1186" t="s">
        <v>3780</v>
      </c>
      <c r="I5" s="1187"/>
      <c r="L5" s="1188" t="s">
        <v>4104</v>
      </c>
    </row>
    <row r="6" spans="1:12" s="1186" customFormat="1" ht="12" customHeight="1">
      <c r="A6" s="1189" t="s">
        <v>3781</v>
      </c>
      <c r="B6" s="1184" t="s">
        <v>1866</v>
      </c>
      <c r="C6" s="1184"/>
      <c r="D6" s="1184"/>
      <c r="E6" s="1190" t="s">
        <v>3781</v>
      </c>
      <c r="F6" s="1186" t="s">
        <v>3967</v>
      </c>
      <c r="I6" s="1187"/>
      <c r="L6" s="1191" t="s">
        <v>4104</v>
      </c>
    </row>
    <row r="7" spans="1:12" s="1186" customFormat="1" ht="12" customHeight="1">
      <c r="A7" s="1183"/>
      <c r="B7" s="1184"/>
      <c r="C7" s="1184"/>
      <c r="D7" s="1184"/>
      <c r="E7" s="1192" t="s">
        <v>3609</v>
      </c>
      <c r="F7" s="1186" t="s">
        <v>3782</v>
      </c>
      <c r="I7" s="1187"/>
      <c r="L7" s="1191" t="s">
        <v>4104</v>
      </c>
    </row>
    <row r="8" spans="1:12" s="1186" customFormat="1" ht="12" customHeight="1">
      <c r="A8" s="1183"/>
      <c r="B8" s="1184"/>
      <c r="C8" s="1184"/>
      <c r="D8" s="1184"/>
      <c r="E8" s="1192" t="s">
        <v>3607</v>
      </c>
      <c r="F8" s="1186" t="s">
        <v>554</v>
      </c>
      <c r="I8" s="1187"/>
      <c r="L8" s="1191" t="s">
        <v>4103</v>
      </c>
    </row>
    <row r="9" spans="1:12" s="1186" customFormat="1" ht="12" customHeight="1">
      <c r="A9" s="1183"/>
      <c r="B9" s="1184"/>
      <c r="C9" s="1184"/>
      <c r="D9" s="1184"/>
      <c r="E9" s="1192" t="s">
        <v>3608</v>
      </c>
      <c r="F9" s="1186" t="s">
        <v>3577</v>
      </c>
      <c r="I9" s="1187"/>
      <c r="L9" s="1191" t="s">
        <v>4104</v>
      </c>
    </row>
    <row r="10" spans="1:12" s="1186" customFormat="1" ht="12" customHeight="1">
      <c r="A10" s="1183"/>
      <c r="B10" s="1184"/>
      <c r="C10" s="1184"/>
      <c r="D10" s="1184"/>
      <c r="E10" s="1192" t="s">
        <v>3610</v>
      </c>
      <c r="F10" s="1186" t="s">
        <v>3597</v>
      </c>
      <c r="I10" s="1187"/>
      <c r="J10" s="1193"/>
      <c r="L10" s="1191" t="s">
        <v>4104</v>
      </c>
    </row>
    <row r="11" spans="1:12" s="1186" customFormat="1" ht="12" customHeight="1">
      <c r="A11" s="1183"/>
      <c r="B11" s="1184"/>
      <c r="C11" s="1184"/>
      <c r="D11" s="1184"/>
      <c r="E11" s="1192" t="s">
        <v>3611</v>
      </c>
      <c r="F11" s="1186" t="s">
        <v>3783</v>
      </c>
      <c r="I11" s="1187"/>
      <c r="J11" s="1193"/>
      <c r="L11" s="1194" t="s">
        <v>4104</v>
      </c>
    </row>
    <row r="12" spans="1:12" s="1186" customFormat="1" ht="12" customHeight="1">
      <c r="A12" s="1183"/>
      <c r="B12" s="1184"/>
      <c r="C12" s="1184"/>
      <c r="D12" s="1184"/>
      <c r="E12" s="1195" t="s">
        <v>3612</v>
      </c>
      <c r="F12" s="1186" t="s">
        <v>3969</v>
      </c>
      <c r="I12" s="1187"/>
      <c r="J12" s="1193"/>
      <c r="L12" s="1194" t="s">
        <v>4104</v>
      </c>
    </row>
    <row r="13" spans="1:12" s="1186" customFormat="1" ht="12" customHeight="1">
      <c r="A13" s="1196" t="s">
        <v>3784</v>
      </c>
      <c r="B13" s="1196"/>
      <c r="C13" s="1196"/>
      <c r="D13" s="1196"/>
      <c r="E13" s="1196"/>
      <c r="F13" s="1196"/>
      <c r="G13" s="1196"/>
      <c r="H13" s="1196"/>
      <c r="I13" s="1196"/>
      <c r="J13" s="1196"/>
      <c r="K13" s="1196"/>
      <c r="L13" s="1196"/>
    </row>
    <row r="14" spans="1:12" s="1186" customFormat="1" ht="12" customHeight="1">
      <c r="A14" s="1197" t="s">
        <v>3609</v>
      </c>
      <c r="B14" s="1198" t="s">
        <v>4031</v>
      </c>
      <c r="C14" s="1198"/>
      <c r="D14" s="1199" t="s">
        <v>4032</v>
      </c>
      <c r="E14" s="1190" t="s">
        <v>3609</v>
      </c>
      <c r="F14" s="1186" t="s">
        <v>3785</v>
      </c>
      <c r="I14" s="1187"/>
      <c r="J14" s="1193"/>
      <c r="L14" s="1191" t="s">
        <v>4104</v>
      </c>
    </row>
    <row r="15" spans="1:12" s="1186" customFormat="1" ht="12" customHeight="1">
      <c r="A15" s="1183"/>
      <c r="C15" s="1200"/>
      <c r="D15" s="1184" t="s">
        <v>3786</v>
      </c>
      <c r="E15" s="1192" t="s">
        <v>3607</v>
      </c>
      <c r="F15" s="1201" t="s">
        <v>3787</v>
      </c>
      <c r="G15" s="1201"/>
      <c r="H15" s="1201"/>
      <c r="I15" s="1202" t="s">
        <v>3931</v>
      </c>
      <c r="J15" s="1203" t="s">
        <v>3932</v>
      </c>
      <c r="K15" s="1203" t="s">
        <v>3936</v>
      </c>
      <c r="L15" s="1191" t="s">
        <v>4103</v>
      </c>
    </row>
    <row r="16" spans="1:12" s="1186" customFormat="1" ht="12" customHeight="1">
      <c r="A16" s="1183"/>
      <c r="C16" s="1200"/>
      <c r="D16" s="1184"/>
      <c r="E16" s="1192"/>
      <c r="F16" s="1201"/>
      <c r="G16" s="1201"/>
      <c r="H16" s="1201"/>
      <c r="I16" s="1202" t="s">
        <v>3933</v>
      </c>
      <c r="J16" s="1203" t="s">
        <v>2697</v>
      </c>
      <c r="K16" s="1203" t="s">
        <v>3937</v>
      </c>
    </row>
    <row r="17" spans="1:12" s="1186" customFormat="1" ht="12" customHeight="1">
      <c r="A17" s="1183"/>
      <c r="C17" s="1200"/>
      <c r="D17" s="1184"/>
      <c r="E17" s="1192"/>
      <c r="F17" s="1201"/>
      <c r="G17" s="1201"/>
      <c r="H17" s="1201"/>
      <c r="I17" s="1202" t="s">
        <v>3793</v>
      </c>
      <c r="J17" s="1203" t="s">
        <v>3934</v>
      </c>
      <c r="K17" s="1203" t="s">
        <v>565</v>
      </c>
    </row>
    <row r="18" spans="1:12" s="1186" customFormat="1" ht="23.25" customHeight="1">
      <c r="A18" s="1183"/>
      <c r="C18" s="1200"/>
      <c r="D18" s="1184"/>
      <c r="E18" s="1192"/>
      <c r="F18" s="1201"/>
      <c r="G18" s="1201"/>
      <c r="H18" s="1201"/>
      <c r="I18" s="1202" t="s">
        <v>3793</v>
      </c>
      <c r="J18" s="1203" t="s">
        <v>3935</v>
      </c>
      <c r="K18" s="1203" t="s">
        <v>565</v>
      </c>
    </row>
    <row r="19" spans="1:12" s="1186" customFormat="1" ht="12" customHeight="1">
      <c r="A19" s="1183"/>
      <c r="C19" s="1200"/>
      <c r="D19" s="1184" t="s">
        <v>3788</v>
      </c>
      <c r="E19" s="1192" t="s">
        <v>3608</v>
      </c>
      <c r="F19" s="1193" t="s">
        <v>3976</v>
      </c>
      <c r="G19" s="1204"/>
      <c r="H19" s="1204"/>
      <c r="I19" s="1202"/>
      <c r="J19" s="1203"/>
      <c r="L19" s="1191" t="s">
        <v>4104</v>
      </c>
    </row>
    <row r="20" spans="1:12" s="1186" customFormat="1" ht="12" customHeight="1">
      <c r="A20" s="1183"/>
      <c r="C20" s="1200"/>
      <c r="D20" s="1184"/>
      <c r="E20" s="1205"/>
      <c r="F20" s="1186" t="s">
        <v>3977</v>
      </c>
      <c r="I20" s="1187"/>
      <c r="J20" s="1193"/>
      <c r="L20" s="1191" t="s">
        <v>4104</v>
      </c>
    </row>
    <row r="21" spans="1:12" s="1186" customFormat="1" ht="23.25" customHeight="1">
      <c r="A21" s="1183"/>
      <c r="C21" s="1200"/>
      <c r="D21" s="1184" t="s">
        <v>3789</v>
      </c>
      <c r="E21" s="1192" t="s">
        <v>3610</v>
      </c>
      <c r="F21" s="1186" t="s">
        <v>3978</v>
      </c>
      <c r="I21" s="1202" t="s">
        <v>3790</v>
      </c>
      <c r="J21" s="1203" t="s">
        <v>3791</v>
      </c>
      <c r="K21" s="1203" t="s">
        <v>3792</v>
      </c>
      <c r="L21" s="1191" t="s">
        <v>4104</v>
      </c>
    </row>
    <row r="22" spans="1:12" s="1186" customFormat="1" ht="12" customHeight="1">
      <c r="A22" s="1183"/>
      <c r="C22" s="1200"/>
      <c r="D22" s="1184"/>
      <c r="E22" s="1205"/>
      <c r="F22" s="1186" t="s">
        <v>3979</v>
      </c>
      <c r="I22" s="1187" t="s">
        <v>3793</v>
      </c>
      <c r="J22" s="1193" t="s">
        <v>3794</v>
      </c>
      <c r="K22" s="1186" t="s">
        <v>565</v>
      </c>
      <c r="L22" s="1191" t="s">
        <v>4103</v>
      </c>
    </row>
    <row r="23" spans="1:12" s="1186" customFormat="1" ht="12" customHeight="1">
      <c r="A23" s="1183"/>
      <c r="C23" s="1200"/>
      <c r="D23" s="1184"/>
      <c r="E23" s="1205"/>
      <c r="F23" s="1186" t="s">
        <v>3980</v>
      </c>
      <c r="I23" s="1187"/>
      <c r="J23" s="1193"/>
      <c r="L23" s="1191" t="s">
        <v>4103</v>
      </c>
    </row>
    <row r="24" spans="1:12" s="1186" customFormat="1" ht="12" customHeight="1">
      <c r="A24" s="1183"/>
      <c r="C24" s="1200"/>
      <c r="D24" s="1184"/>
      <c r="E24" s="1205"/>
      <c r="F24" s="1186" t="s">
        <v>3981</v>
      </c>
      <c r="I24" s="1187"/>
      <c r="J24" s="1193"/>
      <c r="L24" s="1191" t="s">
        <v>4103</v>
      </c>
    </row>
    <row r="25" spans="1:12" s="1186" customFormat="1" ht="12" customHeight="1">
      <c r="A25" s="1183"/>
      <c r="C25" s="1200"/>
      <c r="D25" s="1184"/>
      <c r="E25" s="1205"/>
      <c r="F25" s="1186" t="s">
        <v>3982</v>
      </c>
      <c r="I25" s="1187"/>
      <c r="J25" s="1193"/>
      <c r="L25" s="1191" t="s">
        <v>4103</v>
      </c>
    </row>
    <row r="26" spans="1:12" s="1186" customFormat="1" ht="12" customHeight="1">
      <c r="A26" s="1183"/>
      <c r="C26" s="1200"/>
      <c r="D26" s="1184" t="s">
        <v>3795</v>
      </c>
      <c r="E26" s="1192" t="s">
        <v>3611</v>
      </c>
      <c r="F26" s="1186" t="s">
        <v>3983</v>
      </c>
      <c r="I26" s="1187"/>
      <c r="J26" s="1193"/>
      <c r="L26" s="1191" t="s">
        <v>4103</v>
      </c>
    </row>
    <row r="27" spans="1:12" s="1186" customFormat="1" ht="12" customHeight="1">
      <c r="A27" s="1183"/>
      <c r="B27" s="1206"/>
      <c r="C27" s="1206"/>
      <c r="D27" s="1206"/>
      <c r="E27" s="1205"/>
      <c r="F27" s="1186" t="s">
        <v>3984</v>
      </c>
      <c r="I27" s="1187"/>
      <c r="J27" s="1193"/>
      <c r="L27" s="1191" t="s">
        <v>4103</v>
      </c>
    </row>
    <row r="28" spans="1:12" s="1186" customFormat="1" ht="12" customHeight="1">
      <c r="A28" s="1183"/>
      <c r="B28" s="1206"/>
      <c r="C28" s="1206"/>
      <c r="D28" s="1206"/>
      <c r="E28" s="1205"/>
      <c r="F28" s="1186" t="s">
        <v>3985</v>
      </c>
      <c r="I28" s="1187"/>
      <c r="J28" s="1193"/>
      <c r="L28" s="1191" t="s">
        <v>4103</v>
      </c>
    </row>
    <row r="29" spans="1:12" s="1186" customFormat="1" ht="12" customHeight="1">
      <c r="A29" s="1183"/>
      <c r="B29" s="1206"/>
      <c r="C29" s="1206"/>
      <c r="D29" s="1206"/>
      <c r="E29" s="1205"/>
      <c r="F29" s="1186" t="s">
        <v>3986</v>
      </c>
      <c r="I29" s="1187"/>
      <c r="J29" s="1193"/>
      <c r="L29" s="1191" t="s">
        <v>4103</v>
      </c>
    </row>
    <row r="30" spans="1:12" s="1186" customFormat="1" ht="12" customHeight="1">
      <c r="A30" s="1183"/>
      <c r="B30" s="1206"/>
      <c r="C30" s="1206"/>
      <c r="D30" s="1206"/>
      <c r="E30" s="1192" t="s">
        <v>3612</v>
      </c>
      <c r="F30" s="1186" t="s">
        <v>3796</v>
      </c>
      <c r="I30" s="1187"/>
      <c r="J30" s="1193"/>
      <c r="L30" s="1191" t="s">
        <v>4104</v>
      </c>
    </row>
    <row r="31" spans="1:12" s="1186" customFormat="1" ht="12" customHeight="1">
      <c r="A31" s="1183"/>
      <c r="B31" s="1206"/>
      <c r="C31" s="1206"/>
      <c r="D31" s="1206"/>
      <c r="E31" s="1192" t="s">
        <v>3613</v>
      </c>
      <c r="F31" s="1186" t="s">
        <v>3797</v>
      </c>
      <c r="I31" s="1187"/>
      <c r="J31" s="1193"/>
      <c r="L31" s="1191" t="s">
        <v>4103</v>
      </c>
    </row>
    <row r="32" spans="1:12" s="1186" customFormat="1" ht="23.25" customHeight="1">
      <c r="A32" s="1207" t="s">
        <v>3607</v>
      </c>
      <c r="B32" s="1208" t="s">
        <v>3798</v>
      </c>
      <c r="C32" s="1208"/>
      <c r="D32" s="1208"/>
      <c r="E32" s="1190" t="s">
        <v>3609</v>
      </c>
      <c r="F32" s="1209" t="s">
        <v>3799</v>
      </c>
      <c r="G32" s="1209"/>
      <c r="H32" s="1209"/>
      <c r="I32" s="1210" t="s">
        <v>3800</v>
      </c>
      <c r="J32" s="1211" t="s">
        <v>3801</v>
      </c>
      <c r="K32" s="1212" t="s">
        <v>3802</v>
      </c>
      <c r="L32" s="1191" t="s">
        <v>4103</v>
      </c>
    </row>
    <row r="33" spans="1:12" s="1186" customFormat="1" ht="12" customHeight="1">
      <c r="A33" s="1183"/>
      <c r="B33" s="1184"/>
      <c r="C33" s="1184"/>
      <c r="D33" s="1184"/>
      <c r="E33" s="1192" t="s">
        <v>3607</v>
      </c>
      <c r="F33" s="1186" t="s">
        <v>3803</v>
      </c>
      <c r="I33" s="1187"/>
      <c r="J33" s="1193"/>
      <c r="L33" s="1191" t="s">
        <v>4103</v>
      </c>
    </row>
    <row r="34" spans="1:12" s="1186" customFormat="1" ht="12" customHeight="1">
      <c r="A34" s="1207" t="s">
        <v>3608</v>
      </c>
      <c r="B34" s="1208" t="s">
        <v>4033</v>
      </c>
      <c r="C34" s="1208"/>
      <c r="D34" s="1208" t="s">
        <v>3840</v>
      </c>
      <c r="E34" s="1190" t="s">
        <v>3609</v>
      </c>
      <c r="F34" s="1213" t="s">
        <v>3804</v>
      </c>
      <c r="G34" s="1213"/>
      <c r="H34" s="1213"/>
      <c r="I34" s="1210"/>
      <c r="J34" s="1211"/>
      <c r="K34" s="1212"/>
      <c r="L34" s="1191" t="s">
        <v>4103</v>
      </c>
    </row>
    <row r="35" spans="1:12" s="1186" customFormat="1" ht="12" customHeight="1">
      <c r="A35" s="1207" t="s">
        <v>3610</v>
      </c>
      <c r="B35" s="1208" t="s">
        <v>4034</v>
      </c>
      <c r="C35" s="1208"/>
      <c r="D35" s="1208" t="s">
        <v>3837</v>
      </c>
      <c r="E35" s="1190" t="s">
        <v>3609</v>
      </c>
      <c r="F35" s="1213" t="s">
        <v>3805</v>
      </c>
      <c r="G35" s="1213"/>
      <c r="H35" s="1213"/>
      <c r="I35" s="1210"/>
      <c r="J35" s="1211"/>
      <c r="K35" s="1212"/>
      <c r="L35" s="1191" t="s">
        <v>4103</v>
      </c>
    </row>
    <row r="36" spans="1:12" s="1186" customFormat="1" ht="12" customHeight="1">
      <c r="A36" s="1183"/>
      <c r="B36" s="1200"/>
      <c r="C36" s="1200"/>
      <c r="D36" s="1184" t="s">
        <v>3806</v>
      </c>
      <c r="E36" s="1192" t="s">
        <v>3607</v>
      </c>
      <c r="F36" s="1214" t="s">
        <v>3807</v>
      </c>
      <c r="I36" s="1187"/>
      <c r="J36" s="1193"/>
      <c r="L36" s="1191" t="s">
        <v>4103</v>
      </c>
    </row>
    <row r="37" spans="1:12" s="1186" customFormat="1" ht="12" customHeight="1">
      <c r="A37" s="1207" t="s">
        <v>3611</v>
      </c>
      <c r="B37" s="1208" t="s">
        <v>3808</v>
      </c>
      <c r="C37" s="1208"/>
      <c r="D37" s="1208"/>
      <c r="E37" s="1190" t="s">
        <v>3609</v>
      </c>
      <c r="F37" s="1213" t="s">
        <v>584</v>
      </c>
      <c r="G37" s="1213"/>
      <c r="H37" s="1213"/>
      <c r="I37" s="1210" t="s">
        <v>463</v>
      </c>
      <c r="J37" s="1211" t="s">
        <v>3809</v>
      </c>
      <c r="K37" s="1212" t="s">
        <v>3810</v>
      </c>
      <c r="L37" s="1191" t="s">
        <v>4104</v>
      </c>
    </row>
    <row r="38" spans="1:12" s="1186" customFormat="1" ht="12" customHeight="1">
      <c r="A38" s="1207" t="s">
        <v>3612</v>
      </c>
      <c r="B38" s="1208" t="s">
        <v>4035</v>
      </c>
      <c r="C38" s="1208"/>
      <c r="D38" s="1208" t="s">
        <v>3806</v>
      </c>
      <c r="E38" s="1190" t="s">
        <v>3609</v>
      </c>
      <c r="F38" s="1213" t="s">
        <v>3811</v>
      </c>
      <c r="G38" s="1213"/>
      <c r="H38" s="1213"/>
      <c r="I38" s="1210"/>
      <c r="J38" s="1211"/>
      <c r="K38" s="1212"/>
      <c r="L38" s="1191" t="s">
        <v>4103</v>
      </c>
    </row>
    <row r="39" spans="1:12" s="1186" customFormat="1" ht="12" customHeight="1">
      <c r="A39" s="1207" t="s">
        <v>3613</v>
      </c>
      <c r="B39" s="1208" t="s">
        <v>4036</v>
      </c>
      <c r="C39" s="1208"/>
      <c r="D39" s="1208" t="s">
        <v>4037</v>
      </c>
      <c r="E39" s="1190" t="s">
        <v>3609</v>
      </c>
      <c r="F39" s="1213" t="s">
        <v>3812</v>
      </c>
      <c r="G39" s="1213"/>
      <c r="H39" s="1213"/>
      <c r="I39" s="1210"/>
      <c r="J39" s="1211"/>
      <c r="K39" s="1212"/>
      <c r="L39" s="1191" t="s">
        <v>4104</v>
      </c>
    </row>
    <row r="40" spans="1:12" s="1186" customFormat="1" ht="12" customHeight="1">
      <c r="B40" s="1215" t="s">
        <v>4038</v>
      </c>
      <c r="C40" s="1215"/>
      <c r="D40" s="1216"/>
      <c r="E40" s="1192" t="s">
        <v>3607</v>
      </c>
      <c r="F40" s="1186" t="s">
        <v>3813</v>
      </c>
      <c r="I40" s="1187"/>
      <c r="J40" s="1193"/>
      <c r="L40" s="1191" t="s">
        <v>4104</v>
      </c>
    </row>
    <row r="41" spans="1:12" s="1186" customFormat="1" ht="12" customHeight="1">
      <c r="B41" s="1215"/>
      <c r="C41" s="1215"/>
      <c r="D41" s="1216"/>
      <c r="E41" s="1192" t="s">
        <v>3608</v>
      </c>
      <c r="F41" s="1186" t="s">
        <v>3814</v>
      </c>
      <c r="I41" s="1187"/>
      <c r="J41" s="1193"/>
      <c r="L41" s="1191" t="s">
        <v>4103</v>
      </c>
    </row>
    <row r="42" spans="1:12" s="1186" customFormat="1" ht="12" customHeight="1">
      <c r="B42" s="1215"/>
      <c r="C42" s="1215"/>
      <c r="D42" s="1183"/>
      <c r="E42" s="1217" t="s">
        <v>3610</v>
      </c>
      <c r="F42" s="1218" t="s">
        <v>3970</v>
      </c>
      <c r="G42" s="1218"/>
      <c r="H42" s="1218"/>
      <c r="I42" s="1218"/>
      <c r="J42" s="1218"/>
      <c r="K42" s="1219"/>
      <c r="L42" s="1191" t="s">
        <v>4103</v>
      </c>
    </row>
    <row r="43" spans="1:12" s="1186" customFormat="1" ht="23.25" customHeight="1">
      <c r="A43" s="1207" t="s">
        <v>3946</v>
      </c>
      <c r="B43" s="1220" t="s">
        <v>3815</v>
      </c>
      <c r="C43" s="1220"/>
      <c r="D43" s="1220"/>
      <c r="E43" s="1190" t="s">
        <v>3609</v>
      </c>
      <c r="F43" s="1221" t="s">
        <v>3816</v>
      </c>
      <c r="G43" s="1221"/>
      <c r="H43" s="1221"/>
      <c r="I43" s="1210" t="s">
        <v>3800</v>
      </c>
      <c r="J43" s="1211" t="s">
        <v>2697</v>
      </c>
      <c r="K43" s="1212" t="s">
        <v>3802</v>
      </c>
      <c r="L43" s="1191" t="s">
        <v>4104</v>
      </c>
    </row>
    <row r="44" spans="1:12" s="1186" customFormat="1" ht="12" customHeight="1">
      <c r="A44" s="1183"/>
      <c r="B44" s="1184"/>
      <c r="C44" s="1184"/>
      <c r="D44" s="1184"/>
      <c r="E44" s="1192" t="s">
        <v>3607</v>
      </c>
      <c r="F44" s="1186" t="s">
        <v>3817</v>
      </c>
      <c r="I44" s="1187"/>
      <c r="J44" s="1193"/>
      <c r="L44" s="1191" t="s">
        <v>4103</v>
      </c>
    </row>
    <row r="45" spans="1:12" s="1186" customFormat="1" ht="12" customHeight="1">
      <c r="A45" s="1183"/>
      <c r="B45" s="1184"/>
      <c r="C45" s="1184"/>
      <c r="D45" s="1184"/>
      <c r="E45" s="1192" t="s">
        <v>3608</v>
      </c>
      <c r="F45" s="1186" t="s">
        <v>3818</v>
      </c>
      <c r="I45" s="1187"/>
      <c r="J45" s="1193"/>
      <c r="L45" s="1191" t="s">
        <v>4104</v>
      </c>
    </row>
    <row r="46" spans="1:12" s="1186" customFormat="1" ht="12" customHeight="1">
      <c r="A46" s="1207" t="s">
        <v>3947</v>
      </c>
      <c r="B46" s="1208" t="s">
        <v>3819</v>
      </c>
      <c r="C46" s="1208"/>
      <c r="D46" s="1208"/>
      <c r="E46" s="1190" t="s">
        <v>3609</v>
      </c>
      <c r="F46" s="1213" t="s">
        <v>3820</v>
      </c>
      <c r="G46" s="1213"/>
      <c r="H46" s="1213"/>
      <c r="I46" s="1210"/>
      <c r="J46" s="1211"/>
      <c r="K46" s="1212"/>
      <c r="L46" s="1191" t="s">
        <v>4104</v>
      </c>
    </row>
    <row r="47" spans="1:12" s="1186" customFormat="1" ht="12" customHeight="1">
      <c r="A47" s="1222">
        <v>10</v>
      </c>
      <c r="B47" s="1208" t="s">
        <v>3821</v>
      </c>
      <c r="C47" s="1208"/>
      <c r="D47" s="1208"/>
      <c r="E47" s="1190" t="s">
        <v>3609</v>
      </c>
      <c r="F47" s="1213" t="s">
        <v>3822</v>
      </c>
      <c r="G47" s="1213"/>
      <c r="H47" s="1213"/>
      <c r="I47" s="1210"/>
      <c r="J47" s="1211"/>
      <c r="K47" s="1212"/>
      <c r="L47" s="1191" t="s">
        <v>4104</v>
      </c>
    </row>
    <row r="48" spans="1:12" s="1186" customFormat="1" ht="12" customHeight="1">
      <c r="A48" s="1183"/>
      <c r="B48" s="1184"/>
      <c r="C48" s="1184"/>
      <c r="D48" s="1184"/>
      <c r="E48" s="1192" t="s">
        <v>3607</v>
      </c>
      <c r="F48" s="1186" t="s">
        <v>3823</v>
      </c>
      <c r="I48" s="1187"/>
      <c r="J48" s="1193"/>
      <c r="L48" s="1191" t="s">
        <v>4104</v>
      </c>
    </row>
    <row r="49" spans="1:12" s="1186" customFormat="1" ht="12" customHeight="1">
      <c r="A49" s="1222">
        <v>11</v>
      </c>
      <c r="B49" s="1208" t="s">
        <v>3824</v>
      </c>
      <c r="C49" s="1208"/>
      <c r="D49" s="1208"/>
      <c r="E49" s="1190" t="s">
        <v>3609</v>
      </c>
      <c r="F49" s="1213" t="s">
        <v>3825</v>
      </c>
      <c r="G49" s="1213"/>
      <c r="H49" s="1213"/>
      <c r="I49" s="1210"/>
      <c r="J49" s="1211"/>
      <c r="K49" s="1212"/>
      <c r="L49" s="1191" t="s">
        <v>4104</v>
      </c>
    </row>
    <row r="50" spans="1:12" s="1186" customFormat="1" ht="12" customHeight="1">
      <c r="A50" s="1222">
        <v>12</v>
      </c>
      <c r="B50" s="1208" t="s">
        <v>3826</v>
      </c>
      <c r="C50" s="1208"/>
      <c r="D50" s="1208"/>
      <c r="E50" s="1190" t="s">
        <v>3609</v>
      </c>
      <c r="F50" s="1213" t="s">
        <v>3827</v>
      </c>
      <c r="G50" s="1213"/>
      <c r="H50" s="1213"/>
      <c r="I50" s="1210"/>
      <c r="J50" s="1211"/>
      <c r="K50" s="1212"/>
      <c r="L50" s="1191" t="s">
        <v>4104</v>
      </c>
    </row>
    <row r="51" spans="1:12" s="1186" customFormat="1" ht="12" customHeight="1">
      <c r="A51" s="1183"/>
      <c r="B51" s="1184"/>
      <c r="C51" s="1184"/>
      <c r="D51" s="1184"/>
      <c r="E51" s="1192" t="s">
        <v>3607</v>
      </c>
      <c r="F51" s="1186" t="s">
        <v>3828</v>
      </c>
      <c r="I51" s="1187"/>
      <c r="J51" s="1193"/>
      <c r="L51" s="1191" t="s">
        <v>4103</v>
      </c>
    </row>
    <row r="52" spans="1:12" s="1186" customFormat="1" ht="12" customHeight="1">
      <c r="A52" s="1183"/>
      <c r="B52" s="1184"/>
      <c r="C52" s="1184"/>
      <c r="D52" s="1184"/>
      <c r="E52" s="1192" t="s">
        <v>3608</v>
      </c>
      <c r="F52" s="1186" t="s">
        <v>3829</v>
      </c>
      <c r="I52" s="1187"/>
      <c r="J52" s="1193"/>
      <c r="L52" s="1191" t="s">
        <v>4103</v>
      </c>
    </row>
    <row r="53" spans="1:12" s="1186" customFormat="1" ht="12" customHeight="1">
      <c r="A53" s="1222">
        <v>13</v>
      </c>
      <c r="B53" s="1208" t="s">
        <v>3830</v>
      </c>
      <c r="C53" s="1208"/>
      <c r="D53" s="1208"/>
      <c r="E53" s="1190" t="s">
        <v>3609</v>
      </c>
      <c r="F53" s="1213" t="s">
        <v>3831</v>
      </c>
      <c r="G53" s="1213"/>
      <c r="H53" s="1213"/>
      <c r="I53" s="1210"/>
      <c r="J53" s="1211"/>
      <c r="K53" s="1212"/>
      <c r="L53" s="1191" t="s">
        <v>4104</v>
      </c>
    </row>
    <row r="54" spans="1:12" s="1186" customFormat="1" ht="12" customHeight="1">
      <c r="A54" s="1183"/>
      <c r="B54" s="1184"/>
      <c r="C54" s="1184"/>
      <c r="D54" s="1184"/>
      <c r="E54" s="1192" t="s">
        <v>3607</v>
      </c>
      <c r="F54" s="1186" t="s">
        <v>3832</v>
      </c>
      <c r="I54" s="1187"/>
      <c r="J54" s="1193"/>
      <c r="L54" s="1191" t="s">
        <v>4104</v>
      </c>
    </row>
    <row r="55" spans="1:12" s="1186" customFormat="1" ht="12" customHeight="1">
      <c r="A55" s="1222">
        <v>14</v>
      </c>
      <c r="B55" s="1208" t="s">
        <v>3833</v>
      </c>
      <c r="C55" s="1208"/>
      <c r="D55" s="1208"/>
      <c r="E55" s="1190" t="s">
        <v>3609</v>
      </c>
      <c r="F55" s="1213" t="s">
        <v>3834</v>
      </c>
      <c r="G55" s="1213"/>
      <c r="H55" s="1213"/>
      <c r="I55" s="1210"/>
      <c r="J55" s="1211"/>
      <c r="K55" s="1212"/>
      <c r="L55" s="1191" t="s">
        <v>4103</v>
      </c>
    </row>
    <row r="56" spans="1:12" s="1186" customFormat="1" ht="12" customHeight="1">
      <c r="A56" s="1222">
        <v>15</v>
      </c>
      <c r="B56" s="1208" t="s">
        <v>3835</v>
      </c>
      <c r="C56" s="1208"/>
      <c r="D56" s="1208"/>
      <c r="E56" s="1190" t="s">
        <v>3609</v>
      </c>
      <c r="F56" s="1213" t="s">
        <v>3836</v>
      </c>
      <c r="G56" s="1213"/>
      <c r="H56" s="1213"/>
      <c r="I56" s="1210"/>
      <c r="J56" s="1211"/>
      <c r="K56" s="1212"/>
      <c r="L56" s="1191" t="s">
        <v>4103</v>
      </c>
    </row>
    <row r="57" spans="1:12" s="1186" customFormat="1" ht="12" customHeight="1">
      <c r="A57" s="1183"/>
      <c r="B57" s="1200"/>
      <c r="C57" s="1200"/>
      <c r="D57" s="1184" t="s">
        <v>3837</v>
      </c>
      <c r="E57" s="1192" t="s">
        <v>3607</v>
      </c>
      <c r="F57" s="1186" t="s">
        <v>3838</v>
      </c>
      <c r="I57" s="1187"/>
      <c r="J57" s="1193"/>
      <c r="L57" s="1191" t="s">
        <v>4103</v>
      </c>
    </row>
    <row r="58" spans="1:12" s="1186" customFormat="1" ht="12" customHeight="1">
      <c r="A58" s="1183"/>
      <c r="B58" s="1200"/>
      <c r="C58" s="1200"/>
      <c r="D58" s="1184" t="s">
        <v>3806</v>
      </c>
      <c r="E58" s="1192" t="s">
        <v>3608</v>
      </c>
      <c r="F58" s="1186" t="s">
        <v>3839</v>
      </c>
      <c r="I58" s="1187"/>
      <c r="J58" s="1193"/>
      <c r="L58" s="1191" t="s">
        <v>4103</v>
      </c>
    </row>
    <row r="59" spans="1:12" s="1186" customFormat="1" ht="12" customHeight="1">
      <c r="A59" s="1183"/>
      <c r="B59" s="1200"/>
      <c r="C59" s="1200"/>
      <c r="D59" s="1184" t="s">
        <v>3840</v>
      </c>
      <c r="E59" s="1192" t="s">
        <v>3610</v>
      </c>
      <c r="F59" s="1186" t="s">
        <v>3841</v>
      </c>
      <c r="I59" s="1187"/>
      <c r="J59" s="1193"/>
      <c r="L59" s="1191" t="s">
        <v>4103</v>
      </c>
    </row>
    <row r="60" spans="1:12" s="1186" customFormat="1" ht="12" customHeight="1">
      <c r="A60" s="1222">
        <v>16</v>
      </c>
      <c r="B60" s="1223" t="s">
        <v>3842</v>
      </c>
      <c r="C60" s="1223"/>
      <c r="D60" s="1208"/>
      <c r="E60" s="1190" t="s">
        <v>3609</v>
      </c>
      <c r="F60" s="1213" t="s">
        <v>3843</v>
      </c>
      <c r="G60" s="1213"/>
      <c r="H60" s="1213"/>
      <c r="I60" s="1210"/>
      <c r="J60" s="1211"/>
      <c r="K60" s="1212"/>
      <c r="L60" s="1191" t="s">
        <v>4104</v>
      </c>
    </row>
    <row r="61" spans="1:12" s="1186" customFormat="1" ht="12" customHeight="1">
      <c r="A61" s="1183"/>
      <c r="B61" s="1224"/>
      <c r="C61" s="1224"/>
      <c r="D61" s="1184"/>
      <c r="E61" s="1192" t="s">
        <v>3607</v>
      </c>
      <c r="F61" s="1186" t="s">
        <v>3844</v>
      </c>
      <c r="I61" s="1187"/>
      <c r="J61" s="1193"/>
      <c r="L61" s="1191" t="s">
        <v>4104</v>
      </c>
    </row>
    <row r="62" spans="1:12" s="1186" customFormat="1" ht="12" customHeight="1">
      <c r="A62" s="1183"/>
      <c r="B62" s="1224"/>
      <c r="C62" s="1224"/>
      <c r="D62" s="1184"/>
      <c r="E62" s="1192" t="s">
        <v>3608</v>
      </c>
      <c r="F62" s="1186" t="s">
        <v>3845</v>
      </c>
      <c r="I62" s="1187"/>
      <c r="J62" s="1193"/>
      <c r="L62" s="1191" t="s">
        <v>4104</v>
      </c>
    </row>
    <row r="63" spans="1:12" s="1186" customFormat="1" ht="12" customHeight="1">
      <c r="A63" s="1183"/>
      <c r="B63" s="1184"/>
      <c r="C63" s="1184"/>
      <c r="D63" s="1184"/>
      <c r="E63" s="1192" t="s">
        <v>3610</v>
      </c>
      <c r="F63" s="1186" t="s">
        <v>3846</v>
      </c>
      <c r="I63" s="1187"/>
      <c r="J63" s="1193"/>
      <c r="L63" s="1191" t="s">
        <v>4104</v>
      </c>
    </row>
    <row r="64" spans="1:12" s="1186" customFormat="1" ht="12" customHeight="1">
      <c r="A64" s="1222" t="s">
        <v>3948</v>
      </c>
      <c r="B64" s="1223" t="s">
        <v>4041</v>
      </c>
      <c r="C64" s="1223"/>
      <c r="D64" s="1208" t="s">
        <v>4037</v>
      </c>
      <c r="E64" s="1190" t="s">
        <v>3609</v>
      </c>
      <c r="F64" s="1225" t="s">
        <v>3847</v>
      </c>
      <c r="G64" s="1226"/>
      <c r="H64" s="1213"/>
      <c r="I64" s="1210"/>
      <c r="J64" s="1211"/>
      <c r="K64" s="1212"/>
      <c r="L64" s="1191" t="s">
        <v>4103</v>
      </c>
    </row>
    <row r="65" spans="1:12" s="1186" customFormat="1" ht="12" customHeight="1">
      <c r="A65" s="1183"/>
      <c r="B65" s="1227"/>
      <c r="C65" s="1227"/>
      <c r="D65" s="1184"/>
      <c r="E65" s="1205" t="s">
        <v>3607</v>
      </c>
      <c r="F65" s="1186" t="s">
        <v>3848</v>
      </c>
      <c r="I65" s="1187"/>
      <c r="J65" s="1193"/>
      <c r="L65" s="1191" t="s">
        <v>4103</v>
      </c>
    </row>
    <row r="66" spans="1:12" s="1186" customFormat="1" ht="12" customHeight="1">
      <c r="A66" s="1222" t="s">
        <v>3949</v>
      </c>
      <c r="B66" s="1223" t="s">
        <v>4043</v>
      </c>
      <c r="C66" s="1223"/>
      <c r="D66" s="1208"/>
      <c r="E66" s="1190" t="s">
        <v>3609</v>
      </c>
      <c r="F66" s="1213" t="s">
        <v>3930</v>
      </c>
      <c r="G66" s="1213"/>
      <c r="H66" s="1213"/>
      <c r="I66" s="1210"/>
      <c r="J66" s="1211"/>
      <c r="K66" s="1212"/>
      <c r="L66" s="1191" t="s">
        <v>4104</v>
      </c>
    </row>
    <row r="67" spans="1:12" s="1186" customFormat="1" ht="12" customHeight="1">
      <c r="A67" s="1183"/>
      <c r="B67" s="1224"/>
      <c r="C67" s="1224"/>
      <c r="D67" s="1184" t="s">
        <v>3849</v>
      </c>
      <c r="E67" s="1192" t="s">
        <v>3607</v>
      </c>
      <c r="F67" s="1186" t="s">
        <v>3850</v>
      </c>
      <c r="I67" s="1187"/>
      <c r="J67" s="1193"/>
      <c r="L67" s="1191" t="s">
        <v>4103</v>
      </c>
    </row>
    <row r="68" spans="1:12" s="1186" customFormat="1" ht="12" customHeight="1">
      <c r="A68" s="1198"/>
      <c r="B68" s="1199" t="s">
        <v>3851</v>
      </c>
      <c r="C68" s="1199"/>
      <c r="D68" s="1199"/>
      <c r="E68" s="1192" t="s">
        <v>3608</v>
      </c>
      <c r="F68" s="1228" t="s">
        <v>3852</v>
      </c>
      <c r="G68" s="1228"/>
      <c r="H68" s="1228"/>
      <c r="I68" s="1229"/>
      <c r="J68" s="1228"/>
      <c r="K68" s="1230"/>
      <c r="L68" s="1191" t="s">
        <v>4104</v>
      </c>
    </row>
    <row r="69" spans="1:12" s="1186" customFormat="1" ht="12" customHeight="1">
      <c r="A69" s="1183"/>
      <c r="B69" s="1184"/>
      <c r="C69" s="1184"/>
      <c r="D69" s="1184"/>
      <c r="E69" s="1192" t="s">
        <v>3610</v>
      </c>
      <c r="F69" s="1186" t="s">
        <v>3853</v>
      </c>
      <c r="I69" s="1187"/>
      <c r="L69" s="1191" t="s">
        <v>4104</v>
      </c>
    </row>
    <row r="70" spans="1:12" s="1186" customFormat="1" ht="12" customHeight="1">
      <c r="A70" s="1183"/>
      <c r="B70" s="1184"/>
      <c r="C70" s="1184"/>
      <c r="D70" s="1184"/>
      <c r="E70" s="1192" t="s">
        <v>3611</v>
      </c>
      <c r="F70" s="1186" t="s">
        <v>3854</v>
      </c>
      <c r="I70" s="1187"/>
      <c r="L70" s="1191" t="s">
        <v>4104</v>
      </c>
    </row>
    <row r="71" spans="1:12" s="1186" customFormat="1" ht="23.25" customHeight="1">
      <c r="A71" s="1183"/>
      <c r="C71" s="1200"/>
      <c r="D71" s="1184" t="s">
        <v>3837</v>
      </c>
      <c r="E71" s="1192" t="s">
        <v>3612</v>
      </c>
      <c r="F71" s="1231" t="s">
        <v>3972</v>
      </c>
      <c r="G71" s="1231"/>
      <c r="H71" s="1231"/>
      <c r="I71" s="1187" t="s">
        <v>3855</v>
      </c>
      <c r="J71" s="1193" t="s">
        <v>3856</v>
      </c>
      <c r="K71" s="1186" t="s">
        <v>3857</v>
      </c>
      <c r="L71" s="1191" t="s">
        <v>4103</v>
      </c>
    </row>
    <row r="72" spans="1:12" s="1186" customFormat="1" ht="12" customHeight="1">
      <c r="A72" s="1183"/>
      <c r="C72" s="1200"/>
      <c r="D72" s="1184" t="s">
        <v>3806</v>
      </c>
      <c r="E72" s="1192" t="s">
        <v>3613</v>
      </c>
      <c r="F72" s="1186" t="s">
        <v>3987</v>
      </c>
      <c r="I72" s="1187"/>
      <c r="J72" s="1193"/>
      <c r="L72" s="1191" t="s">
        <v>4103</v>
      </c>
    </row>
    <row r="73" spans="1:12" s="1186" customFormat="1" ht="12" customHeight="1">
      <c r="A73" s="1183"/>
      <c r="B73" s="1184"/>
      <c r="C73" s="1184"/>
      <c r="D73" s="1184"/>
      <c r="E73" s="1192"/>
      <c r="F73" s="1186" t="s">
        <v>3988</v>
      </c>
      <c r="I73" s="1187"/>
      <c r="J73" s="1193"/>
      <c r="L73" s="1191" t="s">
        <v>4103</v>
      </c>
    </row>
    <row r="74" spans="1:12" s="1186" customFormat="1" ht="12" customHeight="1">
      <c r="A74" s="1183"/>
      <c r="B74" s="1184"/>
      <c r="C74" s="1184"/>
      <c r="D74" s="1184"/>
      <c r="E74" s="1192"/>
      <c r="F74" s="1232" t="s">
        <v>3989</v>
      </c>
      <c r="G74" s="1232"/>
      <c r="H74" s="1232"/>
      <c r="I74" s="1187" t="s">
        <v>3855</v>
      </c>
      <c r="J74" s="1193" t="s">
        <v>3856</v>
      </c>
      <c r="K74" s="1186" t="s">
        <v>3857</v>
      </c>
      <c r="L74" s="1191" t="s">
        <v>4103</v>
      </c>
    </row>
    <row r="75" spans="1:12" s="1186" customFormat="1" ht="12" customHeight="1">
      <c r="A75" s="1183"/>
      <c r="B75" s="1184"/>
      <c r="C75" s="1184"/>
      <c r="D75" s="1184"/>
      <c r="E75" s="1192" t="s">
        <v>3946</v>
      </c>
      <c r="F75" s="1233" t="s">
        <v>3990</v>
      </c>
      <c r="G75" s="1233"/>
      <c r="H75" s="1233"/>
      <c r="I75" s="1187"/>
      <c r="J75" s="1193"/>
      <c r="L75" s="1191" t="s">
        <v>4103</v>
      </c>
    </row>
    <row r="76" spans="1:12" s="1186" customFormat="1" ht="12" customHeight="1">
      <c r="A76" s="1183"/>
      <c r="B76" s="1184"/>
      <c r="C76" s="1184"/>
      <c r="D76" s="1184"/>
      <c r="E76" s="1217" t="s">
        <v>3947</v>
      </c>
      <c r="F76" s="1218" t="s">
        <v>3970</v>
      </c>
      <c r="G76" s="1218"/>
      <c r="H76" s="1218"/>
      <c r="I76" s="1218"/>
      <c r="J76" s="1218"/>
      <c r="K76" s="1219"/>
      <c r="L76" s="1191" t="s">
        <v>4103</v>
      </c>
    </row>
    <row r="77" spans="1:12" s="1186" customFormat="1" ht="12" customHeight="1">
      <c r="A77" s="1222">
        <v>19</v>
      </c>
      <c r="B77" s="1208" t="s">
        <v>4042</v>
      </c>
      <c r="C77" s="1208"/>
      <c r="D77" s="1208" t="s">
        <v>3837</v>
      </c>
      <c r="E77" s="1190" t="s">
        <v>3609</v>
      </c>
      <c r="F77" s="1213" t="s">
        <v>3858</v>
      </c>
      <c r="G77" s="1213"/>
      <c r="H77" s="1213"/>
      <c r="I77" s="1210"/>
      <c r="J77" s="1211"/>
      <c r="K77" s="1213"/>
      <c r="L77" s="1191" t="s">
        <v>4103</v>
      </c>
    </row>
    <row r="78" spans="1:12" s="1186" customFormat="1" ht="12" customHeight="1">
      <c r="A78" s="1183"/>
      <c r="B78" s="1184"/>
      <c r="C78" s="1184"/>
      <c r="D78" s="1184"/>
      <c r="E78" s="1192" t="s">
        <v>3607</v>
      </c>
      <c r="F78" s="1186" t="s">
        <v>3859</v>
      </c>
      <c r="I78" s="1187"/>
      <c r="J78" s="1193"/>
      <c r="L78" s="1191" t="s">
        <v>4103</v>
      </c>
    </row>
    <row r="79" spans="1:12" s="1186" customFormat="1" ht="12" customHeight="1">
      <c r="A79" s="1183"/>
      <c r="C79" s="1200"/>
      <c r="D79" s="1184" t="s">
        <v>3860</v>
      </c>
      <c r="E79" s="1192" t="s">
        <v>3608</v>
      </c>
      <c r="F79" s="1186" t="s">
        <v>3861</v>
      </c>
      <c r="I79" s="1187"/>
      <c r="J79" s="1193"/>
      <c r="L79" s="1191" t="s">
        <v>4103</v>
      </c>
    </row>
    <row r="80" spans="1:12" s="1186" customFormat="1" ht="12" customHeight="1">
      <c r="A80" s="1183"/>
      <c r="B80" s="1184"/>
      <c r="C80" s="1184"/>
      <c r="D80" s="1184"/>
      <c r="E80" s="1192" t="s">
        <v>3610</v>
      </c>
      <c r="F80" s="1201" t="s">
        <v>3862</v>
      </c>
      <c r="G80" s="1201"/>
      <c r="H80" s="1201"/>
      <c r="I80" s="1187"/>
      <c r="J80" s="1193"/>
      <c r="L80" s="1191" t="s">
        <v>4103</v>
      </c>
    </row>
    <row r="81" spans="1:12" s="1186" customFormat="1" ht="12" customHeight="1">
      <c r="A81" s="1222">
        <v>20</v>
      </c>
      <c r="B81" s="1208" t="s">
        <v>4039</v>
      </c>
      <c r="C81" s="1208"/>
      <c r="D81" s="1208" t="s">
        <v>3837</v>
      </c>
      <c r="E81" s="1190" t="s">
        <v>3609</v>
      </c>
      <c r="F81" s="1234" t="s">
        <v>3863</v>
      </c>
      <c r="G81" s="1213"/>
      <c r="H81" s="1213"/>
      <c r="I81" s="1210"/>
      <c r="J81" s="1211"/>
      <c r="K81" s="1213"/>
      <c r="L81" s="1191" t="s">
        <v>4103</v>
      </c>
    </row>
    <row r="82" spans="1:12" s="1186" customFormat="1" ht="12" customHeight="1">
      <c r="A82" s="1222">
        <v>21</v>
      </c>
      <c r="B82" s="1208" t="s">
        <v>3864</v>
      </c>
      <c r="C82" s="1208"/>
      <c r="D82" s="1208"/>
      <c r="E82" s="1190" t="s">
        <v>3609</v>
      </c>
      <c r="F82" s="1213" t="s">
        <v>3865</v>
      </c>
      <c r="G82" s="1213"/>
      <c r="H82" s="1213"/>
      <c r="I82" s="1210"/>
      <c r="J82" s="1211"/>
      <c r="K82" s="1213"/>
      <c r="L82" s="1191" t="s">
        <v>4103</v>
      </c>
    </row>
    <row r="83" spans="1:12" s="1186" customFormat="1" ht="12" customHeight="1">
      <c r="A83" s="1183"/>
      <c r="B83" s="1184"/>
      <c r="C83" s="1184"/>
      <c r="D83" s="1184"/>
      <c r="E83" s="1192" t="s">
        <v>3607</v>
      </c>
      <c r="F83" s="1186" t="s">
        <v>3866</v>
      </c>
      <c r="I83" s="1187"/>
      <c r="J83" s="1193"/>
      <c r="L83" s="1191" t="s">
        <v>4103</v>
      </c>
    </row>
    <row r="84" spans="1:12" s="1186" customFormat="1" ht="12" customHeight="1">
      <c r="A84" s="1222">
        <v>22</v>
      </c>
      <c r="B84" s="1223" t="s">
        <v>3867</v>
      </c>
      <c r="C84" s="1223"/>
      <c r="D84" s="1208"/>
      <c r="E84" s="1190" t="s">
        <v>3609</v>
      </c>
      <c r="F84" s="1213" t="s">
        <v>3973</v>
      </c>
      <c r="G84" s="1213"/>
      <c r="H84" s="1213"/>
      <c r="I84" s="1210"/>
      <c r="J84" s="1211"/>
      <c r="K84" s="1212"/>
      <c r="L84" s="1191" t="s">
        <v>4103</v>
      </c>
    </row>
    <row r="85" spans="1:12" s="1186" customFormat="1" ht="12" customHeight="1">
      <c r="A85" s="1183"/>
      <c r="B85" s="1224"/>
      <c r="C85" s="1224"/>
      <c r="D85" s="1184"/>
      <c r="E85" s="1192" t="s">
        <v>3607</v>
      </c>
      <c r="F85" s="1186" t="s">
        <v>3184</v>
      </c>
      <c r="I85" s="1187"/>
      <c r="J85" s="1193"/>
      <c r="L85" s="1191" t="s">
        <v>4104</v>
      </c>
    </row>
    <row r="86" spans="1:12" s="1186" customFormat="1" ht="12" customHeight="1">
      <c r="A86" s="1183"/>
      <c r="B86" s="1184"/>
      <c r="C86" s="1184"/>
      <c r="D86" s="1184"/>
      <c r="E86" s="1192" t="s">
        <v>3608</v>
      </c>
      <c r="F86" s="1186" t="s">
        <v>3868</v>
      </c>
      <c r="I86" s="1187"/>
      <c r="J86" s="1193"/>
      <c r="L86" s="1191" t="s">
        <v>4104</v>
      </c>
    </row>
    <row r="87" spans="1:12" s="1186" customFormat="1" ht="12" customHeight="1">
      <c r="A87" s="1183"/>
      <c r="B87" s="1184"/>
      <c r="C87" s="1184"/>
      <c r="D87" s="1184"/>
      <c r="E87" s="1192" t="s">
        <v>3610</v>
      </c>
      <c r="F87" s="1186" t="s">
        <v>624</v>
      </c>
      <c r="I87" s="1187"/>
      <c r="J87" s="1193"/>
      <c r="L87" s="1191" t="s">
        <v>4104</v>
      </c>
    </row>
    <row r="88" spans="1:12" s="1186" customFormat="1" ht="12" customHeight="1">
      <c r="A88" s="1183"/>
      <c r="B88" s="1184"/>
      <c r="C88" s="1184"/>
      <c r="D88" s="1184"/>
      <c r="E88" s="1192" t="s">
        <v>3611</v>
      </c>
      <c r="F88" s="1186" t="s">
        <v>831</v>
      </c>
      <c r="I88" s="1187"/>
      <c r="J88" s="1193"/>
      <c r="L88" s="1191" t="s">
        <v>4104</v>
      </c>
    </row>
    <row r="89" spans="1:12" s="1186" customFormat="1" ht="12" customHeight="1">
      <c r="A89" s="1183"/>
      <c r="B89" s="1184"/>
      <c r="C89" s="1184"/>
      <c r="D89" s="1184"/>
      <c r="E89" s="1192" t="s">
        <v>3612</v>
      </c>
      <c r="F89" s="1186" t="s">
        <v>1998</v>
      </c>
      <c r="I89" s="1187"/>
      <c r="J89" s="1193"/>
      <c r="L89" s="1191" t="s">
        <v>4104</v>
      </c>
    </row>
    <row r="90" spans="1:12" s="1186" customFormat="1" ht="12" customHeight="1">
      <c r="A90" s="1183"/>
      <c r="B90" s="1184"/>
      <c r="C90" s="1184"/>
      <c r="D90" s="1184"/>
      <c r="E90" s="1217" t="s">
        <v>3613</v>
      </c>
      <c r="F90" s="1186" t="s">
        <v>4063</v>
      </c>
      <c r="I90" s="1187"/>
      <c r="J90" s="1193"/>
      <c r="L90" s="1191" t="s">
        <v>4104</v>
      </c>
    </row>
    <row r="91" spans="1:12" s="1186" customFormat="1" ht="12" customHeight="1">
      <c r="A91" s="1222">
        <v>23</v>
      </c>
      <c r="B91" s="1208" t="s">
        <v>4040</v>
      </c>
      <c r="C91" s="1208"/>
      <c r="D91" s="1208" t="s">
        <v>3837</v>
      </c>
      <c r="E91" s="1190" t="s">
        <v>3609</v>
      </c>
      <c r="F91" s="1213" t="s">
        <v>3869</v>
      </c>
      <c r="G91" s="1213"/>
      <c r="H91" s="1213"/>
      <c r="I91" s="1210"/>
      <c r="J91" s="1211"/>
      <c r="K91" s="1213"/>
      <c r="L91" s="1191" t="s">
        <v>4103</v>
      </c>
    </row>
    <row r="92" spans="1:12" s="1186" customFormat="1" ht="12" customHeight="1">
      <c r="A92" s="1183"/>
      <c r="C92" s="1200"/>
      <c r="D92" s="1184" t="s">
        <v>3806</v>
      </c>
      <c r="E92" s="1192" t="s">
        <v>3607</v>
      </c>
      <c r="F92" s="1186" t="s">
        <v>3870</v>
      </c>
      <c r="I92" s="1187"/>
      <c r="J92" s="1193"/>
      <c r="L92" s="1191" t="s">
        <v>4103</v>
      </c>
    </row>
    <row r="93" spans="1:12" s="1186" customFormat="1" ht="12" customHeight="1">
      <c r="A93" s="1183"/>
      <c r="C93" s="1200"/>
      <c r="D93" s="1184" t="s">
        <v>3840</v>
      </c>
      <c r="E93" s="1192" t="s">
        <v>3608</v>
      </c>
      <c r="F93" s="1186" t="s">
        <v>3871</v>
      </c>
      <c r="I93" s="1187"/>
      <c r="J93" s="1193"/>
      <c r="L93" s="1191" t="s">
        <v>4103</v>
      </c>
    </row>
    <row r="94" spans="1:12" s="1186" customFormat="1" ht="12" customHeight="1">
      <c r="A94" s="1183"/>
      <c r="C94" s="1200"/>
      <c r="D94" s="1184" t="s">
        <v>3849</v>
      </c>
      <c r="E94" s="1192" t="s">
        <v>3610</v>
      </c>
      <c r="F94" s="1186" t="s">
        <v>3872</v>
      </c>
      <c r="I94" s="1187"/>
      <c r="J94" s="1193"/>
      <c r="L94" s="1191" t="s">
        <v>4103</v>
      </c>
    </row>
    <row r="95" spans="1:12" s="1186" customFormat="1" ht="12" customHeight="1">
      <c r="A95" s="1222">
        <v>24</v>
      </c>
      <c r="B95" s="1235" t="s">
        <v>3873</v>
      </c>
      <c r="C95" s="1235"/>
      <c r="D95" s="1236"/>
      <c r="E95" s="1190" t="s">
        <v>3609</v>
      </c>
      <c r="F95" s="1237" t="s">
        <v>3874</v>
      </c>
      <c r="G95" s="1237"/>
      <c r="H95" s="1237"/>
      <c r="I95" s="1210"/>
      <c r="J95" s="1211"/>
      <c r="K95" s="1213"/>
      <c r="L95" s="1191" t="s">
        <v>4104</v>
      </c>
    </row>
    <row r="96" spans="1:12" s="1186" customFormat="1" ht="12" customHeight="1">
      <c r="A96" s="1238"/>
      <c r="B96" s="1239"/>
      <c r="C96" s="1239"/>
      <c r="D96" s="1240"/>
      <c r="E96" s="1192" t="s">
        <v>3607</v>
      </c>
      <c r="F96" s="1214" t="s">
        <v>1914</v>
      </c>
      <c r="G96" s="1214"/>
      <c r="H96" s="1214"/>
      <c r="I96" s="1187"/>
      <c r="J96" s="1193"/>
      <c r="L96" s="1191" t="s">
        <v>4103</v>
      </c>
    </row>
    <row r="97" spans="1:12" s="1186" customFormat="1" ht="12" customHeight="1">
      <c r="A97" s="1238"/>
      <c r="B97" s="1241"/>
      <c r="C97" s="1241"/>
      <c r="D97" s="1241"/>
      <c r="E97" s="1192" t="s">
        <v>3608</v>
      </c>
      <c r="F97" s="1214" t="s">
        <v>3875</v>
      </c>
      <c r="G97" s="1214"/>
      <c r="H97" s="1214"/>
      <c r="I97" s="1187"/>
      <c r="J97" s="1193"/>
      <c r="L97" s="1191" t="s">
        <v>4103</v>
      </c>
    </row>
    <row r="98" spans="1:12" s="1186" customFormat="1" ht="12" customHeight="1">
      <c r="A98" s="1238"/>
      <c r="B98" s="1241"/>
      <c r="C98" s="1241"/>
      <c r="D98" s="1241"/>
      <c r="E98" s="1192" t="s">
        <v>3610</v>
      </c>
      <c r="F98" s="1214" t="s">
        <v>2943</v>
      </c>
      <c r="G98" s="1214"/>
      <c r="H98" s="1214"/>
      <c r="I98" s="1187"/>
      <c r="J98" s="1193"/>
      <c r="L98" s="1191" t="s">
        <v>4103</v>
      </c>
    </row>
    <row r="99" spans="1:12" s="1186" customFormat="1" ht="12" customHeight="1">
      <c r="A99" s="1238"/>
      <c r="B99" s="1241"/>
      <c r="C99" s="1241"/>
      <c r="D99" s="1241"/>
      <c r="E99" s="1192" t="s">
        <v>3611</v>
      </c>
      <c r="F99" s="1214" t="s">
        <v>3876</v>
      </c>
      <c r="G99" s="1214"/>
      <c r="H99" s="1214"/>
      <c r="I99" s="1187"/>
      <c r="J99" s="1193"/>
      <c r="L99" s="1191" t="s">
        <v>4103</v>
      </c>
    </row>
    <row r="100" spans="1:12" s="1186" customFormat="1" ht="12" customHeight="1">
      <c r="A100" s="1238"/>
      <c r="B100" s="1238"/>
      <c r="C100" s="1238"/>
      <c r="D100" s="1238"/>
      <c r="E100" s="1192" t="s">
        <v>3612</v>
      </c>
      <c r="F100" s="1214" t="s">
        <v>3877</v>
      </c>
      <c r="G100" s="1214"/>
      <c r="H100" s="1214"/>
      <c r="I100" s="1187"/>
      <c r="J100" s="1193"/>
      <c r="L100" s="1191" t="s">
        <v>4103</v>
      </c>
    </row>
    <row r="101" spans="1:12" s="1186" customFormat="1" ht="12" customHeight="1">
      <c r="A101" s="1238"/>
      <c r="B101" s="1238"/>
      <c r="C101" s="1238"/>
      <c r="D101" s="1238"/>
      <c r="E101" s="1192" t="s">
        <v>3613</v>
      </c>
      <c r="F101" s="1214" t="s">
        <v>3878</v>
      </c>
      <c r="G101" s="1214"/>
      <c r="H101" s="1214"/>
      <c r="I101" s="1187"/>
      <c r="J101" s="1193"/>
      <c r="L101" s="1191" t="s">
        <v>4103</v>
      </c>
    </row>
    <row r="102" spans="1:12" s="1186" customFormat="1" ht="12" customHeight="1">
      <c r="A102" s="1238"/>
      <c r="B102" s="1238"/>
      <c r="C102" s="1238"/>
      <c r="D102" s="1238"/>
      <c r="E102" s="1195" t="s">
        <v>3946</v>
      </c>
      <c r="F102" s="1214" t="s">
        <v>3974</v>
      </c>
      <c r="G102" s="1214"/>
      <c r="H102" s="1214"/>
      <c r="I102" s="1187"/>
      <c r="J102" s="1193"/>
      <c r="L102" s="1191" t="s">
        <v>4103</v>
      </c>
    </row>
    <row r="103" spans="1:12" s="1228" customFormat="1" ht="12" customHeight="1">
      <c r="A103" s="1196" t="s">
        <v>3879</v>
      </c>
      <c r="B103" s="1196"/>
      <c r="C103" s="1196"/>
      <c r="D103" s="1196"/>
      <c r="E103" s="1196"/>
      <c r="F103" s="1196"/>
      <c r="G103" s="1196"/>
      <c r="H103" s="1196"/>
      <c r="I103" s="1196"/>
      <c r="J103" s="1196"/>
      <c r="K103" s="1196"/>
      <c r="L103" s="1196"/>
    </row>
    <row r="104" spans="1:12" s="1186" customFormat="1" ht="12" customHeight="1">
      <c r="A104" s="1198">
        <v>25</v>
      </c>
      <c r="B104" s="1242" t="s">
        <v>4044</v>
      </c>
      <c r="C104" s="1242"/>
      <c r="D104" s="1184"/>
      <c r="E104" s="1190" t="s">
        <v>3609</v>
      </c>
      <c r="F104" s="1186" t="s">
        <v>3880</v>
      </c>
      <c r="I104" s="1187"/>
      <c r="J104" s="1193"/>
      <c r="L104" s="1191" t="s">
        <v>4104</v>
      </c>
    </row>
    <row r="105" spans="1:12" s="1186" customFormat="1" ht="12" customHeight="1">
      <c r="A105" s="1183"/>
      <c r="B105" s="1242"/>
      <c r="C105" s="1242"/>
      <c r="D105" s="1184"/>
      <c r="E105" s="1192" t="s">
        <v>3607</v>
      </c>
      <c r="F105" s="1186" t="s">
        <v>3881</v>
      </c>
      <c r="I105" s="1187"/>
      <c r="J105" s="1193"/>
      <c r="L105" s="1191" t="s">
        <v>4104</v>
      </c>
    </row>
    <row r="106" spans="1:12" s="1186" customFormat="1" ht="12" customHeight="1">
      <c r="A106" s="1183"/>
      <c r="B106" s="1184"/>
      <c r="C106" s="1184"/>
      <c r="D106" s="1184"/>
      <c r="E106" s="1192" t="s">
        <v>3608</v>
      </c>
      <c r="F106" s="1186" t="s">
        <v>3882</v>
      </c>
      <c r="I106" s="1187"/>
      <c r="J106" s="1193"/>
      <c r="L106" s="1191" t="s">
        <v>4104</v>
      </c>
    </row>
    <row r="107" spans="1:12" s="1186" customFormat="1" ht="23.25" customHeight="1">
      <c r="A107" s="1183"/>
      <c r="B107" s="1184"/>
      <c r="C107" s="1184"/>
      <c r="D107" s="1184"/>
      <c r="E107" s="1192" t="s">
        <v>3610</v>
      </c>
      <c r="F107" s="1231" t="s">
        <v>3975</v>
      </c>
      <c r="G107" s="1231"/>
      <c r="H107" s="1231"/>
      <c r="I107" s="1231"/>
      <c r="J107" s="1231"/>
      <c r="K107" s="1243"/>
      <c r="L107" s="1191" t="s">
        <v>4103</v>
      </c>
    </row>
    <row r="108" spans="1:12" s="1186" customFormat="1" ht="12" customHeight="1">
      <c r="A108" s="1183"/>
      <c r="B108" s="1184"/>
      <c r="C108" s="1184"/>
      <c r="D108" s="1184"/>
      <c r="E108" s="1192" t="s">
        <v>3611</v>
      </c>
      <c r="F108" s="1186" t="s">
        <v>3883</v>
      </c>
      <c r="I108" s="1187"/>
      <c r="J108" s="1193"/>
      <c r="L108" s="1191" t="s">
        <v>4103</v>
      </c>
    </row>
    <row r="109" spans="1:12" s="1186" customFormat="1" ht="12" customHeight="1">
      <c r="A109" s="1222">
        <v>26</v>
      </c>
      <c r="B109" s="1208" t="s">
        <v>3884</v>
      </c>
      <c r="C109" s="1208"/>
      <c r="D109" s="1208"/>
      <c r="E109" s="1190" t="s">
        <v>3609</v>
      </c>
      <c r="F109" s="1213" t="s">
        <v>3885</v>
      </c>
      <c r="G109" s="1213"/>
      <c r="H109" s="1213"/>
      <c r="I109" s="1210"/>
      <c r="J109" s="1211"/>
      <c r="K109" s="1213"/>
      <c r="L109" s="1191" t="s">
        <v>4103</v>
      </c>
    </row>
    <row r="110" spans="1:12" s="1186" customFormat="1" ht="12" customHeight="1">
      <c r="A110" s="1183"/>
      <c r="B110" s="1184"/>
      <c r="C110" s="1184"/>
      <c r="D110" s="1184"/>
      <c r="E110" s="1192" t="s">
        <v>3607</v>
      </c>
      <c r="F110" s="1186" t="s">
        <v>547</v>
      </c>
      <c r="I110" s="1187"/>
      <c r="J110" s="1193"/>
      <c r="L110" s="1191" t="s">
        <v>4103</v>
      </c>
    </row>
    <row r="111" spans="1:12" s="1186" customFormat="1" ht="12" customHeight="1">
      <c r="A111" s="1244">
        <v>27</v>
      </c>
      <c r="B111" s="1208" t="s">
        <v>3886</v>
      </c>
      <c r="C111" s="1208"/>
      <c r="D111" s="1208"/>
      <c r="E111" s="1190" t="s">
        <v>3609</v>
      </c>
      <c r="F111" s="1213" t="s">
        <v>598</v>
      </c>
      <c r="G111" s="1213"/>
      <c r="H111" s="1213"/>
      <c r="I111" s="1210"/>
      <c r="J111" s="1211"/>
      <c r="K111" s="1213"/>
      <c r="L111" s="1191" t="s">
        <v>4103</v>
      </c>
    </row>
    <row r="112" spans="1:12" s="1186" customFormat="1" ht="23.25" customHeight="1">
      <c r="A112" s="1183"/>
      <c r="B112" s="1184"/>
      <c r="C112" s="1184"/>
      <c r="D112" s="1184"/>
      <c r="E112" s="1192" t="s">
        <v>3607</v>
      </c>
      <c r="F112" s="1231" t="s">
        <v>3887</v>
      </c>
      <c r="G112" s="1231"/>
      <c r="H112" s="1231"/>
      <c r="I112" s="1231"/>
      <c r="J112" s="1231"/>
      <c r="K112" s="1243"/>
      <c r="L112" s="1191" t="s">
        <v>4103</v>
      </c>
    </row>
    <row r="113" spans="1:12" s="1186" customFormat="1" ht="12" customHeight="1">
      <c r="A113" s="1183"/>
      <c r="B113" s="1184"/>
      <c r="C113" s="1184"/>
      <c r="D113" s="1184"/>
      <c r="E113" s="1192" t="s">
        <v>3608</v>
      </c>
      <c r="F113" s="1186" t="s">
        <v>3888</v>
      </c>
      <c r="I113" s="1187"/>
      <c r="J113" s="1193"/>
      <c r="L113" s="1191" t="s">
        <v>4103</v>
      </c>
    </row>
    <row r="114" spans="1:12" s="1186" customFormat="1" ht="12" customHeight="1">
      <c r="A114" s="1183"/>
      <c r="B114" s="1184"/>
      <c r="C114" s="1184"/>
      <c r="D114" s="1184"/>
      <c r="E114" s="1192" t="s">
        <v>3610</v>
      </c>
      <c r="F114" s="1186" t="s">
        <v>3889</v>
      </c>
      <c r="I114" s="1187"/>
      <c r="J114" s="1193"/>
      <c r="L114" s="1191" t="s">
        <v>4103</v>
      </c>
    </row>
    <row r="115" spans="1:12" s="1186" customFormat="1" ht="12" customHeight="1">
      <c r="A115" s="1183"/>
      <c r="B115" s="1184"/>
      <c r="C115" s="1184"/>
      <c r="D115" s="1184"/>
      <c r="E115" s="1217" t="s">
        <v>3611</v>
      </c>
      <c r="F115" s="1186" t="s">
        <v>3890</v>
      </c>
      <c r="I115" s="1187"/>
      <c r="J115" s="1193"/>
      <c r="L115" s="1191" t="s">
        <v>4103</v>
      </c>
    </row>
    <row r="116" spans="1:12" s="1186" customFormat="1" ht="12" customHeight="1">
      <c r="A116" s="1222">
        <v>28</v>
      </c>
      <c r="B116" s="1223" t="s">
        <v>3891</v>
      </c>
      <c r="C116" s="1223"/>
      <c r="D116" s="1208" t="s">
        <v>4055</v>
      </c>
      <c r="E116" s="1190" t="s">
        <v>3609</v>
      </c>
      <c r="F116" s="1213" t="s">
        <v>3991</v>
      </c>
      <c r="G116" s="1213"/>
      <c r="H116" s="1213"/>
      <c r="I116" s="1210"/>
      <c r="J116" s="1211"/>
      <c r="K116" s="1212"/>
      <c r="L116" s="1191" t="s">
        <v>4103</v>
      </c>
    </row>
    <row r="117" spans="1:12" s="1186" customFormat="1" ht="12" customHeight="1">
      <c r="B117" s="1224"/>
      <c r="C117" s="1224"/>
      <c r="D117" s="1184"/>
      <c r="E117" s="1192"/>
      <c r="F117" s="1186" t="s">
        <v>3992</v>
      </c>
      <c r="I117" s="1187"/>
      <c r="J117" s="1193"/>
      <c r="L117" s="1191" t="s">
        <v>4103</v>
      </c>
    </row>
    <row r="118" spans="1:12" s="1186" customFormat="1" ht="12" customHeight="1">
      <c r="A118" s="1183"/>
      <c r="C118" s="1184"/>
      <c r="D118" s="1184"/>
      <c r="E118" s="1192"/>
      <c r="F118" s="1186" t="s">
        <v>3993</v>
      </c>
      <c r="I118" s="1187"/>
      <c r="J118" s="1193"/>
      <c r="L118" s="1191" t="s">
        <v>4103</v>
      </c>
    </row>
    <row r="119" spans="1:12" s="1186" customFormat="1" ht="12" customHeight="1">
      <c r="A119" s="1183"/>
      <c r="C119" s="1184"/>
      <c r="D119" s="1184"/>
      <c r="E119" s="1192"/>
      <c r="F119" s="1245" t="s">
        <v>3994</v>
      </c>
      <c r="I119" s="1187"/>
      <c r="J119" s="1193"/>
      <c r="L119" s="1246"/>
    </row>
    <row r="120" spans="1:12" s="1186" customFormat="1" ht="12" customHeight="1">
      <c r="A120" s="1183"/>
      <c r="C120" s="1200"/>
      <c r="D120" s="1184" t="s">
        <v>4052</v>
      </c>
      <c r="E120" s="1192" t="s">
        <v>3607</v>
      </c>
      <c r="F120" s="1186" t="s">
        <v>3995</v>
      </c>
      <c r="I120" s="1187"/>
      <c r="J120" s="1193"/>
      <c r="L120" s="1191" t="s">
        <v>4103</v>
      </c>
    </row>
    <row r="121" spans="1:12" s="1186" customFormat="1" ht="12" customHeight="1">
      <c r="D121" s="1184"/>
      <c r="E121" s="1205"/>
      <c r="F121" s="1186" t="s">
        <v>3996</v>
      </c>
      <c r="I121" s="1187"/>
      <c r="J121" s="1193"/>
      <c r="L121" s="1191" t="s">
        <v>4103</v>
      </c>
    </row>
    <row r="122" spans="1:12" s="1186" customFormat="1" ht="12" customHeight="1">
      <c r="D122" s="1184"/>
      <c r="E122" s="1205"/>
      <c r="F122" s="1245" t="s">
        <v>3997</v>
      </c>
      <c r="I122" s="1187"/>
      <c r="J122" s="1193"/>
    </row>
    <row r="123" spans="1:12" s="1186" customFormat="1" ht="12" customHeight="1">
      <c r="A123" s="1183"/>
      <c r="C123" s="1200"/>
      <c r="D123" s="1184" t="s">
        <v>3806</v>
      </c>
      <c r="E123" s="1192" t="s">
        <v>3608</v>
      </c>
      <c r="F123" s="1186" t="s">
        <v>3998</v>
      </c>
      <c r="I123" s="1187"/>
      <c r="J123" s="1193"/>
      <c r="L123" s="1191" t="s">
        <v>4104</v>
      </c>
    </row>
    <row r="124" spans="1:12" s="1186" customFormat="1" ht="23.25" customHeight="1">
      <c r="A124" s="1183"/>
      <c r="B124" s="1184"/>
      <c r="C124" s="1184"/>
      <c r="D124" s="1184"/>
      <c r="E124" s="1205"/>
      <c r="F124" s="1201" t="s">
        <v>3999</v>
      </c>
      <c r="G124" s="1201"/>
      <c r="H124" s="1201"/>
      <c r="I124" s="1187"/>
      <c r="J124" s="1193"/>
      <c r="L124" s="1191" t="s">
        <v>4104</v>
      </c>
    </row>
    <row r="125" spans="1:12" s="1186" customFormat="1" ht="12" customHeight="1">
      <c r="A125" s="1222">
        <v>29</v>
      </c>
      <c r="B125" s="1223" t="s">
        <v>4045</v>
      </c>
      <c r="C125" s="1223"/>
      <c r="D125" s="1208" t="s">
        <v>3837</v>
      </c>
      <c r="E125" s="1190" t="s">
        <v>3609</v>
      </c>
      <c r="F125" s="1213" t="s">
        <v>3892</v>
      </c>
      <c r="G125" s="1213"/>
      <c r="H125" s="1213"/>
      <c r="I125" s="1210"/>
      <c r="J125" s="1211"/>
      <c r="K125" s="1212"/>
      <c r="L125" s="1191" t="s">
        <v>4103</v>
      </c>
    </row>
    <row r="126" spans="1:12" s="1186" customFormat="1" ht="12" customHeight="1">
      <c r="A126" s="1183"/>
      <c r="B126" s="1224"/>
      <c r="C126" s="1224"/>
      <c r="D126" s="1184" t="s">
        <v>4056</v>
      </c>
      <c r="E126" s="1192" t="s">
        <v>3607</v>
      </c>
      <c r="F126" s="1186" t="s">
        <v>4001</v>
      </c>
      <c r="I126" s="1187"/>
      <c r="J126" s="1193"/>
      <c r="L126" s="1191" t="s">
        <v>4104</v>
      </c>
    </row>
    <row r="127" spans="1:12" s="1186" customFormat="1" ht="12" customHeight="1">
      <c r="A127" s="1183"/>
      <c r="E127" s="1205"/>
      <c r="F127" s="1186" t="s">
        <v>4002</v>
      </c>
      <c r="I127" s="1187"/>
      <c r="J127" s="1193"/>
      <c r="L127" s="1191" t="s">
        <v>4104</v>
      </c>
    </row>
    <row r="128" spans="1:12" s="1186" customFormat="1" ht="12" customHeight="1">
      <c r="A128" s="1183"/>
      <c r="E128" s="1205"/>
      <c r="F128" s="1186" t="s">
        <v>4003</v>
      </c>
      <c r="I128" s="1187"/>
      <c r="J128" s="1193"/>
      <c r="L128" s="1191" t="s">
        <v>4104</v>
      </c>
    </row>
    <row r="129" spans="1:12" s="1186" customFormat="1" ht="12" customHeight="1">
      <c r="A129" s="1183"/>
      <c r="E129" s="1205"/>
      <c r="F129" s="1186" t="s">
        <v>4004</v>
      </c>
      <c r="I129" s="1187"/>
      <c r="J129" s="1193"/>
      <c r="L129" s="1191" t="s">
        <v>4104</v>
      </c>
    </row>
    <row r="130" spans="1:12" s="1186" customFormat="1" ht="12" customHeight="1">
      <c r="A130" s="1183"/>
      <c r="C130" s="1184"/>
      <c r="D130" s="1183"/>
      <c r="E130" s="1205"/>
      <c r="F130" s="1186" t="s">
        <v>4005</v>
      </c>
      <c r="I130" s="1187"/>
      <c r="J130" s="1193"/>
      <c r="L130" s="1191" t="s">
        <v>4104</v>
      </c>
    </row>
    <row r="131" spans="1:12" s="1186" customFormat="1" ht="12" customHeight="1">
      <c r="A131" s="1183"/>
      <c r="C131" s="1200"/>
      <c r="D131" s="1183" t="s">
        <v>4057</v>
      </c>
      <c r="E131" s="1192" t="s">
        <v>3608</v>
      </c>
      <c r="F131" s="1186" t="s">
        <v>4006</v>
      </c>
      <c r="I131" s="1187"/>
      <c r="J131" s="1193"/>
      <c r="L131" s="1191" t="s">
        <v>4103</v>
      </c>
    </row>
    <row r="132" spans="1:12" s="1186" customFormat="1" ht="12" customHeight="1">
      <c r="A132" s="1183"/>
      <c r="C132" s="1184"/>
      <c r="D132" s="1183"/>
      <c r="E132" s="1205"/>
      <c r="F132" s="1186" t="s">
        <v>4007</v>
      </c>
      <c r="I132" s="1187"/>
      <c r="J132" s="1193"/>
      <c r="L132" s="1191" t="s">
        <v>4103</v>
      </c>
    </row>
    <row r="133" spans="1:12" s="1186" customFormat="1" ht="12" customHeight="1">
      <c r="A133" s="1183"/>
      <c r="E133" s="1205"/>
      <c r="F133" s="1186" t="s">
        <v>4008</v>
      </c>
      <c r="I133" s="1187"/>
      <c r="J133" s="1193"/>
      <c r="L133" s="1191" t="s">
        <v>4103</v>
      </c>
    </row>
    <row r="134" spans="1:12" s="1186" customFormat="1" ht="12" customHeight="1">
      <c r="A134" s="1183"/>
      <c r="C134" s="1200"/>
      <c r="D134" s="1184" t="s">
        <v>3912</v>
      </c>
      <c r="E134" s="1192" t="s">
        <v>3610</v>
      </c>
      <c r="F134" s="1186" t="s">
        <v>4009</v>
      </c>
      <c r="I134" s="1187"/>
      <c r="J134" s="1193"/>
      <c r="L134" s="1191" t="s">
        <v>4103</v>
      </c>
    </row>
    <row r="135" spans="1:12" s="1186" customFormat="1" ht="12" customHeight="1">
      <c r="A135" s="1183"/>
      <c r="B135" s="1184"/>
      <c r="C135" s="1184"/>
      <c r="D135" s="1184"/>
      <c r="E135" s="1205"/>
      <c r="F135" s="1186" t="s">
        <v>4010</v>
      </c>
      <c r="I135" s="1187"/>
      <c r="J135" s="1193"/>
      <c r="L135" s="1191" t="s">
        <v>4103</v>
      </c>
    </row>
    <row r="136" spans="1:12" s="1186" customFormat="1" ht="12" customHeight="1">
      <c r="A136" s="1183"/>
      <c r="B136" s="1184"/>
      <c r="C136" s="1184"/>
      <c r="D136" s="1184"/>
      <c r="E136" s="1205"/>
      <c r="F136" s="1186" t="s">
        <v>4011</v>
      </c>
      <c r="I136" s="1187"/>
      <c r="J136" s="1193"/>
      <c r="L136" s="1191" t="s">
        <v>4103</v>
      </c>
    </row>
    <row r="137" spans="1:12" s="1186" customFormat="1" ht="12" customHeight="1">
      <c r="A137" s="1183"/>
      <c r="B137" s="1184"/>
      <c r="C137" s="1184"/>
      <c r="D137" s="1184"/>
      <c r="E137" s="1205"/>
      <c r="F137" s="1186" t="s">
        <v>4012</v>
      </c>
      <c r="I137" s="1187"/>
      <c r="J137" s="1193"/>
      <c r="L137" s="1191" t="s">
        <v>4103</v>
      </c>
    </row>
    <row r="138" spans="1:12" s="1186" customFormat="1" ht="12" customHeight="1">
      <c r="A138" s="1183"/>
      <c r="B138" s="1184"/>
      <c r="C138" s="1184"/>
      <c r="D138" s="1184"/>
      <c r="E138" s="1205"/>
      <c r="F138" s="1186" t="s">
        <v>4013</v>
      </c>
      <c r="I138" s="1187"/>
      <c r="J138" s="1193"/>
      <c r="L138" s="1191" t="s">
        <v>4103</v>
      </c>
    </row>
    <row r="139" spans="1:12" s="1186" customFormat="1" ht="12" customHeight="1">
      <c r="A139" s="1183"/>
      <c r="B139" s="1184"/>
      <c r="C139" s="1184"/>
      <c r="D139" s="1184"/>
      <c r="E139" s="1205"/>
      <c r="F139" s="1186" t="s">
        <v>4014</v>
      </c>
      <c r="I139" s="1187"/>
      <c r="J139" s="1193"/>
      <c r="L139" s="1191" t="s">
        <v>4103</v>
      </c>
    </row>
    <row r="140" spans="1:12" s="1186" customFormat="1" ht="12" customHeight="1">
      <c r="A140" s="1222">
        <v>30</v>
      </c>
      <c r="B140" s="1223" t="s">
        <v>4046</v>
      </c>
      <c r="C140" s="1247"/>
      <c r="D140" s="1208" t="s">
        <v>3837</v>
      </c>
      <c r="E140" s="1190" t="s">
        <v>3609</v>
      </c>
      <c r="F140" s="1213" t="s">
        <v>4015</v>
      </c>
      <c r="G140" s="1213"/>
      <c r="H140" s="1213"/>
      <c r="I140" s="1210"/>
      <c r="J140" s="1211"/>
      <c r="K140" s="1212"/>
      <c r="L140" s="1191" t="s">
        <v>4103</v>
      </c>
    </row>
    <row r="141" spans="1:12" s="1186" customFormat="1" ht="23.25" customHeight="1">
      <c r="A141" s="1183"/>
      <c r="B141" s="1224"/>
      <c r="C141" s="1248"/>
      <c r="D141" s="1184"/>
      <c r="E141" s="1192"/>
      <c r="F141" s="1231" t="s">
        <v>4016</v>
      </c>
      <c r="G141" s="1231"/>
      <c r="H141" s="1231"/>
      <c r="I141" s="1231"/>
      <c r="J141" s="1231"/>
      <c r="K141" s="1243"/>
      <c r="L141" s="1191" t="s">
        <v>4103</v>
      </c>
    </row>
    <row r="142" spans="1:12" s="1186" customFormat="1" ht="23.25" customHeight="1">
      <c r="A142" s="1183"/>
      <c r="C142" s="1200"/>
      <c r="D142" s="1184" t="s">
        <v>3806</v>
      </c>
      <c r="E142" s="1192" t="s">
        <v>3607</v>
      </c>
      <c r="F142" s="1201" t="s">
        <v>3893</v>
      </c>
      <c r="G142" s="1201"/>
      <c r="H142" s="1201"/>
      <c r="I142" s="1187"/>
      <c r="J142" s="1193"/>
      <c r="L142" s="1191" t="s">
        <v>4103</v>
      </c>
    </row>
    <row r="143" spans="1:12" s="1186" customFormat="1" ht="12" customHeight="1">
      <c r="A143" s="1222">
        <v>31</v>
      </c>
      <c r="B143" s="1208" t="s">
        <v>3894</v>
      </c>
      <c r="C143" s="1208"/>
      <c r="D143" s="1208"/>
      <c r="E143" s="1190" t="s">
        <v>3609</v>
      </c>
      <c r="F143" s="1213" t="s">
        <v>3895</v>
      </c>
      <c r="G143" s="1213"/>
      <c r="H143" s="1213"/>
      <c r="I143" s="1210"/>
      <c r="J143" s="1211"/>
      <c r="K143" s="1212"/>
      <c r="L143" s="1191" t="s">
        <v>4103</v>
      </c>
    </row>
    <row r="144" spans="1:12" s="1186" customFormat="1" ht="12" customHeight="1">
      <c r="A144" s="1222">
        <v>32</v>
      </c>
      <c r="B144" s="1208" t="s">
        <v>3896</v>
      </c>
      <c r="C144" s="1208"/>
      <c r="D144" s="1208"/>
      <c r="E144" s="1190" t="s">
        <v>3609</v>
      </c>
      <c r="F144" s="1213" t="s">
        <v>3897</v>
      </c>
      <c r="G144" s="1213"/>
      <c r="H144" s="1213"/>
      <c r="I144" s="1210"/>
      <c r="J144" s="1211"/>
      <c r="K144" s="1212"/>
      <c r="L144" s="1191" t="s">
        <v>4103</v>
      </c>
    </row>
    <row r="145" spans="1:12" s="1186" customFormat="1" ht="12" customHeight="1">
      <c r="A145" s="1183"/>
      <c r="B145" s="1184"/>
      <c r="C145" s="1184"/>
      <c r="D145" s="1184"/>
      <c r="E145" s="1192" t="s">
        <v>3607</v>
      </c>
      <c r="F145" s="1186" t="s">
        <v>3898</v>
      </c>
      <c r="I145" s="1187"/>
      <c r="J145" s="1193"/>
      <c r="L145" s="1191" t="s">
        <v>4103</v>
      </c>
    </row>
    <row r="146" spans="1:12" s="1186" customFormat="1" ht="12" customHeight="1">
      <c r="A146" s="1183"/>
      <c r="B146" s="1184"/>
      <c r="C146" s="1184"/>
      <c r="D146" s="1184"/>
      <c r="E146" s="1192" t="s">
        <v>3608</v>
      </c>
      <c r="F146" s="1186" t="s">
        <v>3899</v>
      </c>
      <c r="I146" s="1187"/>
      <c r="J146" s="1193"/>
      <c r="L146" s="1191" t="s">
        <v>4103</v>
      </c>
    </row>
    <row r="147" spans="1:12" s="1186" customFormat="1" ht="12" customHeight="1">
      <c r="A147" s="1183"/>
      <c r="B147" s="1184"/>
      <c r="C147" s="1184"/>
      <c r="D147" s="1184"/>
      <c r="E147" s="1192" t="s">
        <v>3610</v>
      </c>
      <c r="F147" s="1186" t="s">
        <v>3900</v>
      </c>
      <c r="I147" s="1187"/>
      <c r="J147" s="1193"/>
      <c r="L147" s="1191" t="s">
        <v>4103</v>
      </c>
    </row>
    <row r="148" spans="1:12" s="1186" customFormat="1" ht="12" customHeight="1">
      <c r="A148" s="1222">
        <v>33</v>
      </c>
      <c r="B148" s="1208" t="s">
        <v>4048</v>
      </c>
      <c r="C148" s="1208"/>
      <c r="D148" s="1208"/>
      <c r="E148" s="1249" t="s">
        <v>3609</v>
      </c>
      <c r="F148" s="1213" t="s">
        <v>3901</v>
      </c>
      <c r="G148" s="1213"/>
      <c r="H148" s="1213"/>
      <c r="I148" s="1210"/>
      <c r="J148" s="1211"/>
      <c r="K148" s="1212"/>
      <c r="L148" s="1191" t="s">
        <v>4103</v>
      </c>
    </row>
    <row r="149" spans="1:12" s="1186" customFormat="1" ht="12" customHeight="1">
      <c r="A149" s="1222">
        <v>34</v>
      </c>
      <c r="B149" s="1208" t="s">
        <v>4047</v>
      </c>
      <c r="C149" s="1208"/>
      <c r="D149" s="1208" t="s">
        <v>3840</v>
      </c>
      <c r="E149" s="1190" t="s">
        <v>3609</v>
      </c>
      <c r="F149" s="1213" t="s">
        <v>3902</v>
      </c>
      <c r="G149" s="1213"/>
      <c r="H149" s="1213"/>
      <c r="I149" s="1210"/>
      <c r="J149" s="1211"/>
      <c r="K149" s="1212"/>
      <c r="L149" s="1191" t="s">
        <v>4103</v>
      </c>
    </row>
    <row r="150" spans="1:12" s="1186" customFormat="1" ht="12" customHeight="1">
      <c r="A150" s="1183"/>
      <c r="B150" s="1184"/>
      <c r="C150" s="1184"/>
      <c r="D150" s="1184"/>
      <c r="E150" s="1192" t="s">
        <v>3607</v>
      </c>
      <c r="F150" s="1186" t="s">
        <v>3903</v>
      </c>
      <c r="I150" s="1187"/>
      <c r="J150" s="1193"/>
      <c r="L150" s="1191" t="s">
        <v>4103</v>
      </c>
    </row>
    <row r="151" spans="1:12" s="1186" customFormat="1" ht="12" customHeight="1">
      <c r="A151" s="1183"/>
      <c r="B151" s="1184"/>
      <c r="C151" s="1184"/>
      <c r="D151" s="1184"/>
      <c r="E151" s="1192" t="s">
        <v>3608</v>
      </c>
      <c r="F151" s="1186" t="s">
        <v>3904</v>
      </c>
      <c r="I151" s="1187"/>
      <c r="J151" s="1193"/>
      <c r="L151" s="1191" t="s">
        <v>4103</v>
      </c>
    </row>
    <row r="152" spans="1:12" s="1186" customFormat="1" ht="12" customHeight="1">
      <c r="A152" s="1183"/>
      <c r="B152" s="1184"/>
      <c r="C152" s="1184"/>
      <c r="D152" s="1184"/>
      <c r="E152" s="1192" t="s">
        <v>3610</v>
      </c>
      <c r="F152" s="1186" t="s">
        <v>3905</v>
      </c>
      <c r="I152" s="1187"/>
      <c r="J152" s="1193"/>
      <c r="L152" s="1191" t="s">
        <v>4103</v>
      </c>
    </row>
    <row r="153" spans="1:12" s="1186" customFormat="1" ht="12" customHeight="1">
      <c r="A153" s="1183"/>
      <c r="B153" s="1184"/>
      <c r="C153" s="1184"/>
      <c r="D153" s="1184"/>
      <c r="E153" s="1192" t="s">
        <v>3611</v>
      </c>
      <c r="F153" s="1186" t="s">
        <v>3906</v>
      </c>
      <c r="I153" s="1187"/>
      <c r="J153" s="1193"/>
      <c r="L153" s="1191" t="s">
        <v>4103</v>
      </c>
    </row>
    <row r="154" spans="1:12" s="1186" customFormat="1" ht="12" customHeight="1">
      <c r="A154" s="1183"/>
      <c r="B154" s="1184"/>
      <c r="C154" s="1184"/>
      <c r="D154" s="1184"/>
      <c r="E154" s="1192" t="s">
        <v>3612</v>
      </c>
      <c r="F154" s="1186" t="s">
        <v>34</v>
      </c>
      <c r="I154" s="1187"/>
      <c r="J154" s="1193"/>
      <c r="L154" s="1191" t="s">
        <v>4103</v>
      </c>
    </row>
    <row r="155" spans="1:12" s="1186" customFormat="1" ht="12" customHeight="1">
      <c r="A155" s="1183"/>
      <c r="B155" s="1184"/>
      <c r="C155" s="1184"/>
      <c r="D155" s="1184"/>
      <c r="E155" s="1192" t="s">
        <v>3613</v>
      </c>
      <c r="F155" s="1186" t="s">
        <v>3907</v>
      </c>
      <c r="I155" s="1187"/>
      <c r="J155" s="1193"/>
      <c r="L155" s="1191" t="s">
        <v>4103</v>
      </c>
    </row>
    <row r="156" spans="1:12" s="1186" customFormat="1" ht="12" customHeight="1">
      <c r="A156" s="1222">
        <v>35</v>
      </c>
      <c r="B156" s="1223" t="s">
        <v>3968</v>
      </c>
      <c r="C156" s="1208"/>
      <c r="D156" s="1208" t="s">
        <v>3837</v>
      </c>
      <c r="E156" s="1190" t="s">
        <v>3609</v>
      </c>
      <c r="F156" s="1213" t="s">
        <v>4017</v>
      </c>
      <c r="G156" s="1213"/>
      <c r="H156" s="1213"/>
      <c r="I156" s="1210"/>
      <c r="J156" s="1213"/>
      <c r="K156" s="1212"/>
      <c r="L156" s="1191" t="s">
        <v>4103</v>
      </c>
    </row>
    <row r="157" spans="1:12" s="1186" customFormat="1" ht="12" customHeight="1">
      <c r="A157" s="1183"/>
      <c r="B157" s="1224"/>
      <c r="C157" s="1184"/>
      <c r="D157" s="1184"/>
      <c r="E157" s="1205"/>
      <c r="F157" s="1186" t="s">
        <v>4018</v>
      </c>
      <c r="I157" s="1187"/>
      <c r="J157" s="1193"/>
      <c r="L157" s="1191" t="s">
        <v>4103</v>
      </c>
    </row>
    <row r="158" spans="1:12" s="1186" customFormat="1" ht="12" customHeight="1">
      <c r="A158" s="1183"/>
      <c r="B158" s="1224"/>
      <c r="C158" s="1184"/>
      <c r="D158" s="1184"/>
      <c r="E158" s="1205"/>
      <c r="F158" s="1186" t="s">
        <v>4019</v>
      </c>
      <c r="I158" s="1187"/>
      <c r="J158" s="1193"/>
      <c r="L158" s="1191" t="s">
        <v>4103</v>
      </c>
    </row>
    <row r="159" spans="1:12" s="1186" customFormat="1" ht="12" customHeight="1">
      <c r="A159" s="1183"/>
      <c r="B159" s="1184"/>
      <c r="C159" s="1184"/>
      <c r="D159" s="1184"/>
      <c r="E159" s="1205"/>
      <c r="F159" s="1186" t="s">
        <v>4020</v>
      </c>
      <c r="I159" s="1187"/>
      <c r="J159" s="1193"/>
      <c r="L159" s="1191" t="s">
        <v>4103</v>
      </c>
    </row>
    <row r="160" spans="1:12" s="1186" customFormat="1" ht="12" customHeight="1">
      <c r="A160" s="1183"/>
      <c r="B160" s="1184"/>
      <c r="C160" s="1184"/>
      <c r="D160" s="1184"/>
      <c r="E160" s="1205"/>
      <c r="F160" s="1186" t="s">
        <v>4021</v>
      </c>
      <c r="I160" s="1187"/>
      <c r="J160" s="1193"/>
      <c r="L160" s="1191" t="s">
        <v>4103</v>
      </c>
    </row>
    <row r="161" spans="1:12" s="1186" customFormat="1" ht="12" customHeight="1">
      <c r="A161" s="1183"/>
      <c r="B161" s="1184"/>
      <c r="C161" s="1184"/>
      <c r="D161" s="1184"/>
      <c r="E161" s="1205"/>
      <c r="F161" s="1186" t="s">
        <v>4022</v>
      </c>
      <c r="I161" s="1187"/>
      <c r="J161" s="1193"/>
      <c r="L161" s="1191" t="s">
        <v>4103</v>
      </c>
    </row>
    <row r="162" spans="1:12" s="1186" customFormat="1" ht="12" customHeight="1">
      <c r="A162" s="1183"/>
      <c r="C162" s="1200"/>
      <c r="D162" s="1184" t="s">
        <v>3806</v>
      </c>
      <c r="E162" s="1192" t="s">
        <v>3607</v>
      </c>
      <c r="F162" s="1186" t="s">
        <v>4023</v>
      </c>
      <c r="I162" s="1187"/>
      <c r="J162" s="1193"/>
      <c r="L162" s="1191" t="s">
        <v>4104</v>
      </c>
    </row>
    <row r="163" spans="1:12" s="1186" customFormat="1" ht="12" customHeight="1">
      <c r="A163" s="1183"/>
      <c r="B163" s="1184"/>
      <c r="C163" s="1184"/>
      <c r="D163" s="1184"/>
      <c r="E163" s="1205"/>
      <c r="F163" s="1186" t="s">
        <v>4024</v>
      </c>
      <c r="I163" s="1187"/>
      <c r="J163" s="1193"/>
      <c r="L163" s="1191" t="s">
        <v>4104</v>
      </c>
    </row>
    <row r="164" spans="1:12" s="1186" customFormat="1" ht="12" customHeight="1">
      <c r="A164" s="1222">
        <v>36</v>
      </c>
      <c r="B164" s="1223" t="s">
        <v>4049</v>
      </c>
      <c r="C164" s="1223"/>
      <c r="D164" s="1208" t="s">
        <v>3806</v>
      </c>
      <c r="E164" s="1190" t="s">
        <v>3609</v>
      </c>
      <c r="F164" s="1234" t="s">
        <v>3908</v>
      </c>
      <c r="G164" s="1234"/>
      <c r="H164" s="1234"/>
      <c r="I164" s="1210"/>
      <c r="J164" s="1211"/>
      <c r="K164" s="1212"/>
      <c r="L164" s="1191" t="s">
        <v>4103</v>
      </c>
    </row>
    <row r="165" spans="1:12" s="1186" customFormat="1" ht="12" customHeight="1">
      <c r="A165" s="1183"/>
      <c r="B165" s="1227"/>
      <c r="C165" s="1227"/>
      <c r="D165" s="1184"/>
      <c r="E165" s="1192" t="s">
        <v>3607</v>
      </c>
      <c r="F165" s="1250" t="s">
        <v>3909</v>
      </c>
      <c r="G165" s="1250"/>
      <c r="H165" s="1250"/>
      <c r="I165" s="1187"/>
      <c r="J165" s="1193"/>
      <c r="L165" s="1191" t="s">
        <v>4103</v>
      </c>
    </row>
    <row r="166" spans="1:12" s="1186" customFormat="1" ht="12" customHeight="1">
      <c r="A166" s="1222">
        <v>37</v>
      </c>
      <c r="B166" s="1223" t="s">
        <v>4050</v>
      </c>
      <c r="C166" s="1223"/>
      <c r="D166" s="1208" t="s">
        <v>3837</v>
      </c>
      <c r="E166" s="1190" t="s">
        <v>3609</v>
      </c>
      <c r="F166" s="1213" t="s">
        <v>597</v>
      </c>
      <c r="G166" s="1213"/>
      <c r="H166" s="1213"/>
      <c r="I166" s="1210"/>
      <c r="J166" s="1211"/>
      <c r="K166" s="1212"/>
      <c r="L166" s="1191" t="s">
        <v>4103</v>
      </c>
    </row>
    <row r="167" spans="1:12" s="1186" customFormat="1" ht="12" customHeight="1">
      <c r="A167" s="1183"/>
      <c r="B167" s="1224"/>
      <c r="C167" s="1224"/>
      <c r="D167" s="1184"/>
      <c r="E167" s="1192" t="s">
        <v>3607</v>
      </c>
      <c r="F167" s="1186" t="s">
        <v>548</v>
      </c>
      <c r="I167" s="1187"/>
      <c r="J167" s="1193"/>
      <c r="L167" s="1191" t="s">
        <v>4103</v>
      </c>
    </row>
    <row r="168" spans="1:12" s="1186" customFormat="1" ht="12" customHeight="1">
      <c r="A168" s="1183"/>
      <c r="B168" s="1184"/>
      <c r="C168" s="1184"/>
      <c r="D168" s="1184"/>
      <c r="E168" s="1192" t="s">
        <v>3608</v>
      </c>
      <c r="F168" s="1186" t="s">
        <v>3910</v>
      </c>
      <c r="I168" s="1187"/>
      <c r="J168" s="1193"/>
      <c r="L168" s="1191" t="s">
        <v>4103</v>
      </c>
    </row>
    <row r="169" spans="1:12" s="1186" customFormat="1" ht="12" customHeight="1">
      <c r="A169" s="1183"/>
      <c r="C169" s="1200"/>
      <c r="D169" s="1184" t="s">
        <v>4053</v>
      </c>
      <c r="E169" s="1192" t="s">
        <v>3610</v>
      </c>
      <c r="F169" s="1186" t="s">
        <v>3911</v>
      </c>
      <c r="I169" s="1187"/>
      <c r="J169" s="1193"/>
      <c r="L169" s="1191" t="s">
        <v>4103</v>
      </c>
    </row>
    <row r="170" spans="1:12" s="1186" customFormat="1" ht="12" customHeight="1">
      <c r="A170" s="1222">
        <v>38</v>
      </c>
      <c r="B170" s="1208" t="s">
        <v>4051</v>
      </c>
      <c r="C170" s="1208"/>
      <c r="D170" s="1208" t="s">
        <v>4052</v>
      </c>
      <c r="E170" s="1190" t="s">
        <v>3609</v>
      </c>
      <c r="F170" s="1213" t="s">
        <v>4025</v>
      </c>
      <c r="G170" s="1213"/>
      <c r="H170" s="1213"/>
      <c r="I170" s="1210"/>
      <c r="J170" s="1211"/>
      <c r="K170" s="1212"/>
      <c r="L170" s="1191" t="s">
        <v>4103</v>
      </c>
    </row>
    <row r="171" spans="1:12" s="1186" customFormat="1" ht="12" customHeight="1">
      <c r="A171" s="1183"/>
      <c r="B171" s="1184"/>
      <c r="C171" s="1184"/>
      <c r="D171" s="1184"/>
      <c r="E171" s="1251"/>
      <c r="F171" s="1186" t="s">
        <v>4026</v>
      </c>
      <c r="I171" s="1187"/>
      <c r="J171" s="1193"/>
      <c r="L171" s="1191" t="s">
        <v>4103</v>
      </c>
    </row>
    <row r="172" spans="1:12" s="1186" customFormat="1" ht="12" customHeight="1">
      <c r="A172" s="1183"/>
      <c r="C172" s="1200"/>
      <c r="D172" s="1184" t="s">
        <v>3912</v>
      </c>
      <c r="E172" s="1192" t="s">
        <v>3607</v>
      </c>
      <c r="F172" s="1186" t="s">
        <v>4027</v>
      </c>
      <c r="I172" s="1187"/>
      <c r="J172" s="1193"/>
      <c r="L172" s="1191" t="s">
        <v>4103</v>
      </c>
    </row>
    <row r="173" spans="1:12" s="1186" customFormat="1" ht="12" customHeight="1">
      <c r="A173" s="1183"/>
      <c r="C173" s="1200"/>
      <c r="D173" s="1184" t="s">
        <v>3913</v>
      </c>
      <c r="E173" s="1192"/>
      <c r="F173" s="1186" t="s">
        <v>4028</v>
      </c>
      <c r="I173" s="1187"/>
      <c r="J173" s="1193"/>
      <c r="L173" s="1191" t="s">
        <v>4103</v>
      </c>
    </row>
    <row r="174" spans="1:12" s="1186" customFormat="1" ht="12" customHeight="1">
      <c r="A174" s="1183"/>
      <c r="C174" s="1200"/>
      <c r="D174" s="1184" t="s">
        <v>3914</v>
      </c>
      <c r="E174" s="1192"/>
      <c r="F174" s="1186" t="s">
        <v>4029</v>
      </c>
      <c r="I174" s="1187"/>
      <c r="J174" s="1193"/>
      <c r="L174" s="1191" t="s">
        <v>4103</v>
      </c>
    </row>
    <row r="175" spans="1:12" s="1186" customFormat="1" ht="12" customHeight="1">
      <c r="A175" s="1183"/>
      <c r="B175" s="1184"/>
      <c r="C175" s="1184"/>
      <c r="D175" s="1184"/>
      <c r="E175" s="1195"/>
      <c r="F175" s="1186" t="s">
        <v>4030</v>
      </c>
      <c r="I175" s="1187"/>
      <c r="L175" s="1191" t="s">
        <v>4103</v>
      </c>
    </row>
    <row r="176" spans="1:12" s="1186" customFormat="1" ht="12" customHeight="1">
      <c r="A176" s="1252">
        <v>39</v>
      </c>
      <c r="B176" s="1253" t="s">
        <v>4060</v>
      </c>
      <c r="C176" s="1253"/>
      <c r="D176" s="1253"/>
      <c r="E176" s="1254"/>
      <c r="F176" s="1254"/>
      <c r="G176" s="1254"/>
      <c r="H176" s="1254"/>
      <c r="I176" s="1254"/>
      <c r="J176" s="1254"/>
      <c r="K176" s="1254"/>
    </row>
    <row r="177" spans="1:12" s="1186" customFormat="1" ht="23.25" customHeight="1">
      <c r="A177" s="1198"/>
      <c r="B177" s="1255" t="s">
        <v>4058</v>
      </c>
      <c r="C177" s="1255"/>
      <c r="D177" s="1256" t="s">
        <v>4059</v>
      </c>
      <c r="E177" s="1257" t="s">
        <v>3776</v>
      </c>
      <c r="F177" s="1258" t="s">
        <v>4061</v>
      </c>
      <c r="G177" s="1259"/>
      <c r="H177" s="1259"/>
      <c r="I177" s="1259"/>
      <c r="J177" s="1259"/>
      <c r="K177" s="1259"/>
    </row>
    <row r="178" spans="1:12" s="1186" customFormat="1" ht="12" customHeight="1">
      <c r="A178" s="1198"/>
      <c r="B178" s="1260"/>
      <c r="C178" s="1261"/>
      <c r="D178" s="1262"/>
      <c r="E178" s="1263" t="s">
        <v>3609</v>
      </c>
      <c r="F178" s="1264"/>
      <c r="G178" s="1264"/>
      <c r="H178" s="1264"/>
      <c r="I178" s="1264"/>
      <c r="J178" s="1264"/>
      <c r="K178" s="1264"/>
      <c r="L178" s="1191"/>
    </row>
    <row r="179" spans="1:12" s="1186" customFormat="1" ht="12" customHeight="1">
      <c r="A179" s="1183"/>
      <c r="B179" s="1265"/>
      <c r="C179" s="1266"/>
      <c r="D179" s="1267"/>
      <c r="E179" s="1268" t="s">
        <v>3607</v>
      </c>
      <c r="F179" s="1269"/>
      <c r="G179" s="1269"/>
      <c r="H179" s="1269"/>
      <c r="I179" s="1269"/>
      <c r="J179" s="1269"/>
      <c r="K179" s="1269"/>
      <c r="L179" s="1191"/>
    </row>
    <row r="180" spans="1:12" s="1186" customFormat="1" ht="12" customHeight="1">
      <c r="A180" s="1183"/>
      <c r="B180" s="1265"/>
      <c r="C180" s="1266"/>
      <c r="D180" s="1267"/>
      <c r="E180" s="1268" t="s">
        <v>3608</v>
      </c>
      <c r="F180" s="1269"/>
      <c r="G180" s="1269"/>
      <c r="H180" s="1269"/>
      <c r="I180" s="1269"/>
      <c r="J180" s="1269"/>
      <c r="K180" s="1269"/>
      <c r="L180" s="1191"/>
    </row>
    <row r="181" spans="1:12" s="1186" customFormat="1" ht="12" customHeight="1">
      <c r="A181" s="1183"/>
      <c r="B181" s="1265"/>
      <c r="C181" s="1266"/>
      <c r="D181" s="1267"/>
      <c r="E181" s="1268" t="s">
        <v>3610</v>
      </c>
      <c r="F181" s="1269"/>
      <c r="G181" s="1269"/>
      <c r="H181" s="1269"/>
      <c r="I181" s="1269"/>
      <c r="J181" s="1269"/>
      <c r="K181" s="1269"/>
      <c r="L181" s="1191"/>
    </row>
    <row r="182" spans="1:12" s="1186" customFormat="1" ht="12" customHeight="1">
      <c r="A182" s="1183"/>
      <c r="B182" s="1265"/>
      <c r="C182" s="1266"/>
      <c r="D182" s="1267"/>
      <c r="E182" s="1268" t="s">
        <v>3611</v>
      </c>
      <c r="F182" s="1269"/>
      <c r="G182" s="1269"/>
      <c r="H182" s="1269"/>
      <c r="I182" s="1269"/>
      <c r="J182" s="1269"/>
      <c r="K182" s="1269"/>
      <c r="L182" s="1191"/>
    </row>
    <row r="183" spans="1:12" s="1186" customFormat="1" ht="12" customHeight="1">
      <c r="A183" s="1183"/>
      <c r="B183" s="1265"/>
      <c r="C183" s="1266"/>
      <c r="D183" s="1267"/>
      <c r="E183" s="1268" t="s">
        <v>3612</v>
      </c>
      <c r="F183" s="1269"/>
      <c r="G183" s="1269"/>
      <c r="H183" s="1269"/>
      <c r="I183" s="1269"/>
      <c r="J183" s="1269"/>
      <c r="K183" s="1269"/>
      <c r="L183" s="1191"/>
    </row>
    <row r="184" spans="1:12" s="1186" customFormat="1" ht="12" customHeight="1">
      <c r="A184" s="1183"/>
      <c r="B184" s="1265"/>
      <c r="C184" s="1266"/>
      <c r="D184" s="1267"/>
      <c r="E184" s="1268" t="s">
        <v>3613</v>
      </c>
      <c r="F184" s="1269"/>
      <c r="G184" s="1269"/>
      <c r="H184" s="1269"/>
      <c r="I184" s="1269"/>
      <c r="J184" s="1269"/>
      <c r="K184" s="1269"/>
      <c r="L184" s="1191"/>
    </row>
    <row r="185" spans="1:12" s="1186" customFormat="1" ht="12" customHeight="1">
      <c r="A185" s="1183"/>
      <c r="B185" s="1265"/>
      <c r="C185" s="1266"/>
      <c r="D185" s="1267"/>
      <c r="E185" s="1268" t="s">
        <v>3946</v>
      </c>
      <c r="F185" s="1269"/>
      <c r="G185" s="1269"/>
      <c r="H185" s="1269"/>
      <c r="I185" s="1269"/>
      <c r="J185" s="1269"/>
      <c r="K185" s="1269"/>
      <c r="L185" s="1191"/>
    </row>
    <row r="186" spans="1:12" s="1186" customFormat="1" ht="12" customHeight="1">
      <c r="A186" s="1183"/>
      <c r="B186" s="1265"/>
      <c r="C186" s="1266"/>
      <c r="D186" s="1267"/>
      <c r="E186" s="1268" t="s">
        <v>3947</v>
      </c>
      <c r="F186" s="1269"/>
      <c r="G186" s="1269"/>
      <c r="H186" s="1269"/>
      <c r="I186" s="1269"/>
      <c r="J186" s="1269"/>
      <c r="K186" s="1269"/>
      <c r="L186" s="1191"/>
    </row>
    <row r="187" spans="1:12" s="1186" customFormat="1" ht="12" customHeight="1">
      <c r="A187" s="1183"/>
      <c r="B187" s="1270"/>
      <c r="C187" s="1271"/>
      <c r="D187" s="1272"/>
      <c r="E187" s="1273" t="s">
        <v>4054</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B183:C183"/>
    <mergeCell ref="B184:C184"/>
    <mergeCell ref="B185:C185"/>
    <mergeCell ref="B186:C186"/>
    <mergeCell ref="B187:C187"/>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04:C105"/>
    <mergeCell ref="B125:C126"/>
    <mergeCell ref="F76:K76"/>
    <mergeCell ref="F112:K112"/>
    <mergeCell ref="F107:K107"/>
    <mergeCell ref="F80:H80"/>
    <mergeCell ref="A103:L103"/>
    <mergeCell ref="B95:C96"/>
    <mergeCell ref="B84:C85"/>
    <mergeCell ref="F185:K185"/>
    <mergeCell ref="F186:K186"/>
    <mergeCell ref="F187:K187"/>
    <mergeCell ref="F124:H124"/>
    <mergeCell ref="F142:H142"/>
    <mergeCell ref="F178:K178"/>
    <mergeCell ref="F179:K179"/>
    <mergeCell ref="F180:K180"/>
    <mergeCell ref="F181:K181"/>
    <mergeCell ref="F141:K141"/>
    <mergeCell ref="F183:K183"/>
    <mergeCell ref="F184:K184"/>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18" t="str">
        <f>CONCATENATE("PART SIX - PROJECTED REVENUES &amp; EXPENSES","  -  ",'Part I-Project Information'!$O$4," ",'Part I-Project Information'!$F$23,", ",'Part I-Project Information'!F26,", ",'Part I-Project Information'!J27," County")</f>
        <v>PART SIX - PROJECTED REVENUES &amp; EXPENSES  -  2013-001 Forest Mill Apartments, West Point, Troup County</v>
      </c>
      <c r="B1" s="919"/>
      <c r="C1" s="919"/>
      <c r="D1" s="919"/>
      <c r="E1" s="919"/>
      <c r="F1" s="919"/>
      <c r="G1" s="919"/>
      <c r="H1" s="919"/>
      <c r="I1" s="919"/>
      <c r="J1" s="919"/>
      <c r="K1" s="919"/>
      <c r="L1" s="919"/>
      <c r="M1" s="919"/>
      <c r="N1" s="919"/>
      <c r="O1" s="919"/>
      <c r="P1" s="920"/>
      <c r="T1" s="1035" t="str">
        <f>A1</f>
        <v>PART SIX - PROJECTED REVENUES &amp; EXPENSES  -  2013-001 Forest Mill Apartments, West Point, Troup County</v>
      </c>
      <c r="U1" s="1035"/>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3566</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0" t="s">
        <v>1315</v>
      </c>
      <c r="W4" s="1010" t="s">
        <v>1061</v>
      </c>
      <c r="X4" s="1010" t="s">
        <v>1062</v>
      </c>
      <c r="Y4" s="1010" t="s">
        <v>1063</v>
      </c>
      <c r="Z4" s="1010" t="s">
        <v>1064</v>
      </c>
      <c r="AA4" s="1010" t="s">
        <v>1316</v>
      </c>
      <c r="AB4" s="1010" t="s">
        <v>3041</v>
      </c>
      <c r="AC4" s="1010" t="s">
        <v>3042</v>
      </c>
      <c r="AD4" s="1010" t="s">
        <v>3043</v>
      </c>
      <c r="AE4" s="1010" t="s">
        <v>3044</v>
      </c>
      <c r="AF4" s="1010" t="s">
        <v>1317</v>
      </c>
      <c r="AG4" s="1010" t="s">
        <v>3045</v>
      </c>
      <c r="AH4" s="1010" t="s">
        <v>3046</v>
      </c>
      <c r="AI4" s="1010" t="s">
        <v>3047</v>
      </c>
      <c r="AJ4" s="1010" t="s">
        <v>3048</v>
      </c>
      <c r="AK4" s="1010" t="s">
        <v>136</v>
      </c>
      <c r="AL4" s="1010" t="s">
        <v>3049</v>
      </c>
      <c r="AM4" s="1010" t="s">
        <v>3050</v>
      </c>
      <c r="AN4" s="1010" t="s">
        <v>3051</v>
      </c>
      <c r="AO4" s="1010" t="s">
        <v>1561</v>
      </c>
      <c r="AP4" s="1010" t="s">
        <v>724</v>
      </c>
      <c r="AQ4" s="1010" t="s">
        <v>725</v>
      </c>
      <c r="AR4" s="1010" t="s">
        <v>750</v>
      </c>
      <c r="AS4" s="1010" t="s">
        <v>751</v>
      </c>
      <c r="AT4" s="1010" t="s">
        <v>752</v>
      </c>
      <c r="AU4" s="1010" t="s">
        <v>753</v>
      </c>
      <c r="AV4" s="1010" t="s">
        <v>754</v>
      </c>
      <c r="AW4" s="1010" t="s">
        <v>755</v>
      </c>
      <c r="AX4" s="1010" t="s">
        <v>756</v>
      </c>
      <c r="AY4" s="1010" t="s">
        <v>757</v>
      </c>
      <c r="AZ4" s="1010" t="s">
        <v>758</v>
      </c>
      <c r="BA4" s="1010" t="s">
        <v>759</v>
      </c>
      <c r="BB4" s="1010" t="s">
        <v>1327</v>
      </c>
      <c r="BC4" s="1010" t="s">
        <v>1328</v>
      </c>
      <c r="BD4" s="1010" t="s">
        <v>1329</v>
      </c>
      <c r="BE4" s="1010" t="s">
        <v>631</v>
      </c>
      <c r="BF4" s="1010" t="s">
        <v>632</v>
      </c>
      <c r="BG4" s="1010" t="s">
        <v>633</v>
      </c>
      <c r="BH4" s="1010" t="s">
        <v>634</v>
      </c>
      <c r="BI4" s="1010" t="s">
        <v>635</v>
      </c>
      <c r="BJ4" s="1010" t="s">
        <v>1275</v>
      </c>
      <c r="BK4" s="1010" t="s">
        <v>1276</v>
      </c>
      <c r="BL4" s="1010" t="s">
        <v>1277</v>
      </c>
      <c r="BM4" s="1010" t="s">
        <v>1278</v>
      </c>
      <c r="BN4" s="1010" t="s">
        <v>1279</v>
      </c>
      <c r="BO4" s="1010" t="s">
        <v>1280</v>
      </c>
      <c r="BP4" s="1010" t="s">
        <v>1281</v>
      </c>
      <c r="BQ4" s="1010" t="s">
        <v>1282</v>
      </c>
      <c r="BR4" s="1010" t="s">
        <v>1283</v>
      </c>
      <c r="BS4" s="1010" t="s">
        <v>1284</v>
      </c>
      <c r="BT4" s="1010" t="s">
        <v>3197</v>
      </c>
      <c r="BU4" s="1010" t="s">
        <v>3198</v>
      </c>
      <c r="BV4" s="1010" t="s">
        <v>3199</v>
      </c>
      <c r="BW4" s="1010" t="s">
        <v>3200</v>
      </c>
      <c r="BX4" s="1010" t="s">
        <v>3201</v>
      </c>
      <c r="BY4" s="1010" t="s">
        <v>123</v>
      </c>
      <c r="BZ4" s="1010" t="s">
        <v>1564</v>
      </c>
      <c r="CA4" s="1010" t="s">
        <v>1565</v>
      </c>
      <c r="CB4" s="1010" t="s">
        <v>1634</v>
      </c>
      <c r="CC4" s="1010" t="s">
        <v>1635</v>
      </c>
      <c r="CD4" s="1011" t="s">
        <v>139</v>
      </c>
      <c r="CE4" s="1011" t="s">
        <v>1636</v>
      </c>
      <c r="CF4" s="1011" t="s">
        <v>1637</v>
      </c>
      <c r="CG4" s="1011" t="s">
        <v>1638</v>
      </c>
      <c r="CH4" s="1011" t="s">
        <v>1639</v>
      </c>
      <c r="CI4" s="1011" t="s">
        <v>138</v>
      </c>
      <c r="CJ4" s="1011" t="s">
        <v>1307</v>
      </c>
      <c r="CK4" s="1011" t="s">
        <v>1308</v>
      </c>
      <c r="CL4" s="1011" t="s">
        <v>1309</v>
      </c>
      <c r="CM4" s="1011" t="s">
        <v>1310</v>
      </c>
      <c r="CN4" s="1011" t="s">
        <v>137</v>
      </c>
      <c r="CO4" s="1011" t="s">
        <v>1311</v>
      </c>
      <c r="CP4" s="1011" t="s">
        <v>1312</v>
      </c>
      <c r="CQ4" s="1011" t="s">
        <v>1313</v>
      </c>
      <c r="CR4" s="1011" t="s">
        <v>1314</v>
      </c>
      <c r="CS4" s="1011" t="s">
        <v>1202</v>
      </c>
      <c r="CT4" s="1011" t="s">
        <v>1203</v>
      </c>
      <c r="CU4" s="1011" t="s">
        <v>1204</v>
      </c>
      <c r="CV4" s="1011" t="s">
        <v>1205</v>
      </c>
      <c r="CW4" s="1011" t="s">
        <v>1206</v>
      </c>
      <c r="CX4" s="1011" t="s">
        <v>1354</v>
      </c>
      <c r="CY4" s="1011" t="s">
        <v>1355</v>
      </c>
      <c r="CZ4" s="1011" t="s">
        <v>1356</v>
      </c>
      <c r="DA4" s="1011" t="s">
        <v>1357</v>
      </c>
      <c r="DB4" s="1011" t="s">
        <v>3196</v>
      </c>
      <c r="DC4" s="1011" t="s">
        <v>1876</v>
      </c>
      <c r="DD4" s="1011" t="s">
        <v>1877</v>
      </c>
      <c r="DE4" s="1011" t="s">
        <v>1878</v>
      </c>
      <c r="DF4" s="1011" t="s">
        <v>1879</v>
      </c>
      <c r="DG4" s="1011" t="s">
        <v>1880</v>
      </c>
      <c r="DH4" s="1011" t="s">
        <v>560</v>
      </c>
      <c r="DI4" s="1011" t="s">
        <v>561</v>
      </c>
      <c r="DJ4" s="1011" t="s">
        <v>562</v>
      </c>
      <c r="DK4" s="1011" t="s">
        <v>563</v>
      </c>
      <c r="DL4" s="1011" t="s">
        <v>564</v>
      </c>
      <c r="DM4" s="1011" t="s">
        <v>18</v>
      </c>
      <c r="DN4" s="1011" t="s">
        <v>19</v>
      </c>
      <c r="DO4" s="1011" t="s">
        <v>20</v>
      </c>
      <c r="DP4" s="1011" t="s">
        <v>21</v>
      </c>
      <c r="DQ4" s="1011" t="s">
        <v>22</v>
      </c>
      <c r="DR4" s="1011" t="s">
        <v>243</v>
      </c>
      <c r="DS4" s="1011" t="s">
        <v>244</v>
      </c>
      <c r="DT4" s="1011" t="s">
        <v>245</v>
      </c>
      <c r="DU4" s="1011" t="s">
        <v>2510</v>
      </c>
      <c r="DV4" s="1011" t="s">
        <v>2511</v>
      </c>
      <c r="DW4" s="1011" t="s">
        <v>2512</v>
      </c>
      <c r="DX4" s="1011" t="s">
        <v>766</v>
      </c>
      <c r="DY4" s="1011" t="s">
        <v>767</v>
      </c>
      <c r="DZ4" s="1011" t="s">
        <v>768</v>
      </c>
      <c r="EA4" s="1011" t="s">
        <v>769</v>
      </c>
      <c r="EB4" s="1011" t="s">
        <v>23</v>
      </c>
      <c r="EC4" s="1011" t="s">
        <v>24</v>
      </c>
      <c r="ED4" s="1011" t="s">
        <v>25</v>
      </c>
      <c r="EE4" s="1011" t="s">
        <v>26</v>
      </c>
      <c r="EF4" s="1011" t="s">
        <v>27</v>
      </c>
      <c r="EG4" s="1011" t="s">
        <v>630</v>
      </c>
      <c r="EH4" s="1011" t="s">
        <v>556</v>
      </c>
      <c r="EI4" s="1011" t="s">
        <v>557</v>
      </c>
      <c r="EJ4" s="1011" t="s">
        <v>558</v>
      </c>
      <c r="EK4" s="1011" t="s">
        <v>559</v>
      </c>
      <c r="EL4" s="1011" t="s">
        <v>2930</v>
      </c>
      <c r="EM4" s="1011" t="s">
        <v>2931</v>
      </c>
      <c r="EN4" s="1011" t="s">
        <v>2932</v>
      </c>
      <c r="EO4" s="1011" t="s">
        <v>1928</v>
      </c>
      <c r="EP4" s="1011" t="s">
        <v>1929</v>
      </c>
      <c r="EQ4" s="1011" t="s">
        <v>28</v>
      </c>
      <c r="ER4" s="1011" t="s">
        <v>29</v>
      </c>
      <c r="ES4" s="1011" t="s">
        <v>30</v>
      </c>
      <c r="ET4" s="1011" t="s">
        <v>31</v>
      </c>
      <c r="EU4" s="1011"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1" t="s">
        <v>2227</v>
      </c>
      <c r="GP4" s="1011" t="s">
        <v>3312</v>
      </c>
      <c r="GQ4" s="1011" t="s">
        <v>3313</v>
      </c>
      <c r="GR4" s="1011" t="s">
        <v>420</v>
      </c>
      <c r="GS4" s="1011" t="s">
        <v>421</v>
      </c>
      <c r="GT4" s="1011" t="s">
        <v>422</v>
      </c>
      <c r="GU4" s="1011" t="s">
        <v>423</v>
      </c>
      <c r="GV4" s="1011" t="s">
        <v>424</v>
      </c>
      <c r="GW4" s="1011" t="s">
        <v>425</v>
      </c>
      <c r="GX4" s="1011" t="s">
        <v>426</v>
      </c>
      <c r="GY4" s="1011" t="s">
        <v>220</v>
      </c>
      <c r="GZ4" s="1011" t="s">
        <v>221</v>
      </c>
      <c r="HA4" s="1011" t="s">
        <v>222</v>
      </c>
      <c r="HB4" s="1011" t="s">
        <v>223</v>
      </c>
      <c r="HC4" s="1011" t="s">
        <v>224</v>
      </c>
      <c r="HD4" s="1011" t="s">
        <v>225</v>
      </c>
      <c r="HE4" s="1011" t="s">
        <v>226</v>
      </c>
      <c r="HF4" s="1011" t="s">
        <v>227</v>
      </c>
      <c r="HG4" s="1011" t="s">
        <v>228</v>
      </c>
      <c r="HH4" s="1011" t="s">
        <v>229</v>
      </c>
      <c r="HI4" s="1011" t="s">
        <v>230</v>
      </c>
      <c r="HJ4" s="1011" t="s">
        <v>231</v>
      </c>
      <c r="HK4" s="1011" t="s">
        <v>232</v>
      </c>
      <c r="HL4" s="1011" t="s">
        <v>233</v>
      </c>
      <c r="HM4" s="1011"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31" t="s">
        <v>4114</v>
      </c>
      <c r="N5" s="810" t="s">
        <v>749</v>
      </c>
      <c r="P5" s="803" t="s">
        <v>1439</v>
      </c>
      <c r="Q5" s="555"/>
      <c r="R5" s="555"/>
      <c r="S5" s="555"/>
      <c r="V5" s="1010"/>
      <c r="W5" s="1010"/>
      <c r="X5" s="1010"/>
      <c r="Y5" s="1010"/>
      <c r="Z5" s="1010"/>
      <c r="AA5" s="1010"/>
      <c r="AB5" s="1010"/>
      <c r="AC5" s="1010"/>
      <c r="AD5" s="1010"/>
      <c r="AE5" s="1010"/>
      <c r="AF5" s="1010"/>
      <c r="AG5" s="1010"/>
      <c r="AH5" s="1010"/>
      <c r="AI5" s="1010"/>
      <c r="AJ5" s="1010"/>
      <c r="AK5" s="1010"/>
      <c r="AL5" s="1010"/>
      <c r="AM5" s="1010"/>
      <c r="AN5" s="1010"/>
      <c r="AO5" s="1010"/>
      <c r="AP5" s="1010"/>
      <c r="AQ5" s="1010"/>
      <c r="AR5" s="1010"/>
      <c r="AS5" s="1010"/>
      <c r="AT5" s="1010"/>
      <c r="AU5" s="1010"/>
      <c r="AV5" s="1010"/>
      <c r="AW5" s="1010"/>
      <c r="AX5" s="1010"/>
      <c r="AY5" s="1010"/>
      <c r="AZ5" s="1010"/>
      <c r="BA5" s="1010"/>
      <c r="BB5" s="1010"/>
      <c r="BC5" s="1010"/>
      <c r="BD5" s="1010"/>
      <c r="BE5" s="1010"/>
      <c r="BF5" s="1010"/>
      <c r="BG5" s="1010"/>
      <c r="BH5" s="1010"/>
      <c r="BI5" s="1010"/>
      <c r="BJ5" s="1010"/>
      <c r="BK5" s="1010"/>
      <c r="BL5" s="1010"/>
      <c r="BM5" s="1010"/>
      <c r="BN5" s="1010"/>
      <c r="BO5" s="1010"/>
      <c r="BP5" s="1010"/>
      <c r="BQ5" s="1010"/>
      <c r="BR5" s="1010"/>
      <c r="BS5" s="1010"/>
      <c r="BT5" s="1010"/>
      <c r="BU5" s="1010"/>
      <c r="BV5" s="1010"/>
      <c r="BW5" s="1010"/>
      <c r="BX5" s="1010"/>
      <c r="BY5" s="1010"/>
      <c r="BZ5" s="1010"/>
      <c r="CA5" s="1010"/>
      <c r="CB5" s="1010"/>
      <c r="CC5" s="1010"/>
      <c r="CD5" s="1011"/>
      <c r="CE5" s="1011"/>
      <c r="CF5" s="1011"/>
      <c r="CG5" s="1011"/>
      <c r="CH5" s="1011"/>
      <c r="CI5" s="1011"/>
      <c r="CJ5" s="1011"/>
      <c r="CK5" s="1011"/>
      <c r="CL5" s="1011"/>
      <c r="CM5" s="1011"/>
      <c r="CN5" s="1011"/>
      <c r="CO5" s="1011"/>
      <c r="CP5" s="1011"/>
      <c r="CQ5" s="1011"/>
      <c r="CR5" s="1011"/>
      <c r="CS5" s="1011"/>
      <c r="CT5" s="1011"/>
      <c r="CU5" s="1011"/>
      <c r="CV5" s="1011"/>
      <c r="CW5" s="1011"/>
      <c r="CX5" s="1011"/>
      <c r="CY5" s="1011"/>
      <c r="CZ5" s="1011"/>
      <c r="DA5" s="1011"/>
      <c r="DB5" s="1011"/>
      <c r="DC5" s="1011"/>
      <c r="DD5" s="1011"/>
      <c r="DE5" s="1011"/>
      <c r="DF5" s="1011"/>
      <c r="DG5" s="1011"/>
      <c r="DH5" s="1011"/>
      <c r="DI5" s="1011"/>
      <c r="DJ5" s="1011"/>
      <c r="DK5" s="1011"/>
      <c r="DL5" s="1011"/>
      <c r="DM5" s="1011"/>
      <c r="DN5" s="1011"/>
      <c r="DO5" s="1011"/>
      <c r="DP5" s="1011"/>
      <c r="DQ5" s="1011"/>
      <c r="DR5" s="1011"/>
      <c r="DS5" s="1011"/>
      <c r="DT5" s="1011"/>
      <c r="DU5" s="1011"/>
      <c r="DV5" s="1011"/>
      <c r="DW5" s="1011"/>
      <c r="DX5" s="1011"/>
      <c r="DY5" s="1011"/>
      <c r="DZ5" s="1011"/>
      <c r="EA5" s="1011"/>
      <c r="EB5" s="1011"/>
      <c r="EC5" s="1011"/>
      <c r="ED5" s="1011"/>
      <c r="EE5" s="1011"/>
      <c r="EF5" s="1011"/>
      <c r="EG5" s="1011"/>
      <c r="EH5" s="1011"/>
      <c r="EI5" s="1011"/>
      <c r="EJ5" s="1011"/>
      <c r="EK5" s="1011"/>
      <c r="EL5" s="1011"/>
      <c r="EM5" s="1011"/>
      <c r="EN5" s="1011"/>
      <c r="EO5" s="1011"/>
      <c r="EP5" s="1011"/>
      <c r="EQ5" s="1011"/>
      <c r="ER5" s="1011"/>
      <c r="ES5" s="1011"/>
      <c r="ET5" s="1011"/>
      <c r="EU5" s="1011"/>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1"/>
      <c r="GP5" s="1011"/>
      <c r="GQ5" s="1011"/>
      <c r="GR5" s="1011"/>
      <c r="GS5" s="1011"/>
      <c r="GT5" s="1011"/>
      <c r="GU5" s="1011"/>
      <c r="GV5" s="1011"/>
      <c r="GW5" s="1011"/>
      <c r="GX5" s="1011"/>
      <c r="GY5" s="1011"/>
      <c r="GZ5" s="1011"/>
      <c r="HA5" s="1011"/>
      <c r="HB5" s="1011"/>
      <c r="HC5" s="1011"/>
      <c r="HD5" s="1011"/>
      <c r="HE5" s="1011"/>
      <c r="HF5" s="1011"/>
      <c r="HG5" s="1011"/>
      <c r="HH5" s="1011"/>
      <c r="HI5" s="1011"/>
      <c r="HJ5" s="1011"/>
      <c r="HK5" s="1011"/>
      <c r="HL5" s="1011"/>
      <c r="HM5" s="1011"/>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32" t="s">
        <v>4103</v>
      </c>
      <c r="J6" s="801" t="s">
        <v>3169</v>
      </c>
      <c r="N6" s="1029" t="str">
        <f>'Part I-Project Information'!$J$28</f>
        <v>Troup Co.</v>
      </c>
      <c r="O6" s="1029"/>
      <c r="P6" s="558">
        <f>VLOOKUP('Part I-Project Information'!$J$28,'DCA Underwriting Assumptions'!$C$81:$D$191,2)</f>
        <v>50200</v>
      </c>
      <c r="Q6" s="628"/>
      <c r="R6" s="1031" t="s">
        <v>3602</v>
      </c>
      <c r="S6" s="1031"/>
      <c r="V6" s="1010"/>
      <c r="W6" s="1010"/>
      <c r="X6" s="1010"/>
      <c r="Y6" s="1010"/>
      <c r="Z6" s="1010"/>
      <c r="AA6" s="1010"/>
      <c r="AB6" s="1010"/>
      <c r="AC6" s="1010"/>
      <c r="AD6" s="1010"/>
      <c r="AE6" s="1010"/>
      <c r="AF6" s="1010"/>
      <c r="AG6" s="1010"/>
      <c r="AH6" s="1010"/>
      <c r="AI6" s="1010"/>
      <c r="AJ6" s="1010"/>
      <c r="AK6" s="1010"/>
      <c r="AL6" s="1010"/>
      <c r="AM6" s="1010"/>
      <c r="AN6" s="1010"/>
      <c r="AO6" s="1010"/>
      <c r="AP6" s="1010"/>
      <c r="AQ6" s="1010"/>
      <c r="AR6" s="1010"/>
      <c r="AS6" s="1010"/>
      <c r="AT6" s="1010"/>
      <c r="AU6" s="1010"/>
      <c r="AV6" s="1010"/>
      <c r="AW6" s="1010"/>
      <c r="AX6" s="1010"/>
      <c r="AY6" s="1010"/>
      <c r="AZ6" s="1010"/>
      <c r="BA6" s="1010"/>
      <c r="BB6" s="1010"/>
      <c r="BC6" s="1010"/>
      <c r="BD6" s="1010"/>
      <c r="BE6" s="1010"/>
      <c r="BF6" s="1010"/>
      <c r="BG6" s="1010"/>
      <c r="BH6" s="1010"/>
      <c r="BI6" s="1010"/>
      <c r="BJ6" s="1010"/>
      <c r="BK6" s="1010"/>
      <c r="BL6" s="1010"/>
      <c r="BM6" s="1010"/>
      <c r="BN6" s="1010"/>
      <c r="BO6" s="1010"/>
      <c r="BP6" s="1010"/>
      <c r="BQ6" s="1010"/>
      <c r="BR6" s="1010"/>
      <c r="BS6" s="1010"/>
      <c r="BT6" s="1010"/>
      <c r="BU6" s="1010"/>
      <c r="BV6" s="1010"/>
      <c r="BW6" s="1010"/>
      <c r="BX6" s="1010"/>
      <c r="BY6" s="1010"/>
      <c r="BZ6" s="1010"/>
      <c r="CA6" s="1010"/>
      <c r="CB6" s="1010"/>
      <c r="CC6" s="1010"/>
      <c r="CD6" s="1011"/>
      <c r="CE6" s="1011"/>
      <c r="CF6" s="1011"/>
      <c r="CG6" s="1011"/>
      <c r="CH6" s="1011"/>
      <c r="CI6" s="1011"/>
      <c r="CJ6" s="1011"/>
      <c r="CK6" s="1011"/>
      <c r="CL6" s="1011"/>
      <c r="CM6" s="1011"/>
      <c r="CN6" s="1011"/>
      <c r="CO6" s="1011"/>
      <c r="CP6" s="1011"/>
      <c r="CQ6" s="1011"/>
      <c r="CR6" s="1011"/>
      <c r="CS6" s="1011"/>
      <c r="CT6" s="1011"/>
      <c r="CU6" s="1011"/>
      <c r="CV6" s="1011"/>
      <c r="CW6" s="1011"/>
      <c r="CX6" s="1011"/>
      <c r="CY6" s="1011"/>
      <c r="CZ6" s="1011"/>
      <c r="DA6" s="1011"/>
      <c r="DB6" s="1011"/>
      <c r="DC6" s="1011"/>
      <c r="DD6" s="1011"/>
      <c r="DE6" s="1011"/>
      <c r="DF6" s="1011"/>
      <c r="DG6" s="1011"/>
      <c r="DH6" s="1011"/>
      <c r="DI6" s="1011"/>
      <c r="DJ6" s="1011"/>
      <c r="DK6" s="1011"/>
      <c r="DL6" s="1011"/>
      <c r="DM6" s="1011"/>
      <c r="DN6" s="1011"/>
      <c r="DO6" s="1011"/>
      <c r="DP6" s="1011"/>
      <c r="DQ6" s="1011"/>
      <c r="DR6" s="1011"/>
      <c r="DS6" s="1011"/>
      <c r="DT6" s="1011"/>
      <c r="DU6" s="1011"/>
      <c r="DV6" s="1011"/>
      <c r="DW6" s="1011"/>
      <c r="DX6" s="1011"/>
      <c r="DY6" s="1011"/>
      <c r="DZ6" s="1011"/>
      <c r="EA6" s="1011"/>
      <c r="EB6" s="1011"/>
      <c r="EC6" s="1011"/>
      <c r="ED6" s="1011"/>
      <c r="EE6" s="1011"/>
      <c r="EF6" s="1011"/>
      <c r="EG6" s="1011"/>
      <c r="EH6" s="1011"/>
      <c r="EI6" s="1011"/>
      <c r="EJ6" s="1011"/>
      <c r="EK6" s="1011"/>
      <c r="EL6" s="1011"/>
      <c r="EM6" s="1011"/>
      <c r="EN6" s="1011"/>
      <c r="EO6" s="1011"/>
      <c r="EP6" s="1011"/>
      <c r="EQ6" s="1011"/>
      <c r="ER6" s="1011"/>
      <c r="ES6" s="1011"/>
      <c r="ET6" s="1011"/>
      <c r="EU6" s="1011"/>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1"/>
      <c r="GP6" s="1011"/>
      <c r="GQ6" s="1011"/>
      <c r="GR6" s="1011"/>
      <c r="GS6" s="1011"/>
      <c r="GT6" s="1011"/>
      <c r="GU6" s="1011"/>
      <c r="GV6" s="1011"/>
      <c r="GW6" s="1011"/>
      <c r="GX6" s="1011"/>
      <c r="GY6" s="1011"/>
      <c r="GZ6" s="1011"/>
      <c r="HA6" s="1011"/>
      <c r="HB6" s="1011"/>
      <c r="HC6" s="1011"/>
      <c r="HD6" s="1011"/>
      <c r="HE6" s="1011"/>
      <c r="HF6" s="1011"/>
      <c r="HG6" s="1011"/>
      <c r="HH6" s="1011"/>
      <c r="HI6" s="1011"/>
      <c r="HJ6" s="1011"/>
      <c r="HK6" s="1011"/>
      <c r="HL6" s="1011"/>
      <c r="HM6" s="1011"/>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28" t="str">
        <f>IF(A48&gt;0,"Finish!","")</f>
        <v/>
      </c>
      <c r="B7" s="5"/>
      <c r="C7" s="1"/>
      <c r="D7" s="5"/>
      <c r="E7" s="1"/>
      <c r="F7" s="1"/>
      <c r="G7" s="1"/>
      <c r="H7" s="1"/>
      <c r="I7" s="1"/>
      <c r="J7" s="801" t="s">
        <v>3170</v>
      </c>
      <c r="K7" s="1"/>
      <c r="L7" s="1"/>
      <c r="M7" s="1"/>
      <c r="N7" s="37"/>
      <c r="O7" s="37"/>
      <c r="P7" s="664"/>
      <c r="Q7" s="664"/>
      <c r="R7" s="665"/>
      <c r="S7" s="666" t="s">
        <v>3599</v>
      </c>
      <c r="T7" s="554"/>
      <c r="U7" s="555"/>
      <c r="V7" s="1010"/>
      <c r="W7" s="1010"/>
      <c r="X7" s="1010"/>
      <c r="Y7" s="1010"/>
      <c r="Z7" s="1010"/>
      <c r="AA7" s="1010"/>
      <c r="AB7" s="1010"/>
      <c r="AC7" s="1010"/>
      <c r="AD7" s="1010"/>
      <c r="AE7" s="1010"/>
      <c r="AF7" s="1010"/>
      <c r="AG7" s="1010"/>
      <c r="AH7" s="1010"/>
      <c r="AI7" s="1010"/>
      <c r="AJ7" s="1010"/>
      <c r="AK7" s="1010"/>
      <c r="AL7" s="1010"/>
      <c r="AM7" s="1010"/>
      <c r="AN7" s="1010"/>
      <c r="AO7" s="1010"/>
      <c r="AP7" s="1010"/>
      <c r="AQ7" s="1010"/>
      <c r="AR7" s="1010"/>
      <c r="AS7" s="1010"/>
      <c r="AT7" s="1010"/>
      <c r="AU7" s="1010"/>
      <c r="AV7" s="1010"/>
      <c r="AW7" s="1010"/>
      <c r="AX7" s="1010"/>
      <c r="AY7" s="1010"/>
      <c r="AZ7" s="1010"/>
      <c r="BA7" s="1010"/>
      <c r="BB7" s="1010"/>
      <c r="BC7" s="1010"/>
      <c r="BD7" s="1010"/>
      <c r="BE7" s="1010"/>
      <c r="BF7" s="1010"/>
      <c r="BG7" s="1010"/>
      <c r="BH7" s="1010"/>
      <c r="BI7" s="1010"/>
      <c r="BJ7" s="1010"/>
      <c r="BK7" s="1010"/>
      <c r="BL7" s="1010"/>
      <c r="BM7" s="1010"/>
      <c r="BN7" s="1010"/>
      <c r="BO7" s="1010"/>
      <c r="BP7" s="1010"/>
      <c r="BQ7" s="1010"/>
      <c r="BR7" s="1010"/>
      <c r="BS7" s="1010"/>
      <c r="BT7" s="1010"/>
      <c r="BU7" s="1010"/>
      <c r="BV7" s="1010"/>
      <c r="BW7" s="1010"/>
      <c r="BX7" s="1010"/>
      <c r="BY7" s="1010"/>
      <c r="BZ7" s="1010"/>
      <c r="CA7" s="1010"/>
      <c r="CB7" s="1010"/>
      <c r="CC7" s="1010"/>
      <c r="CD7" s="1011"/>
      <c r="CE7" s="1011"/>
      <c r="CF7" s="1011"/>
      <c r="CG7" s="1011"/>
      <c r="CH7" s="1011"/>
      <c r="CI7" s="1011"/>
      <c r="CJ7" s="1011"/>
      <c r="CK7" s="1011"/>
      <c r="CL7" s="1011"/>
      <c r="CM7" s="1011"/>
      <c r="CN7" s="1011"/>
      <c r="CO7" s="1011"/>
      <c r="CP7" s="1011"/>
      <c r="CQ7" s="1011"/>
      <c r="CR7" s="1011"/>
      <c r="CS7" s="1011"/>
      <c r="CT7" s="1011"/>
      <c r="CU7" s="1011"/>
      <c r="CV7" s="1011"/>
      <c r="CW7" s="1011"/>
      <c r="CX7" s="1011"/>
      <c r="CY7" s="1011"/>
      <c r="CZ7" s="1011"/>
      <c r="DA7" s="1011"/>
      <c r="DB7" s="1011"/>
      <c r="DC7" s="1011"/>
      <c r="DD7" s="1011"/>
      <c r="DE7" s="1011"/>
      <c r="DF7" s="1011"/>
      <c r="DG7" s="1011"/>
      <c r="DH7" s="1011"/>
      <c r="DI7" s="1011"/>
      <c r="DJ7" s="1011"/>
      <c r="DK7" s="1011"/>
      <c r="DL7" s="1011"/>
      <c r="DM7" s="1011"/>
      <c r="DN7" s="1011"/>
      <c r="DO7" s="1011"/>
      <c r="DP7" s="1011"/>
      <c r="DQ7" s="1011"/>
      <c r="DR7" s="1011"/>
      <c r="DS7" s="1011"/>
      <c r="DT7" s="1011"/>
      <c r="DU7" s="1011"/>
      <c r="DV7" s="1011"/>
      <c r="DW7" s="1011"/>
      <c r="DX7" s="1011"/>
      <c r="DY7" s="1011"/>
      <c r="DZ7" s="1011"/>
      <c r="EA7" s="1011"/>
      <c r="EB7" s="1011"/>
      <c r="EC7" s="1011"/>
      <c r="ED7" s="1011"/>
      <c r="EE7" s="1011"/>
      <c r="EF7" s="1011"/>
      <c r="EG7" s="1011"/>
      <c r="EH7" s="1011"/>
      <c r="EI7" s="1011"/>
      <c r="EJ7" s="1011"/>
      <c r="EK7" s="1011"/>
      <c r="EL7" s="1011"/>
      <c r="EM7" s="1011"/>
      <c r="EN7" s="1011"/>
      <c r="EO7" s="1011"/>
      <c r="EP7" s="1011"/>
      <c r="EQ7" s="1011"/>
      <c r="ER7" s="1011"/>
      <c r="ES7" s="1011"/>
      <c r="ET7" s="1011"/>
      <c r="EU7" s="1011"/>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1"/>
      <c r="GP7" s="1011"/>
      <c r="GQ7" s="1011"/>
      <c r="GR7" s="1011"/>
      <c r="GS7" s="1011"/>
      <c r="GT7" s="1011"/>
      <c r="GU7" s="1011"/>
      <c r="GV7" s="1011"/>
      <c r="GW7" s="1011"/>
      <c r="GX7" s="1011"/>
      <c r="GY7" s="1011"/>
      <c r="GZ7" s="1011"/>
      <c r="HA7" s="1011"/>
      <c r="HB7" s="1011"/>
      <c r="HC7" s="1011"/>
      <c r="HD7" s="1011"/>
      <c r="HE7" s="1011"/>
      <c r="HF7" s="1011"/>
      <c r="HG7" s="1011"/>
      <c r="HH7" s="1011"/>
      <c r="HI7" s="1011"/>
      <c r="HJ7" s="1011"/>
      <c r="HK7" s="1011"/>
      <c r="HL7" s="1011"/>
      <c r="HM7" s="1011"/>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28"/>
      <c r="B8" s="198" t="s">
        <v>1927</v>
      </c>
      <c r="C8" s="801" t="s">
        <v>188</v>
      </c>
      <c r="D8" s="801" t="s">
        <v>712</v>
      </c>
      <c r="E8" s="801" t="s">
        <v>1925</v>
      </c>
      <c r="F8" s="801" t="s">
        <v>1925</v>
      </c>
      <c r="G8" s="801" t="s">
        <v>3146</v>
      </c>
      <c r="H8" s="801" t="s">
        <v>3144</v>
      </c>
      <c r="I8" s="801" t="s">
        <v>1191</v>
      </c>
      <c r="J8" s="801" t="s">
        <v>3171</v>
      </c>
      <c r="K8" s="1027" t="s">
        <v>152</v>
      </c>
      <c r="L8" s="1027"/>
      <c r="M8" s="801" t="s">
        <v>3122</v>
      </c>
      <c r="N8" s="801" t="s">
        <v>699</v>
      </c>
      <c r="O8" s="801" t="s">
        <v>417</v>
      </c>
      <c r="P8" s="1030" t="s">
        <v>1446</v>
      </c>
      <c r="Q8" s="1030"/>
      <c r="R8" s="802" t="s">
        <v>3598</v>
      </c>
      <c r="S8" s="802" t="s">
        <v>3600</v>
      </c>
      <c r="T8" s="556"/>
      <c r="U8" s="557"/>
      <c r="V8" s="1010"/>
      <c r="W8" s="1010"/>
      <c r="X8" s="1010"/>
      <c r="Y8" s="1010"/>
      <c r="Z8" s="1010"/>
      <c r="AA8" s="1010"/>
      <c r="AB8" s="1010"/>
      <c r="AC8" s="1010"/>
      <c r="AD8" s="1010"/>
      <c r="AE8" s="1010"/>
      <c r="AF8" s="1010"/>
      <c r="AG8" s="1010"/>
      <c r="AH8" s="1010"/>
      <c r="AI8" s="1010"/>
      <c r="AJ8" s="1010"/>
      <c r="AK8" s="1010"/>
      <c r="AL8" s="1010"/>
      <c r="AM8" s="1010"/>
      <c r="AN8" s="1010"/>
      <c r="AO8" s="1010"/>
      <c r="AP8" s="1010"/>
      <c r="AQ8" s="1010"/>
      <c r="AR8" s="1010"/>
      <c r="AS8" s="1010"/>
      <c r="AT8" s="1010"/>
      <c r="AU8" s="1010"/>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c r="BT8" s="1010"/>
      <c r="BU8" s="1010"/>
      <c r="BV8" s="1010"/>
      <c r="BW8" s="1010"/>
      <c r="BX8" s="1010"/>
      <c r="BY8" s="1010"/>
      <c r="BZ8" s="1010"/>
      <c r="CA8" s="1010"/>
      <c r="CB8" s="1010"/>
      <c r="CC8" s="1010"/>
      <c r="CD8" s="1011"/>
      <c r="CE8" s="1011"/>
      <c r="CF8" s="1011"/>
      <c r="CG8" s="1011"/>
      <c r="CH8" s="1011"/>
      <c r="CI8" s="1011"/>
      <c r="CJ8" s="1011"/>
      <c r="CK8" s="1011"/>
      <c r="CL8" s="1011"/>
      <c r="CM8" s="1011"/>
      <c r="CN8" s="1011"/>
      <c r="CO8" s="1011"/>
      <c r="CP8" s="1011"/>
      <c r="CQ8" s="1011"/>
      <c r="CR8" s="1011"/>
      <c r="CS8" s="1011"/>
      <c r="CT8" s="1011"/>
      <c r="CU8" s="1011"/>
      <c r="CV8" s="1011"/>
      <c r="CW8" s="1011"/>
      <c r="CX8" s="1011"/>
      <c r="CY8" s="1011"/>
      <c r="CZ8" s="1011"/>
      <c r="DA8" s="1011"/>
      <c r="DB8" s="1011"/>
      <c r="DC8" s="1011"/>
      <c r="DD8" s="1011"/>
      <c r="DE8" s="1011"/>
      <c r="DF8" s="1011"/>
      <c r="DG8" s="1011"/>
      <c r="DH8" s="1011"/>
      <c r="DI8" s="1011"/>
      <c r="DJ8" s="1011"/>
      <c r="DK8" s="1011"/>
      <c r="DL8" s="1011"/>
      <c r="DM8" s="1011"/>
      <c r="DN8" s="1011"/>
      <c r="DO8" s="1011"/>
      <c r="DP8" s="1011"/>
      <c r="DQ8" s="1011"/>
      <c r="DR8" s="1011"/>
      <c r="DS8" s="1011"/>
      <c r="DT8" s="1011"/>
      <c r="DU8" s="1011"/>
      <c r="DV8" s="1011"/>
      <c r="DW8" s="1011"/>
      <c r="DX8" s="1011"/>
      <c r="DY8" s="1011"/>
      <c r="DZ8" s="1011"/>
      <c r="EA8" s="1011"/>
      <c r="EB8" s="1011"/>
      <c r="EC8" s="1011"/>
      <c r="ED8" s="1011"/>
      <c r="EE8" s="1011"/>
      <c r="EF8" s="1011"/>
      <c r="EG8" s="1011"/>
      <c r="EH8" s="1011"/>
      <c r="EI8" s="1011"/>
      <c r="EJ8" s="1011"/>
      <c r="EK8" s="1011"/>
      <c r="EL8" s="1011"/>
      <c r="EM8" s="1011"/>
      <c r="EN8" s="1011"/>
      <c r="EO8" s="1011"/>
      <c r="EP8" s="1011"/>
      <c r="EQ8" s="1011"/>
      <c r="ER8" s="1011"/>
      <c r="ES8" s="1011"/>
      <c r="ET8" s="1011"/>
      <c r="EU8" s="1011"/>
      <c r="EV8" s="1011" t="s">
        <v>1908</v>
      </c>
      <c r="EW8" s="635" t="s">
        <v>3207</v>
      </c>
      <c r="EX8" s="635" t="s">
        <v>3208</v>
      </c>
      <c r="EY8" s="635" t="s">
        <v>3209</v>
      </c>
      <c r="EZ8" s="635" t="s">
        <v>3210</v>
      </c>
      <c r="FA8" s="1011" t="s">
        <v>3279</v>
      </c>
      <c r="FB8" s="1011" t="s">
        <v>3279</v>
      </c>
      <c r="FC8" s="1011" t="s">
        <v>3279</v>
      </c>
      <c r="FD8" s="1011" t="s">
        <v>3279</v>
      </c>
      <c r="FE8" s="1011" t="s">
        <v>3279</v>
      </c>
      <c r="FF8" s="635" t="s">
        <v>619</v>
      </c>
      <c r="FG8" s="635" t="s">
        <v>3207</v>
      </c>
      <c r="FH8" s="635" t="s">
        <v>3208</v>
      </c>
      <c r="FI8" s="635" t="s">
        <v>3209</v>
      </c>
      <c r="FJ8" s="635" t="s">
        <v>3210</v>
      </c>
      <c r="FK8" s="1011" t="s">
        <v>3281</v>
      </c>
      <c r="FL8" s="1011" t="s">
        <v>3281</v>
      </c>
      <c r="FM8" s="1011" t="s">
        <v>3281</v>
      </c>
      <c r="FN8" s="1011" t="s">
        <v>3281</v>
      </c>
      <c r="FO8" s="1011" t="s">
        <v>3281</v>
      </c>
      <c r="FP8" s="1011" t="s">
        <v>392</v>
      </c>
      <c r="FQ8" s="1011" t="s">
        <v>392</v>
      </c>
      <c r="FR8" s="1011" t="s">
        <v>392</v>
      </c>
      <c r="FS8" s="1011" t="s">
        <v>392</v>
      </c>
      <c r="FT8" s="1011" t="s">
        <v>392</v>
      </c>
      <c r="FU8" s="1011" t="s">
        <v>393</v>
      </c>
      <c r="FV8" s="1011" t="s">
        <v>393</v>
      </c>
      <c r="FW8" s="1011" t="s">
        <v>393</v>
      </c>
      <c r="FX8" s="1011" t="s">
        <v>393</v>
      </c>
      <c r="FY8" s="1011" t="s">
        <v>393</v>
      </c>
      <c r="FZ8" s="1011" t="s">
        <v>394</v>
      </c>
      <c r="GA8" s="1011" t="s">
        <v>394</v>
      </c>
      <c r="GB8" s="1011" t="s">
        <v>394</v>
      </c>
      <c r="GC8" s="1011" t="s">
        <v>394</v>
      </c>
      <c r="GD8" s="1011" t="s">
        <v>394</v>
      </c>
      <c r="GE8" s="1011" t="s">
        <v>395</v>
      </c>
      <c r="GF8" s="1011" t="s">
        <v>395</v>
      </c>
      <c r="GG8" s="1011" t="s">
        <v>395</v>
      </c>
      <c r="GH8" s="1011" t="s">
        <v>395</v>
      </c>
      <c r="GI8" s="1011" t="s">
        <v>395</v>
      </c>
      <c r="GJ8" s="1011" t="s">
        <v>1907</v>
      </c>
      <c r="GK8" s="1011" t="s">
        <v>1907</v>
      </c>
      <c r="GL8" s="1011" t="s">
        <v>1907</v>
      </c>
      <c r="GM8" s="1011" t="s">
        <v>1907</v>
      </c>
      <c r="GN8" s="1011" t="s">
        <v>1907</v>
      </c>
      <c r="GO8" s="1011"/>
      <c r="GP8" s="1011"/>
      <c r="GQ8" s="1011"/>
      <c r="GR8" s="1011"/>
      <c r="GS8" s="1011"/>
      <c r="GT8" s="1011"/>
      <c r="GU8" s="1011"/>
      <c r="GV8" s="1011"/>
      <c r="GW8" s="1011"/>
      <c r="GX8" s="1011"/>
      <c r="GY8" s="1011"/>
      <c r="GZ8" s="1011"/>
      <c r="HA8" s="1011"/>
      <c r="HB8" s="1011"/>
      <c r="HC8" s="1011"/>
      <c r="HD8" s="1011"/>
      <c r="HE8" s="1011"/>
      <c r="HF8" s="1011"/>
      <c r="HG8" s="1011"/>
      <c r="HH8" s="1011"/>
      <c r="HI8" s="1011"/>
      <c r="HJ8" s="1011"/>
      <c r="HK8" s="1011"/>
      <c r="HL8" s="1011"/>
      <c r="HM8" s="1011"/>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28"/>
      <c r="B9" s="198" t="s">
        <v>1730</v>
      </c>
      <c r="C9" s="801" t="s">
        <v>187</v>
      </c>
      <c r="D9" s="801" t="s">
        <v>189</v>
      </c>
      <c r="E9" s="801" t="s">
        <v>1926</v>
      </c>
      <c r="F9" s="801" t="s">
        <v>1704</v>
      </c>
      <c r="G9" s="801" t="s">
        <v>1705</v>
      </c>
      <c r="H9" s="801" t="s">
        <v>3145</v>
      </c>
      <c r="I9" s="801" t="s">
        <v>1192</v>
      </c>
      <c r="J9" s="625" t="s">
        <v>383</v>
      </c>
      <c r="K9" s="801" t="s">
        <v>1987</v>
      </c>
      <c r="L9" s="801" t="s">
        <v>706</v>
      </c>
      <c r="M9" s="801" t="s">
        <v>1925</v>
      </c>
      <c r="N9" s="801" t="s">
        <v>1730</v>
      </c>
      <c r="O9" s="801" t="s">
        <v>418</v>
      </c>
      <c r="P9" s="802" t="s">
        <v>1444</v>
      </c>
      <c r="Q9" s="802" t="s">
        <v>1445</v>
      </c>
      <c r="R9" s="802" t="s">
        <v>1927</v>
      </c>
      <c r="S9" s="802" t="s">
        <v>3601</v>
      </c>
      <c r="T9" s="905" t="s">
        <v>2549</v>
      </c>
      <c r="U9" s="905"/>
      <c r="V9" s="1010"/>
      <c r="W9" s="1010"/>
      <c r="X9" s="1010"/>
      <c r="Y9" s="1010"/>
      <c r="Z9" s="1010"/>
      <c r="AA9" s="1010"/>
      <c r="AB9" s="1010"/>
      <c r="AC9" s="1010"/>
      <c r="AD9" s="1010"/>
      <c r="AE9" s="1010"/>
      <c r="AF9" s="1010"/>
      <c r="AG9" s="1010"/>
      <c r="AH9" s="1010"/>
      <c r="AI9" s="1010"/>
      <c r="AJ9" s="1010"/>
      <c r="AK9" s="1010"/>
      <c r="AL9" s="1010"/>
      <c r="AM9" s="1010"/>
      <c r="AN9" s="1010"/>
      <c r="AO9" s="1010"/>
      <c r="AP9" s="1010"/>
      <c r="AQ9" s="1010"/>
      <c r="AR9" s="1010"/>
      <c r="AS9" s="1010"/>
      <c r="AT9" s="1010"/>
      <c r="AU9" s="1010"/>
      <c r="AV9" s="1010"/>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0"/>
      <c r="BS9" s="1010"/>
      <c r="BT9" s="1010"/>
      <c r="BU9" s="1010"/>
      <c r="BV9" s="1010"/>
      <c r="BW9" s="1010"/>
      <c r="BX9" s="1010"/>
      <c r="BY9" s="1010"/>
      <c r="BZ9" s="1010"/>
      <c r="CA9" s="1010"/>
      <c r="CB9" s="1010"/>
      <c r="CC9" s="1010"/>
      <c r="CD9" s="1011"/>
      <c r="CE9" s="1011"/>
      <c r="CF9" s="1011"/>
      <c r="CG9" s="1011"/>
      <c r="CH9" s="1011"/>
      <c r="CI9" s="1011"/>
      <c r="CJ9" s="1011"/>
      <c r="CK9" s="1011"/>
      <c r="CL9" s="1011"/>
      <c r="CM9" s="1011"/>
      <c r="CN9" s="1011"/>
      <c r="CO9" s="1011"/>
      <c r="CP9" s="1011"/>
      <c r="CQ9" s="1011"/>
      <c r="CR9" s="1011"/>
      <c r="CS9" s="1011"/>
      <c r="CT9" s="1011"/>
      <c r="CU9" s="1011"/>
      <c r="CV9" s="1011"/>
      <c r="CW9" s="1011"/>
      <c r="CX9" s="1011"/>
      <c r="CY9" s="1011"/>
      <c r="CZ9" s="1011"/>
      <c r="DA9" s="1011"/>
      <c r="DB9" s="1011"/>
      <c r="DC9" s="1011"/>
      <c r="DD9" s="1011"/>
      <c r="DE9" s="1011"/>
      <c r="DF9" s="1011"/>
      <c r="DG9" s="1011"/>
      <c r="DH9" s="1011"/>
      <c r="DI9" s="1011"/>
      <c r="DJ9" s="1011"/>
      <c r="DK9" s="1011"/>
      <c r="DL9" s="1011"/>
      <c r="DM9" s="1011"/>
      <c r="DN9" s="1011"/>
      <c r="DO9" s="1011"/>
      <c r="DP9" s="1011"/>
      <c r="DQ9" s="1011"/>
      <c r="DR9" s="1011"/>
      <c r="DS9" s="1011"/>
      <c r="DT9" s="1011"/>
      <c r="DU9" s="1011"/>
      <c r="DV9" s="1011"/>
      <c r="DW9" s="1011"/>
      <c r="DX9" s="1011"/>
      <c r="DY9" s="1011"/>
      <c r="DZ9" s="1011"/>
      <c r="EA9" s="1011"/>
      <c r="EB9" s="1011"/>
      <c r="EC9" s="1011"/>
      <c r="ED9" s="1011"/>
      <c r="EE9" s="1011"/>
      <c r="EF9" s="1011"/>
      <c r="EG9" s="1011"/>
      <c r="EH9" s="1011"/>
      <c r="EI9" s="1011"/>
      <c r="EJ9" s="1011"/>
      <c r="EK9" s="1011"/>
      <c r="EL9" s="1011"/>
      <c r="EM9" s="1011"/>
      <c r="EN9" s="1011"/>
      <c r="EO9" s="1011"/>
      <c r="EP9" s="1011"/>
      <c r="EQ9" s="1011"/>
      <c r="ER9" s="1011"/>
      <c r="ES9" s="1011"/>
      <c r="ET9" s="1011"/>
      <c r="EU9" s="1011"/>
      <c r="EV9" s="1011"/>
      <c r="EW9" s="635" t="s">
        <v>3278</v>
      </c>
      <c r="EX9" s="635" t="s">
        <v>3278</v>
      </c>
      <c r="EY9" s="635" t="s">
        <v>3278</v>
      </c>
      <c r="EZ9" s="635" t="s">
        <v>3278</v>
      </c>
      <c r="FA9" s="1011"/>
      <c r="FB9" s="1011"/>
      <c r="FC9" s="1011"/>
      <c r="FD9" s="1011"/>
      <c r="FE9" s="1011"/>
      <c r="FF9" s="635" t="s">
        <v>3280</v>
      </c>
      <c r="FG9" s="635" t="s">
        <v>3280</v>
      </c>
      <c r="FH9" s="635" t="s">
        <v>3280</v>
      </c>
      <c r="FI9" s="635" t="s">
        <v>3280</v>
      </c>
      <c r="FJ9" s="635" t="s">
        <v>3280</v>
      </c>
      <c r="FK9" s="1011"/>
      <c r="FL9" s="1011"/>
      <c r="FM9" s="1011"/>
      <c r="FN9" s="1011"/>
      <c r="FO9" s="1011"/>
      <c r="FP9" s="1011"/>
      <c r="FQ9" s="1011"/>
      <c r="FR9" s="1011"/>
      <c r="FS9" s="1011"/>
      <c r="FT9" s="1011"/>
      <c r="FU9" s="1011"/>
      <c r="FV9" s="1011"/>
      <c r="FW9" s="1011"/>
      <c r="FX9" s="1011"/>
      <c r="FY9" s="1011"/>
      <c r="FZ9" s="1011"/>
      <c r="GA9" s="1011"/>
      <c r="GB9" s="1011"/>
      <c r="GC9" s="1011"/>
      <c r="GD9" s="1011"/>
      <c r="GE9" s="1011"/>
      <c r="GF9" s="1011"/>
      <c r="GG9" s="1011"/>
      <c r="GH9" s="1011"/>
      <c r="GI9" s="1011"/>
      <c r="GJ9" s="1011"/>
      <c r="GK9" s="1011"/>
      <c r="GL9" s="1011"/>
      <c r="GM9" s="1011"/>
      <c r="GN9" s="1011"/>
      <c r="GO9" s="1011"/>
      <c r="GP9" s="1011"/>
      <c r="GQ9" s="1011"/>
      <c r="GR9" s="1011"/>
      <c r="GS9" s="1011"/>
      <c r="GT9" s="1011"/>
      <c r="GU9" s="1011"/>
      <c r="GV9" s="1011"/>
      <c r="GW9" s="1011"/>
      <c r="GX9" s="1011"/>
      <c r="GY9" s="1011"/>
      <c r="GZ9" s="1011"/>
      <c r="HA9" s="1011"/>
      <c r="HB9" s="1011"/>
      <c r="HC9" s="1011"/>
      <c r="HD9" s="1011"/>
      <c r="HE9" s="1011"/>
      <c r="HF9" s="1011"/>
      <c r="HG9" s="1011"/>
      <c r="HH9" s="1011"/>
      <c r="HI9" s="1011"/>
      <c r="HJ9" s="1011"/>
      <c r="HK9" s="1011"/>
      <c r="HL9" s="1011"/>
      <c r="HM9" s="1011"/>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3" t="s">
        <v>124</v>
      </c>
      <c r="C10" s="1534">
        <v>1</v>
      </c>
      <c r="D10" s="1535">
        <v>1</v>
      </c>
      <c r="E10" s="1536">
        <v>4</v>
      </c>
      <c r="F10" s="1536">
        <v>874</v>
      </c>
      <c r="G10" s="1536">
        <v>476</v>
      </c>
      <c r="H10" s="1536">
        <v>464</v>
      </c>
      <c r="I10" s="1536">
        <v>164</v>
      </c>
      <c r="J10" s="1537"/>
      <c r="K10" s="204">
        <f>MAX(0,H10-I10)</f>
        <v>300</v>
      </c>
      <c r="L10" s="204">
        <f t="shared" ref="L10:L47" si="0">MAX(0,E10*K10)</f>
        <v>1200</v>
      </c>
      <c r="M10" s="1538" t="s">
        <v>4103</v>
      </c>
      <c r="N10" s="1538" t="s">
        <v>4113</v>
      </c>
      <c r="O10" s="1538" t="s">
        <v>3024</v>
      </c>
      <c r="P10" s="559">
        <f>IF(H10="","",H10*12/0.3)</f>
        <v>18560</v>
      </c>
      <c r="Q10" s="560">
        <f>IF(H10="","",P10/($P$6*VLOOKUP(C10,'DCA Underwriting Assumptions'!$J$81:$K$86,2,FALSE)))</f>
        <v>0.49296148738379814</v>
      </c>
      <c r="R10" s="667"/>
      <c r="S10" s="560"/>
      <c r="T10" s="1481"/>
      <c r="U10" s="1482"/>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4</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3496</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4</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4</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f t="shared" ref="GF10:GF47" si="137">IF(AND($C10=1, $N10="2-Story Walkup"),$E10,"")</f>
        <v>4</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39" t="s">
        <v>124</v>
      </c>
      <c r="C11" s="1540">
        <v>2</v>
      </c>
      <c r="D11" s="1541">
        <v>1</v>
      </c>
      <c r="E11" s="1542">
        <v>4</v>
      </c>
      <c r="F11" s="1542">
        <v>1192</v>
      </c>
      <c r="G11" s="1542">
        <v>572</v>
      </c>
      <c r="H11" s="1542">
        <v>558</v>
      </c>
      <c r="I11" s="1542">
        <v>208</v>
      </c>
      <c r="J11" s="1543"/>
      <c r="K11" s="205">
        <f t="shared" ref="K11:K27" si="172">MAX(0,H11-I11)</f>
        <v>350</v>
      </c>
      <c r="L11" s="205">
        <f t="shared" si="0"/>
        <v>1400</v>
      </c>
      <c r="M11" s="1544" t="s">
        <v>4103</v>
      </c>
      <c r="N11" s="1544" t="s">
        <v>4113</v>
      </c>
      <c r="O11" s="1544" t="s">
        <v>3024</v>
      </c>
      <c r="P11" s="559">
        <f>IF(H11="","",H11*12/0.3)</f>
        <v>22320</v>
      </c>
      <c r="Q11" s="560">
        <f>IF(H11="","",P11/($P$6*VLOOKUP(C11,'DCA Underwriting Assumptions'!$J$81:$K$86,2,FALSE)))</f>
        <v>0.49402390438247012</v>
      </c>
      <c r="R11" s="667"/>
      <c r="S11" s="560"/>
      <c r="T11" s="1483"/>
      <c r="U11" s="1484"/>
      <c r="V11" s="624" t="str">
        <f t="shared" si="1"/>
        <v/>
      </c>
      <c r="W11" s="624" t="str">
        <f t="shared" si="2"/>
        <v/>
      </c>
      <c r="X11" s="624" t="str">
        <f t="shared" si="3"/>
        <v/>
      </c>
      <c r="Y11" s="624" t="str">
        <f t="shared" si="4"/>
        <v/>
      </c>
      <c r="Z11" s="624" t="str">
        <f t="shared" si="5"/>
        <v/>
      </c>
      <c r="AA11" s="624" t="str">
        <f t="shared" si="6"/>
        <v/>
      </c>
      <c r="AB11" s="624" t="str">
        <f t="shared" si="7"/>
        <v/>
      </c>
      <c r="AC11" s="624">
        <f t="shared" si="8"/>
        <v>4</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4768</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4</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4</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f t="shared" si="138"/>
        <v>4</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39" t="s">
        <v>124</v>
      </c>
      <c r="C12" s="1540">
        <v>3</v>
      </c>
      <c r="D12" s="1541">
        <v>2</v>
      </c>
      <c r="E12" s="1542">
        <v>8</v>
      </c>
      <c r="F12" s="1542">
        <v>1353</v>
      </c>
      <c r="G12" s="1542">
        <v>662</v>
      </c>
      <c r="H12" s="1542">
        <v>649</v>
      </c>
      <c r="I12" s="1542">
        <v>259</v>
      </c>
      <c r="J12" s="1543"/>
      <c r="K12" s="205">
        <f t="shared" si="172"/>
        <v>390</v>
      </c>
      <c r="L12" s="205">
        <f t="shared" si="0"/>
        <v>3120</v>
      </c>
      <c r="M12" s="1544" t="s">
        <v>4103</v>
      </c>
      <c r="N12" s="1544" t="s">
        <v>4113</v>
      </c>
      <c r="O12" s="1544" t="s">
        <v>3024</v>
      </c>
      <c r="P12" s="559">
        <f>IF(H12="","",H12*12/0.3)</f>
        <v>25960</v>
      </c>
      <c r="Q12" s="560">
        <f>IF(H12="","",P12/($P$6*VLOOKUP(C12,'DCA Underwriting Assumptions'!$J$81:$K$86,2,FALSE)))</f>
        <v>0.49724180202267854</v>
      </c>
      <c r="R12" s="667"/>
      <c r="S12" s="560"/>
      <c r="T12" s="1483"/>
      <c r="U12" s="1484"/>
      <c r="V12" s="624" t="str">
        <f t="shared" si="1"/>
        <v/>
      </c>
      <c r="W12" s="624" t="str">
        <f t="shared" si="2"/>
        <v/>
      </c>
      <c r="X12" s="624" t="str">
        <f t="shared" si="3"/>
        <v/>
      </c>
      <c r="Y12" s="624" t="str">
        <f t="shared" si="4"/>
        <v/>
      </c>
      <c r="Z12" s="624" t="str">
        <f t="shared" si="5"/>
        <v/>
      </c>
      <c r="AA12" s="624" t="str">
        <f t="shared" si="6"/>
        <v/>
      </c>
      <c r="AB12" s="624" t="str">
        <f t="shared" si="7"/>
        <v/>
      </c>
      <c r="AC12" s="624" t="str">
        <f t="shared" si="8"/>
        <v/>
      </c>
      <c r="AD12" s="624">
        <f t="shared" si="9"/>
        <v>8</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t="str">
        <f t="shared" si="33"/>
        <v/>
      </c>
      <c r="CG12" s="624">
        <f t="shared" si="34"/>
        <v>10824</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f t="shared" si="59"/>
        <v>8</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t="str">
        <f t="shared" si="103"/>
        <v/>
      </c>
      <c r="EY12" s="636">
        <f t="shared" si="104"/>
        <v>8</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f t="shared" si="139"/>
        <v>8</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39" t="s">
        <v>1562</v>
      </c>
      <c r="C13" s="1540">
        <v>1</v>
      </c>
      <c r="D13" s="1541">
        <v>1</v>
      </c>
      <c r="E13" s="1542">
        <v>10</v>
      </c>
      <c r="F13" s="1542">
        <v>874</v>
      </c>
      <c r="G13" s="1542">
        <v>571</v>
      </c>
      <c r="H13" s="1542">
        <v>514</v>
      </c>
      <c r="I13" s="1542">
        <v>164</v>
      </c>
      <c r="J13" s="1543"/>
      <c r="K13" s="205">
        <f t="shared" si="172"/>
        <v>350</v>
      </c>
      <c r="L13" s="205">
        <f t="shared" si="0"/>
        <v>3500</v>
      </c>
      <c r="M13" s="1544" t="s">
        <v>4103</v>
      </c>
      <c r="N13" s="1544" t="s">
        <v>4113</v>
      </c>
      <c r="O13" s="1544" t="s">
        <v>3024</v>
      </c>
      <c r="P13" s="559">
        <f>IF(H13="","",H13*12/0.3)</f>
        <v>20560</v>
      </c>
      <c r="Q13" s="560">
        <f>IF(H13="","",P13/($P$6*VLOOKUP(C13,'DCA Underwriting Assumptions'!$J$81:$K$86,2,FALSE)))</f>
        <v>0.54608233731739708</v>
      </c>
      <c r="R13" s="667"/>
      <c r="S13" s="560"/>
      <c r="T13" s="1483"/>
      <c r="U13" s="1484"/>
      <c r="V13" s="624" t="str">
        <f t="shared" si="1"/>
        <v/>
      </c>
      <c r="W13" s="624">
        <f t="shared" si="2"/>
        <v>10</v>
      </c>
      <c r="X13" s="624" t="str">
        <f t="shared" si="3"/>
        <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f t="shared" si="27"/>
        <v>8740</v>
      </c>
      <c r="CA13" s="624" t="str">
        <f t="shared" si="28"/>
        <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f t="shared" si="57"/>
        <v>10</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f t="shared" si="102"/>
        <v>10</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f t="shared" si="137"/>
        <v>10</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39" t="s">
        <v>1562</v>
      </c>
      <c r="C14" s="1540">
        <v>2</v>
      </c>
      <c r="D14" s="1541">
        <v>1</v>
      </c>
      <c r="E14" s="1542">
        <v>31</v>
      </c>
      <c r="F14" s="1542">
        <v>1192</v>
      </c>
      <c r="G14" s="1542">
        <v>686</v>
      </c>
      <c r="H14" s="1542">
        <v>598</v>
      </c>
      <c r="I14" s="1542">
        <v>208</v>
      </c>
      <c r="J14" s="1543"/>
      <c r="K14" s="205">
        <f t="shared" si="172"/>
        <v>390</v>
      </c>
      <c r="L14" s="205">
        <f t="shared" si="0"/>
        <v>12090</v>
      </c>
      <c r="M14" s="1544" t="s">
        <v>4103</v>
      </c>
      <c r="N14" s="1544" t="s">
        <v>4113</v>
      </c>
      <c r="O14" s="1544" t="s">
        <v>3024</v>
      </c>
      <c r="P14" s="559">
        <f>IF(H14="","",H14*12/0.3)</f>
        <v>23920</v>
      </c>
      <c r="Q14" s="560">
        <f>IF(H14="","",P14/($P$6*VLOOKUP(C14,'DCA Underwriting Assumptions'!$J$81:$K$86,2,FALSE)))</f>
        <v>0.52943780433820276</v>
      </c>
      <c r="R14" s="667"/>
      <c r="S14" s="560"/>
      <c r="T14" s="1483"/>
      <c r="U14" s="1484"/>
      <c r="V14" s="624" t="str">
        <f t="shared" si="1"/>
        <v/>
      </c>
      <c r="W14" s="624" t="str">
        <f t="shared" si="2"/>
        <v/>
      </c>
      <c r="X14" s="624">
        <f t="shared" si="3"/>
        <v>31</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f t="shared" si="28"/>
        <v>36952</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f t="shared" si="58"/>
        <v>31</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31</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f t="shared" si="138"/>
        <v>31</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39" t="s">
        <v>1562</v>
      </c>
      <c r="C15" s="1540">
        <v>3</v>
      </c>
      <c r="D15" s="1541">
        <v>2</v>
      </c>
      <c r="E15" s="1542">
        <v>14</v>
      </c>
      <c r="F15" s="1542">
        <v>1353</v>
      </c>
      <c r="G15" s="1542">
        <v>794</v>
      </c>
      <c r="H15" s="1542">
        <v>699</v>
      </c>
      <c r="I15" s="1542">
        <v>259</v>
      </c>
      <c r="J15" s="1543"/>
      <c r="K15" s="205">
        <f t="shared" si="172"/>
        <v>440</v>
      </c>
      <c r="L15" s="205">
        <f t="shared" si="0"/>
        <v>6160</v>
      </c>
      <c r="M15" s="1544" t="s">
        <v>4103</v>
      </c>
      <c r="N15" s="1544" t="s">
        <v>4113</v>
      </c>
      <c r="O15" s="1544" t="s">
        <v>3024</v>
      </c>
      <c r="P15" s="559">
        <f t="shared" ref="P15:P47" si="203">IF(H15="","",H15*12/0.3)</f>
        <v>27960</v>
      </c>
      <c r="Q15" s="560">
        <f>IF(H15="","",P15/($P$6*VLOOKUP(C15,'DCA Underwriting Assumptions'!$J$81:$K$86,2,FALSE)))</f>
        <v>0.53555010726325469</v>
      </c>
      <c r="R15" s="667"/>
      <c r="S15" s="560"/>
      <c r="T15" s="1483"/>
      <c r="U15" s="1484"/>
      <c r="V15" s="624" t="str">
        <f t="shared" si="1"/>
        <v/>
      </c>
      <c r="W15" s="624" t="str">
        <f t="shared" si="2"/>
        <v/>
      </c>
      <c r="X15" s="624" t="str">
        <f t="shared" si="3"/>
        <v/>
      </c>
      <c r="Y15" s="624">
        <f t="shared" si="4"/>
        <v>14</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f t="shared" si="29"/>
        <v>18942</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f t="shared" si="59"/>
        <v>14</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f t="shared" si="104"/>
        <v>14</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f t="shared" si="139"/>
        <v>14</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39" t="s">
        <v>4111</v>
      </c>
      <c r="C16" s="1540">
        <v>2</v>
      </c>
      <c r="D16" s="1541">
        <v>1</v>
      </c>
      <c r="E16" s="1542">
        <v>1</v>
      </c>
      <c r="F16" s="1542">
        <v>1192</v>
      </c>
      <c r="G16" s="1542">
        <v>0</v>
      </c>
      <c r="H16" s="1542">
        <v>0</v>
      </c>
      <c r="I16" s="1542">
        <v>0</v>
      </c>
      <c r="J16" s="1543"/>
      <c r="K16" s="205">
        <f t="shared" si="172"/>
        <v>0</v>
      </c>
      <c r="L16" s="205">
        <f t="shared" si="0"/>
        <v>0</v>
      </c>
      <c r="M16" s="1544" t="s">
        <v>4112</v>
      </c>
      <c r="N16" s="1544" t="s">
        <v>4113</v>
      </c>
      <c r="O16" s="1544" t="s">
        <v>3024</v>
      </c>
      <c r="P16" s="559">
        <f t="shared" si="203"/>
        <v>0</v>
      </c>
      <c r="Q16" s="560">
        <f>IF(H16="","",P16/($P$6*VLOOKUP(C16,'DCA Underwriting Assumptions'!$J$81:$K$86,2,FALSE)))</f>
        <v>0</v>
      </c>
      <c r="R16" s="667"/>
      <c r="S16" s="560"/>
      <c r="T16" s="1483"/>
      <c r="U16" s="1484"/>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f t="shared" si="23"/>
        <v>1</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f t="shared" si="53"/>
        <v>1192</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f t="shared" si="68"/>
        <v>1</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f t="shared" si="103"/>
        <v>1</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f t="shared" si="138"/>
        <v>1</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39" t="s">
        <v>333</v>
      </c>
      <c r="C17" s="1540">
        <v>1</v>
      </c>
      <c r="D17" s="1541">
        <v>1</v>
      </c>
      <c r="E17" s="1542">
        <v>2</v>
      </c>
      <c r="F17" s="1542">
        <v>874</v>
      </c>
      <c r="G17" s="1542">
        <v>0</v>
      </c>
      <c r="H17" s="1542">
        <v>500</v>
      </c>
      <c r="I17" s="1542">
        <v>0</v>
      </c>
      <c r="J17" s="1543"/>
      <c r="K17" s="205">
        <f t="shared" si="172"/>
        <v>500</v>
      </c>
      <c r="L17" s="205">
        <f t="shared" si="0"/>
        <v>1000</v>
      </c>
      <c r="M17" s="1544" t="s">
        <v>4103</v>
      </c>
      <c r="N17" s="1544" t="s">
        <v>4113</v>
      </c>
      <c r="O17" s="1544" t="s">
        <v>3024</v>
      </c>
      <c r="P17" s="559">
        <f t="shared" si="203"/>
        <v>20000</v>
      </c>
      <c r="Q17" s="560">
        <f>IF(H17="","",P17/($P$6*VLOOKUP(C17,'DCA Underwriting Assumptions'!$J$81:$K$86,2,FALSE)))</f>
        <v>0.53120849933598935</v>
      </c>
      <c r="R17" s="667"/>
      <c r="S17" s="560"/>
      <c r="T17" s="1483"/>
      <c r="U17" s="1484"/>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f t="shared" si="17"/>
        <v>2</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f t="shared" si="42"/>
        <v>1748</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f t="shared" si="62"/>
        <v>2</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f t="shared" si="102"/>
        <v>2</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f t="shared" si="137"/>
        <v>2</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39" t="s">
        <v>333</v>
      </c>
      <c r="C18" s="1540">
        <v>2</v>
      </c>
      <c r="D18" s="1541">
        <v>1</v>
      </c>
      <c r="E18" s="1542">
        <v>4</v>
      </c>
      <c r="F18" s="1542">
        <v>1192</v>
      </c>
      <c r="G18" s="1542">
        <v>0</v>
      </c>
      <c r="H18" s="1542">
        <v>600</v>
      </c>
      <c r="I18" s="1542">
        <v>0</v>
      </c>
      <c r="J18" s="1543"/>
      <c r="K18" s="205">
        <f t="shared" si="172"/>
        <v>600</v>
      </c>
      <c r="L18" s="205">
        <f t="shared" si="0"/>
        <v>2400</v>
      </c>
      <c r="M18" s="1544" t="s">
        <v>4103</v>
      </c>
      <c r="N18" s="1544" t="s">
        <v>4113</v>
      </c>
      <c r="O18" s="1544" t="s">
        <v>3024</v>
      </c>
      <c r="P18" s="559">
        <f t="shared" si="203"/>
        <v>24000</v>
      </c>
      <c r="Q18" s="560">
        <f>IF(H18="","",P18/($P$6*VLOOKUP(C18,'DCA Underwriting Assumptions'!$J$81:$K$86,2,FALSE)))</f>
        <v>0.53120849933598935</v>
      </c>
      <c r="R18" s="667"/>
      <c r="S18" s="560"/>
      <c r="T18" s="1483"/>
      <c r="U18" s="1484"/>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f t="shared" si="18"/>
        <v>4</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f t="shared" si="43"/>
        <v>4768</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f t="shared" si="63"/>
        <v>4</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f t="shared" si="103"/>
        <v>4</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f t="shared" si="138"/>
        <v>4</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39" t="s">
        <v>333</v>
      </c>
      <c r="C19" s="1540">
        <v>3</v>
      </c>
      <c r="D19" s="1541">
        <v>2</v>
      </c>
      <c r="E19" s="1542">
        <v>2</v>
      </c>
      <c r="F19" s="1542">
        <v>1353</v>
      </c>
      <c r="G19" s="1542">
        <v>0</v>
      </c>
      <c r="H19" s="1542">
        <v>650</v>
      </c>
      <c r="I19" s="1542">
        <v>0</v>
      </c>
      <c r="J19" s="1543"/>
      <c r="K19" s="205">
        <f t="shared" si="172"/>
        <v>650</v>
      </c>
      <c r="L19" s="205">
        <f t="shared" si="0"/>
        <v>1300</v>
      </c>
      <c r="M19" s="1544" t="s">
        <v>4103</v>
      </c>
      <c r="N19" s="1544" t="s">
        <v>4113</v>
      </c>
      <c r="O19" s="1544" t="s">
        <v>3024</v>
      </c>
      <c r="P19" s="559">
        <f t="shared" si="203"/>
        <v>26000</v>
      </c>
      <c r="Q19" s="560">
        <f>IF(H19="","",P19/($P$6*VLOOKUP(C19,'DCA Underwriting Assumptions'!$J$81:$K$86,2,FALSE)))</f>
        <v>0.49800796812749004</v>
      </c>
      <c r="R19" s="667"/>
      <c r="S19" s="560"/>
      <c r="T19" s="1483"/>
      <c r="U19" s="1484"/>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f t="shared" si="19"/>
        <v>2</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f t="shared" si="44"/>
        <v>2706</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f t="shared" si="64"/>
        <v>2</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f t="shared" si="104"/>
        <v>2</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f t="shared" si="139"/>
        <v>2</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39" t="s">
        <v>2466</v>
      </c>
      <c r="C20" s="1540"/>
      <c r="D20" s="1541"/>
      <c r="E20" s="1542"/>
      <c r="F20" s="1542"/>
      <c r="G20" s="1542"/>
      <c r="H20" s="1542"/>
      <c r="I20" s="1542"/>
      <c r="J20" s="1543"/>
      <c r="K20" s="205">
        <f t="shared" si="172"/>
        <v>0</v>
      </c>
      <c r="L20" s="205">
        <f t="shared" si="0"/>
        <v>0</v>
      </c>
      <c r="M20" s="1544"/>
      <c r="N20" s="1544"/>
      <c r="O20" s="1544"/>
      <c r="P20" s="559" t="str">
        <f t="shared" si="203"/>
        <v/>
      </c>
      <c r="Q20" s="560" t="str">
        <f>IF(H20="","",P20/($P$6*VLOOKUP(C20,'DCA Underwriting Assumptions'!$J$81:$K$86,2,FALSE)))</f>
        <v/>
      </c>
      <c r="R20" s="667"/>
      <c r="S20" s="560"/>
      <c r="T20" s="1483"/>
      <c r="U20" s="1484"/>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39" t="s">
        <v>2466</v>
      </c>
      <c r="C21" s="1540"/>
      <c r="D21" s="1541"/>
      <c r="E21" s="1542"/>
      <c r="F21" s="1542"/>
      <c r="G21" s="1542"/>
      <c r="H21" s="1542"/>
      <c r="I21" s="1542"/>
      <c r="J21" s="1543"/>
      <c r="K21" s="205">
        <f t="shared" si="172"/>
        <v>0</v>
      </c>
      <c r="L21" s="205">
        <f t="shared" si="0"/>
        <v>0</v>
      </c>
      <c r="M21" s="1544"/>
      <c r="N21" s="1544"/>
      <c r="O21" s="1544"/>
      <c r="P21" s="559" t="str">
        <f t="shared" si="203"/>
        <v/>
      </c>
      <c r="Q21" s="560" t="str">
        <f>IF(H21="","",P21/($P$6*VLOOKUP(C21,'DCA Underwriting Assumptions'!$J$81:$K$86,2,FALSE)))</f>
        <v/>
      </c>
      <c r="R21" s="667"/>
      <c r="S21" s="560"/>
      <c r="T21" s="1483"/>
      <c r="U21" s="1484"/>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39" t="s">
        <v>2466</v>
      </c>
      <c r="C22" s="1540"/>
      <c r="D22" s="1541"/>
      <c r="E22" s="1542"/>
      <c r="F22" s="1542"/>
      <c r="G22" s="1542"/>
      <c r="H22" s="1542"/>
      <c r="I22" s="1542"/>
      <c r="J22" s="1543"/>
      <c r="K22" s="205">
        <f t="shared" si="172"/>
        <v>0</v>
      </c>
      <c r="L22" s="205">
        <f t="shared" si="0"/>
        <v>0</v>
      </c>
      <c r="M22" s="1544"/>
      <c r="N22" s="1544"/>
      <c r="O22" s="1544"/>
      <c r="P22" s="559" t="str">
        <f t="shared" si="203"/>
        <v/>
      </c>
      <c r="Q22" s="560" t="str">
        <f>IF(H22="","",P22/($P$6*VLOOKUP(C22,'DCA Underwriting Assumptions'!$J$81:$K$86,2,FALSE)))</f>
        <v/>
      </c>
      <c r="R22" s="667"/>
      <c r="S22" s="560"/>
      <c r="T22" s="1483"/>
      <c r="U22" s="1484"/>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39" t="s">
        <v>2466</v>
      </c>
      <c r="C23" s="1540"/>
      <c r="D23" s="1541"/>
      <c r="E23" s="1542"/>
      <c r="F23" s="1542"/>
      <c r="G23" s="1542"/>
      <c r="H23" s="1542"/>
      <c r="I23" s="1542"/>
      <c r="J23" s="1543"/>
      <c r="K23" s="205">
        <f t="shared" si="172"/>
        <v>0</v>
      </c>
      <c r="L23" s="205">
        <f t="shared" si="0"/>
        <v>0</v>
      </c>
      <c r="M23" s="1544"/>
      <c r="N23" s="1544"/>
      <c r="O23" s="1544"/>
      <c r="P23" s="559" t="str">
        <f t="shared" si="203"/>
        <v/>
      </c>
      <c r="Q23" s="560" t="str">
        <f>IF(H23="","",P23/($P$6*VLOOKUP(C23,'DCA Underwriting Assumptions'!$J$81:$K$86,2,FALSE)))</f>
        <v/>
      </c>
      <c r="R23" s="667"/>
      <c r="S23" s="560"/>
      <c r="T23" s="1483"/>
      <c r="U23" s="1484"/>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39" t="s">
        <v>2466</v>
      </c>
      <c r="C24" s="1540"/>
      <c r="D24" s="1541"/>
      <c r="E24" s="1542"/>
      <c r="F24" s="1542"/>
      <c r="G24" s="1542"/>
      <c r="H24" s="1542"/>
      <c r="I24" s="1542"/>
      <c r="J24" s="1543"/>
      <c r="K24" s="205">
        <f t="shared" si="172"/>
        <v>0</v>
      </c>
      <c r="L24" s="205">
        <f t="shared" si="0"/>
        <v>0</v>
      </c>
      <c r="M24" s="1544"/>
      <c r="N24" s="1544"/>
      <c r="O24" s="1544"/>
      <c r="P24" s="559" t="str">
        <f t="shared" si="203"/>
        <v/>
      </c>
      <c r="Q24" s="560" t="str">
        <f>IF(H24="","",P24/($P$6*VLOOKUP(C24,'DCA Underwriting Assumptions'!$J$81:$K$86,2,FALSE)))</f>
        <v/>
      </c>
      <c r="R24" s="667"/>
      <c r="S24" s="560"/>
      <c r="T24" s="1483"/>
      <c r="U24" s="1484"/>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39" t="s">
        <v>2466</v>
      </c>
      <c r="C25" s="1540"/>
      <c r="D25" s="1541"/>
      <c r="E25" s="1542"/>
      <c r="F25" s="1542"/>
      <c r="G25" s="1542"/>
      <c r="H25" s="1542"/>
      <c r="I25" s="1542"/>
      <c r="J25" s="1543"/>
      <c r="K25" s="205">
        <f t="shared" si="172"/>
        <v>0</v>
      </c>
      <c r="L25" s="205">
        <f t="shared" si="0"/>
        <v>0</v>
      </c>
      <c r="M25" s="1544"/>
      <c r="N25" s="1544"/>
      <c r="O25" s="1544"/>
      <c r="P25" s="559" t="str">
        <f t="shared" si="203"/>
        <v/>
      </c>
      <c r="Q25" s="560" t="str">
        <f>IF(H25="","",P25/($P$6*VLOOKUP(C25,'DCA Underwriting Assumptions'!$J$81:$K$86,2,FALSE)))</f>
        <v/>
      </c>
      <c r="R25" s="667"/>
      <c r="S25" s="560"/>
      <c r="T25" s="1483"/>
      <c r="U25" s="1484"/>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39" t="s">
        <v>2466</v>
      </c>
      <c r="C26" s="1540"/>
      <c r="D26" s="1541"/>
      <c r="E26" s="1542"/>
      <c r="F26" s="1542"/>
      <c r="G26" s="1542"/>
      <c r="H26" s="1542"/>
      <c r="I26" s="1542"/>
      <c r="J26" s="1543"/>
      <c r="K26" s="205">
        <f t="shared" si="172"/>
        <v>0</v>
      </c>
      <c r="L26" s="205">
        <f t="shared" si="0"/>
        <v>0</v>
      </c>
      <c r="M26" s="1544"/>
      <c r="N26" s="1544"/>
      <c r="O26" s="1544"/>
      <c r="P26" s="559" t="str">
        <f t="shared" si="203"/>
        <v/>
      </c>
      <c r="Q26" s="560" t="str">
        <f>IF(H26="","",P26/($P$6*VLOOKUP(C26,'DCA Underwriting Assumptions'!$J$81:$K$86,2,FALSE)))</f>
        <v/>
      </c>
      <c r="R26" s="667"/>
      <c r="S26" s="560"/>
      <c r="T26" s="1483"/>
      <c r="U26" s="1484"/>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39" t="s">
        <v>2466</v>
      </c>
      <c r="C27" s="1540"/>
      <c r="D27" s="1541"/>
      <c r="E27" s="1542"/>
      <c r="F27" s="1542"/>
      <c r="G27" s="1542"/>
      <c r="H27" s="1542"/>
      <c r="I27" s="1542"/>
      <c r="J27" s="1543"/>
      <c r="K27" s="205">
        <f t="shared" si="172"/>
        <v>0</v>
      </c>
      <c r="L27" s="205">
        <f t="shared" si="0"/>
        <v>0</v>
      </c>
      <c r="M27" s="1544"/>
      <c r="N27" s="1544"/>
      <c r="O27" s="1544"/>
      <c r="P27" s="559" t="str">
        <f t="shared" si="203"/>
        <v/>
      </c>
      <c r="Q27" s="560" t="str">
        <f>IF(H27="","",P27/($P$6*VLOOKUP(C27,'DCA Underwriting Assumptions'!$J$81:$K$86,2,FALSE)))</f>
        <v/>
      </c>
      <c r="R27" s="667"/>
      <c r="S27" s="560"/>
      <c r="T27" s="1483"/>
      <c r="U27" s="1484"/>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39" t="s">
        <v>2466</v>
      </c>
      <c r="C28" s="1540"/>
      <c r="D28" s="1541"/>
      <c r="E28" s="1542"/>
      <c r="F28" s="1542"/>
      <c r="G28" s="1542"/>
      <c r="H28" s="1542"/>
      <c r="I28" s="1542"/>
      <c r="J28" s="1543"/>
      <c r="K28" s="205">
        <f>MAX(0,H28-I28)</f>
        <v>0</v>
      </c>
      <c r="L28" s="205">
        <f t="shared" si="0"/>
        <v>0</v>
      </c>
      <c r="M28" s="1544"/>
      <c r="N28" s="1544"/>
      <c r="O28" s="1544"/>
      <c r="P28" s="559" t="str">
        <f t="shared" si="203"/>
        <v/>
      </c>
      <c r="Q28" s="560" t="str">
        <f>IF(H28="","",P28/($P$6*VLOOKUP(C28,'DCA Underwriting Assumptions'!$J$81:$K$86,2,FALSE)))</f>
        <v/>
      </c>
      <c r="R28" s="667"/>
      <c r="S28" s="560"/>
      <c r="T28" s="1483"/>
      <c r="U28" s="1484"/>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39" t="s">
        <v>2466</v>
      </c>
      <c r="C29" s="1540"/>
      <c r="D29" s="1541"/>
      <c r="E29" s="1542"/>
      <c r="F29" s="1542"/>
      <c r="G29" s="1542"/>
      <c r="H29" s="1542"/>
      <c r="I29" s="1542"/>
      <c r="J29" s="1543"/>
      <c r="K29" s="205">
        <f t="shared" ref="K29:K47" si="204">MAX(0,H29-I29)</f>
        <v>0</v>
      </c>
      <c r="L29" s="205">
        <f t="shared" si="0"/>
        <v>0</v>
      </c>
      <c r="M29" s="1544"/>
      <c r="N29" s="1544"/>
      <c r="O29" s="1544"/>
      <c r="P29" s="559" t="str">
        <f t="shared" si="203"/>
        <v/>
      </c>
      <c r="Q29" s="560" t="str">
        <f>IF(H29="","",P29/($P$6*VLOOKUP(C29,'DCA Underwriting Assumptions'!$J$81:$K$86,2,FALSE)))</f>
        <v/>
      </c>
      <c r="R29" s="667"/>
      <c r="S29" s="560"/>
      <c r="T29" s="1483"/>
      <c r="U29" s="1484"/>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39" t="s">
        <v>2466</v>
      </c>
      <c r="C30" s="1540"/>
      <c r="D30" s="1541"/>
      <c r="E30" s="1542"/>
      <c r="F30" s="1542"/>
      <c r="G30" s="1542"/>
      <c r="H30" s="1542"/>
      <c r="I30" s="1542"/>
      <c r="J30" s="1543"/>
      <c r="K30" s="205">
        <f t="shared" si="204"/>
        <v>0</v>
      </c>
      <c r="L30" s="205">
        <f t="shared" si="0"/>
        <v>0</v>
      </c>
      <c r="M30" s="1544"/>
      <c r="N30" s="1544"/>
      <c r="O30" s="1544"/>
      <c r="P30" s="559" t="str">
        <f t="shared" si="203"/>
        <v/>
      </c>
      <c r="Q30" s="560" t="str">
        <f>IF(H30="","",P30/($P$6*VLOOKUP(C30,'DCA Underwriting Assumptions'!$J$81:$K$86,2,FALSE)))</f>
        <v/>
      </c>
      <c r="R30" s="667"/>
      <c r="S30" s="560"/>
      <c r="T30" s="1483"/>
      <c r="U30" s="1484"/>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39" t="s">
        <v>2466</v>
      </c>
      <c r="C31" s="1540"/>
      <c r="D31" s="1541"/>
      <c r="E31" s="1542"/>
      <c r="F31" s="1542"/>
      <c r="G31" s="1542"/>
      <c r="H31" s="1542"/>
      <c r="I31" s="1542"/>
      <c r="J31" s="1543"/>
      <c r="K31" s="205">
        <f t="shared" si="204"/>
        <v>0</v>
      </c>
      <c r="L31" s="205">
        <f t="shared" si="0"/>
        <v>0</v>
      </c>
      <c r="M31" s="1544"/>
      <c r="N31" s="1544"/>
      <c r="O31" s="1544"/>
      <c r="P31" s="559" t="str">
        <f t="shared" si="203"/>
        <v/>
      </c>
      <c r="Q31" s="560" t="str">
        <f>IF(H31="","",P31/($P$6*VLOOKUP(C31,'DCA Underwriting Assumptions'!$J$81:$K$86,2,FALSE)))</f>
        <v/>
      </c>
      <c r="R31" s="667"/>
      <c r="S31" s="560"/>
      <c r="T31" s="1483"/>
      <c r="U31" s="1484"/>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39" t="s">
        <v>2466</v>
      </c>
      <c r="C32" s="1540"/>
      <c r="D32" s="1541"/>
      <c r="E32" s="1542"/>
      <c r="F32" s="1542"/>
      <c r="G32" s="1542"/>
      <c r="H32" s="1542"/>
      <c r="I32" s="1542"/>
      <c r="J32" s="1543"/>
      <c r="K32" s="205">
        <f t="shared" si="204"/>
        <v>0</v>
      </c>
      <c r="L32" s="205">
        <f t="shared" si="0"/>
        <v>0</v>
      </c>
      <c r="M32" s="1544"/>
      <c r="N32" s="1544"/>
      <c r="O32" s="1544"/>
      <c r="P32" s="559" t="str">
        <f t="shared" si="203"/>
        <v/>
      </c>
      <c r="Q32" s="560" t="str">
        <f>IF(H32="","",P32/($P$6*VLOOKUP(C32,'DCA Underwriting Assumptions'!$J$81:$K$86,2,FALSE)))</f>
        <v/>
      </c>
      <c r="R32" s="667"/>
      <c r="S32" s="560"/>
      <c r="T32" s="1483"/>
      <c r="U32" s="1484"/>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39" t="s">
        <v>2466</v>
      </c>
      <c r="C33" s="1540"/>
      <c r="D33" s="1541"/>
      <c r="E33" s="1542"/>
      <c r="F33" s="1542"/>
      <c r="G33" s="1542"/>
      <c r="H33" s="1542"/>
      <c r="I33" s="1542"/>
      <c r="J33" s="1543"/>
      <c r="K33" s="205">
        <f t="shared" si="204"/>
        <v>0</v>
      </c>
      <c r="L33" s="205">
        <f t="shared" si="0"/>
        <v>0</v>
      </c>
      <c r="M33" s="1544"/>
      <c r="N33" s="1544"/>
      <c r="O33" s="1544"/>
      <c r="P33" s="559" t="str">
        <f t="shared" si="203"/>
        <v/>
      </c>
      <c r="Q33" s="560" t="str">
        <f>IF(H33="","",P33/($P$6*VLOOKUP(C33,'DCA Underwriting Assumptions'!$J$81:$K$86,2,FALSE)))</f>
        <v/>
      </c>
      <c r="R33" s="667"/>
      <c r="S33" s="560"/>
      <c r="T33" s="1483"/>
      <c r="U33" s="1484"/>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39" t="s">
        <v>2466</v>
      </c>
      <c r="C34" s="1540"/>
      <c r="D34" s="1541"/>
      <c r="E34" s="1542"/>
      <c r="F34" s="1542"/>
      <c r="G34" s="1542"/>
      <c r="H34" s="1542"/>
      <c r="I34" s="1542"/>
      <c r="J34" s="1543"/>
      <c r="K34" s="205">
        <f t="shared" si="204"/>
        <v>0</v>
      </c>
      <c r="L34" s="205">
        <f t="shared" si="0"/>
        <v>0</v>
      </c>
      <c r="M34" s="1544"/>
      <c r="N34" s="1544"/>
      <c r="O34" s="1544"/>
      <c r="P34" s="559" t="str">
        <f t="shared" si="203"/>
        <v/>
      </c>
      <c r="Q34" s="560" t="str">
        <f>IF(H34="","",P34/($P$6*VLOOKUP(C34,'DCA Underwriting Assumptions'!$J$81:$K$86,2,FALSE)))</f>
        <v/>
      </c>
      <c r="R34" s="667"/>
      <c r="S34" s="560"/>
      <c r="T34" s="1483"/>
      <c r="U34" s="1484"/>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39" t="s">
        <v>2466</v>
      </c>
      <c r="C35" s="1540"/>
      <c r="D35" s="1541"/>
      <c r="E35" s="1542"/>
      <c r="F35" s="1542"/>
      <c r="G35" s="1542"/>
      <c r="H35" s="1542"/>
      <c r="I35" s="1542"/>
      <c r="J35" s="1543"/>
      <c r="K35" s="205">
        <f t="shared" si="204"/>
        <v>0</v>
      </c>
      <c r="L35" s="205">
        <f t="shared" si="0"/>
        <v>0</v>
      </c>
      <c r="M35" s="1544"/>
      <c r="N35" s="1544"/>
      <c r="O35" s="1544"/>
      <c r="P35" s="559" t="str">
        <f t="shared" si="203"/>
        <v/>
      </c>
      <c r="Q35" s="560" t="str">
        <f>IF(H35="","",P35/($P$6*VLOOKUP(C35,'DCA Underwriting Assumptions'!$J$81:$K$86,2,FALSE)))</f>
        <v/>
      </c>
      <c r="R35" s="667"/>
      <c r="S35" s="560"/>
      <c r="T35" s="1483"/>
      <c r="U35" s="1484"/>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39" t="s">
        <v>2466</v>
      </c>
      <c r="C36" s="1540"/>
      <c r="D36" s="1541"/>
      <c r="E36" s="1542"/>
      <c r="F36" s="1542"/>
      <c r="G36" s="1542"/>
      <c r="H36" s="1542"/>
      <c r="I36" s="1542"/>
      <c r="J36" s="1543"/>
      <c r="K36" s="205">
        <f t="shared" si="204"/>
        <v>0</v>
      </c>
      <c r="L36" s="205">
        <f t="shared" si="0"/>
        <v>0</v>
      </c>
      <c r="M36" s="1544"/>
      <c r="N36" s="1544"/>
      <c r="O36" s="1544"/>
      <c r="P36" s="559" t="str">
        <f t="shared" si="203"/>
        <v/>
      </c>
      <c r="Q36" s="560" t="str">
        <f>IF(H36="","",P36/($P$6*VLOOKUP(C36,'DCA Underwriting Assumptions'!$J$81:$K$86,2,FALSE)))</f>
        <v/>
      </c>
      <c r="R36" s="667"/>
      <c r="S36" s="560"/>
      <c r="T36" s="1483"/>
      <c r="U36" s="1484"/>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39" t="s">
        <v>2466</v>
      </c>
      <c r="C37" s="1540"/>
      <c r="D37" s="1541"/>
      <c r="E37" s="1542"/>
      <c r="F37" s="1542"/>
      <c r="G37" s="1542"/>
      <c r="H37" s="1542"/>
      <c r="I37" s="1542"/>
      <c r="J37" s="1543"/>
      <c r="K37" s="205">
        <f t="shared" si="204"/>
        <v>0</v>
      </c>
      <c r="L37" s="205">
        <f t="shared" si="0"/>
        <v>0</v>
      </c>
      <c r="M37" s="1544"/>
      <c r="N37" s="1544"/>
      <c r="O37" s="1544"/>
      <c r="P37" s="559" t="str">
        <f t="shared" si="203"/>
        <v/>
      </c>
      <c r="Q37" s="560" t="str">
        <f>IF(H37="","",P37/($P$6*VLOOKUP(C37,'DCA Underwriting Assumptions'!$J$81:$K$86,2,FALSE)))</f>
        <v/>
      </c>
      <c r="R37" s="667"/>
      <c r="S37" s="560"/>
      <c r="T37" s="1483"/>
      <c r="U37" s="1484"/>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39" t="s">
        <v>2466</v>
      </c>
      <c r="C38" s="1540"/>
      <c r="D38" s="1541"/>
      <c r="E38" s="1542"/>
      <c r="F38" s="1542"/>
      <c r="G38" s="1542"/>
      <c r="H38" s="1542"/>
      <c r="I38" s="1542"/>
      <c r="J38" s="1543"/>
      <c r="K38" s="205">
        <f>MAX(0,H38-I38)</f>
        <v>0</v>
      </c>
      <c r="L38" s="205">
        <f t="shared" si="0"/>
        <v>0</v>
      </c>
      <c r="M38" s="1544"/>
      <c r="N38" s="1544"/>
      <c r="O38" s="1544"/>
      <c r="P38" s="559" t="str">
        <f t="shared" si="203"/>
        <v/>
      </c>
      <c r="Q38" s="560" t="str">
        <f>IF(H38="","",P38/($P$6*VLOOKUP(C38,'DCA Underwriting Assumptions'!$J$81:$K$86,2,FALSE)))</f>
        <v/>
      </c>
      <c r="R38" s="667"/>
      <c r="S38" s="560"/>
      <c r="T38" s="1483"/>
      <c r="U38" s="1484"/>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39" t="s">
        <v>2466</v>
      </c>
      <c r="C39" s="1540"/>
      <c r="D39" s="1541"/>
      <c r="E39" s="1542"/>
      <c r="F39" s="1542"/>
      <c r="G39" s="1542"/>
      <c r="H39" s="1542"/>
      <c r="I39" s="1542"/>
      <c r="J39" s="1543"/>
      <c r="K39" s="205">
        <f t="shared" ref="K39:K46" si="205">MAX(0,H39-I39)</f>
        <v>0</v>
      </c>
      <c r="L39" s="205">
        <f t="shared" si="0"/>
        <v>0</v>
      </c>
      <c r="M39" s="1544"/>
      <c r="N39" s="1544"/>
      <c r="O39" s="1544"/>
      <c r="P39" s="559" t="str">
        <f t="shared" si="203"/>
        <v/>
      </c>
      <c r="Q39" s="560" t="str">
        <f>IF(H39="","",P39/($P$6*VLOOKUP(C39,'DCA Underwriting Assumptions'!$J$81:$K$86,2,FALSE)))</f>
        <v/>
      </c>
      <c r="R39" s="667"/>
      <c r="S39" s="560"/>
      <c r="T39" s="1483"/>
      <c r="U39" s="1484"/>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39" t="s">
        <v>2466</v>
      </c>
      <c r="C40" s="1540"/>
      <c r="D40" s="1541"/>
      <c r="E40" s="1542"/>
      <c r="F40" s="1542"/>
      <c r="G40" s="1542"/>
      <c r="H40" s="1542"/>
      <c r="I40" s="1542"/>
      <c r="J40" s="1543"/>
      <c r="K40" s="205">
        <f t="shared" si="205"/>
        <v>0</v>
      </c>
      <c r="L40" s="205">
        <f t="shared" si="0"/>
        <v>0</v>
      </c>
      <c r="M40" s="1544"/>
      <c r="N40" s="1544"/>
      <c r="O40" s="1544"/>
      <c r="P40" s="559" t="str">
        <f t="shared" si="203"/>
        <v/>
      </c>
      <c r="Q40" s="560" t="str">
        <f>IF(H40="","",P40/($P$6*VLOOKUP(C40,'DCA Underwriting Assumptions'!$J$81:$K$86,2,FALSE)))</f>
        <v/>
      </c>
      <c r="R40" s="667"/>
      <c r="S40" s="560"/>
      <c r="T40" s="1483"/>
      <c r="U40" s="1484"/>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39" t="s">
        <v>2466</v>
      </c>
      <c r="C41" s="1540"/>
      <c r="D41" s="1541"/>
      <c r="E41" s="1542"/>
      <c r="F41" s="1542"/>
      <c r="G41" s="1542"/>
      <c r="H41" s="1542"/>
      <c r="I41" s="1542"/>
      <c r="J41" s="1543"/>
      <c r="K41" s="205">
        <f t="shared" si="205"/>
        <v>0</v>
      </c>
      <c r="L41" s="205">
        <f t="shared" si="0"/>
        <v>0</v>
      </c>
      <c r="M41" s="1544"/>
      <c r="N41" s="1544"/>
      <c r="O41" s="1544"/>
      <c r="P41" s="559" t="str">
        <f t="shared" si="203"/>
        <v/>
      </c>
      <c r="Q41" s="560" t="str">
        <f>IF(H41="","",P41/($P$6*VLOOKUP(C41,'DCA Underwriting Assumptions'!$J$81:$K$86,2,FALSE)))</f>
        <v/>
      </c>
      <c r="R41" s="667"/>
      <c r="S41" s="560"/>
      <c r="T41" s="1483"/>
      <c r="U41" s="1484"/>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39" t="s">
        <v>2466</v>
      </c>
      <c r="C42" s="1540"/>
      <c r="D42" s="1541"/>
      <c r="E42" s="1542"/>
      <c r="F42" s="1542"/>
      <c r="G42" s="1542"/>
      <c r="H42" s="1542"/>
      <c r="I42" s="1542"/>
      <c r="J42" s="1543"/>
      <c r="K42" s="205">
        <f t="shared" si="205"/>
        <v>0</v>
      </c>
      <c r="L42" s="205">
        <f t="shared" si="0"/>
        <v>0</v>
      </c>
      <c r="M42" s="1544"/>
      <c r="N42" s="1544"/>
      <c r="O42" s="1544"/>
      <c r="P42" s="559" t="str">
        <f t="shared" si="203"/>
        <v/>
      </c>
      <c r="Q42" s="560" t="str">
        <f>IF(H42="","",P42/($P$6*VLOOKUP(C42,'DCA Underwriting Assumptions'!$J$81:$K$86,2,FALSE)))</f>
        <v/>
      </c>
      <c r="R42" s="667"/>
      <c r="S42" s="560"/>
      <c r="T42" s="1483"/>
      <c r="U42" s="1484"/>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39" t="s">
        <v>2466</v>
      </c>
      <c r="C43" s="1540"/>
      <c r="D43" s="1541"/>
      <c r="E43" s="1542"/>
      <c r="F43" s="1542"/>
      <c r="G43" s="1542"/>
      <c r="H43" s="1542"/>
      <c r="I43" s="1542"/>
      <c r="J43" s="1543"/>
      <c r="K43" s="205">
        <f t="shared" si="205"/>
        <v>0</v>
      </c>
      <c r="L43" s="205">
        <f t="shared" si="0"/>
        <v>0</v>
      </c>
      <c r="M43" s="1544"/>
      <c r="N43" s="1544"/>
      <c r="O43" s="1544"/>
      <c r="P43" s="559" t="str">
        <f t="shared" si="203"/>
        <v/>
      </c>
      <c r="Q43" s="560" t="str">
        <f>IF(H43="","",P43/($P$6*VLOOKUP(C43,'DCA Underwriting Assumptions'!$J$81:$K$86,2,FALSE)))</f>
        <v/>
      </c>
      <c r="R43" s="667"/>
      <c r="S43" s="560"/>
      <c r="T43" s="1483"/>
      <c r="U43" s="1484"/>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39" t="s">
        <v>2466</v>
      </c>
      <c r="C44" s="1540"/>
      <c r="D44" s="1541"/>
      <c r="E44" s="1542"/>
      <c r="F44" s="1542"/>
      <c r="G44" s="1542"/>
      <c r="H44" s="1542"/>
      <c r="I44" s="1542"/>
      <c r="J44" s="1543"/>
      <c r="K44" s="205">
        <f t="shared" si="205"/>
        <v>0</v>
      </c>
      <c r="L44" s="205">
        <f t="shared" si="0"/>
        <v>0</v>
      </c>
      <c r="M44" s="1544"/>
      <c r="N44" s="1544"/>
      <c r="O44" s="1544"/>
      <c r="P44" s="559" t="str">
        <f t="shared" si="203"/>
        <v/>
      </c>
      <c r="Q44" s="560" t="str">
        <f>IF(H44="","",P44/($P$6*VLOOKUP(C44,'DCA Underwriting Assumptions'!$J$81:$K$86,2,FALSE)))</f>
        <v/>
      </c>
      <c r="R44" s="667"/>
      <c r="S44" s="560"/>
      <c r="T44" s="1483"/>
      <c r="U44" s="1484"/>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39" t="s">
        <v>2466</v>
      </c>
      <c r="C45" s="1540"/>
      <c r="D45" s="1541"/>
      <c r="E45" s="1542"/>
      <c r="F45" s="1542"/>
      <c r="G45" s="1542"/>
      <c r="H45" s="1542"/>
      <c r="I45" s="1542"/>
      <c r="J45" s="1543"/>
      <c r="K45" s="205">
        <f t="shared" si="205"/>
        <v>0</v>
      </c>
      <c r="L45" s="205">
        <f t="shared" si="0"/>
        <v>0</v>
      </c>
      <c r="M45" s="1544"/>
      <c r="N45" s="1544"/>
      <c r="O45" s="1544"/>
      <c r="P45" s="559" t="str">
        <f t="shared" si="203"/>
        <v/>
      </c>
      <c r="Q45" s="560" t="str">
        <f>IF(H45="","",P45/($P$6*VLOOKUP(C45,'DCA Underwriting Assumptions'!$J$81:$K$86,2,FALSE)))</f>
        <v/>
      </c>
      <c r="R45" s="667"/>
      <c r="S45" s="560"/>
      <c r="T45" s="1483"/>
      <c r="U45" s="1484"/>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39" t="s">
        <v>2466</v>
      </c>
      <c r="C46" s="1540"/>
      <c r="D46" s="1541"/>
      <c r="E46" s="1542"/>
      <c r="F46" s="1542"/>
      <c r="G46" s="1542"/>
      <c r="H46" s="1542"/>
      <c r="I46" s="1542"/>
      <c r="J46" s="1543"/>
      <c r="K46" s="205">
        <f t="shared" si="205"/>
        <v>0</v>
      </c>
      <c r="L46" s="205">
        <f t="shared" si="0"/>
        <v>0</v>
      </c>
      <c r="M46" s="1544"/>
      <c r="N46" s="1544"/>
      <c r="O46" s="1544"/>
      <c r="P46" s="559" t="str">
        <f t="shared" si="203"/>
        <v/>
      </c>
      <c r="Q46" s="560" t="str">
        <f>IF(H46="","",P46/($P$6*VLOOKUP(C46,'DCA Underwriting Assumptions'!$J$81:$K$86,2,FALSE)))</f>
        <v/>
      </c>
      <c r="R46" s="667"/>
      <c r="S46" s="560"/>
      <c r="T46" s="1483"/>
      <c r="U46" s="1484"/>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5" t="s">
        <v>2466</v>
      </c>
      <c r="C47" s="1546"/>
      <c r="D47" s="1547"/>
      <c r="E47" s="1548"/>
      <c r="F47" s="1548"/>
      <c r="G47" s="1548"/>
      <c r="H47" s="1548"/>
      <c r="I47" s="1548"/>
      <c r="J47" s="1549"/>
      <c r="K47" s="206">
        <f t="shared" si="204"/>
        <v>0</v>
      </c>
      <c r="L47" s="206">
        <f t="shared" si="0"/>
        <v>0</v>
      </c>
      <c r="M47" s="1550"/>
      <c r="N47" s="1550"/>
      <c r="O47" s="1550"/>
      <c r="P47" s="559" t="str">
        <f t="shared" si="203"/>
        <v/>
      </c>
      <c r="Q47" s="560" t="str">
        <f>IF(H47="","",P47/($P$6*VLOOKUP(C47,'DCA Underwriting Assumptions'!$J$81:$K$86,2,FALSE)))</f>
        <v/>
      </c>
      <c r="R47" s="667"/>
      <c r="S47" s="560"/>
      <c r="T47" s="1486"/>
      <c r="U47" s="1487"/>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80</v>
      </c>
      <c r="F48" s="154">
        <f>(E10*F10+E11*F11+E12*F12+E13*F13+E14*F14+E15*F15+E16*F16+E17*F17+E18*F18+E19*F19+E20*F20+E21*F21+E22*F22+E23*F23+E24*F24+E25*F25+E26*F26+E27*F27+E28*F28+E29*F29+E30*F30+E31*F31+E32*F32+E33*F33+E34*F34+E35*F35+E36*F36+E37*F37+E38*F38+E39*F39+E40*F40+E41*F41+E42*F42+E43*F43+E44*F44+E45*F45+E46*F46+E47*F47)</f>
        <v>94136</v>
      </c>
      <c r="G48" s="145"/>
      <c r="H48" s="146"/>
      <c r="I48" s="146"/>
      <c r="J48" s="146"/>
      <c r="K48" s="15" t="s">
        <v>1736</v>
      </c>
      <c r="L48" s="152">
        <f>SUM(L10:L47)</f>
        <v>32170</v>
      </c>
      <c r="M48" s="1"/>
      <c r="N48" s="40"/>
      <c r="O48" s="1"/>
      <c r="P48" s="562"/>
      <c r="Q48" s="562"/>
      <c r="R48" s="562"/>
      <c r="S48" s="562"/>
      <c r="T48" s="561"/>
      <c r="U48" s="563"/>
      <c r="V48" s="638">
        <f t="shared" ref="V48:CK48" si="206">SUM(V10:V47)</f>
        <v>0</v>
      </c>
      <c r="W48" s="638">
        <f t="shared" si="206"/>
        <v>10</v>
      </c>
      <c r="X48" s="638">
        <f t="shared" si="206"/>
        <v>31</v>
      </c>
      <c r="Y48" s="638">
        <f t="shared" si="206"/>
        <v>14</v>
      </c>
      <c r="Z48" s="638">
        <f t="shared" si="206"/>
        <v>0</v>
      </c>
      <c r="AA48" s="638">
        <f t="shared" si="206"/>
        <v>0</v>
      </c>
      <c r="AB48" s="638">
        <f t="shared" si="206"/>
        <v>4</v>
      </c>
      <c r="AC48" s="638">
        <f t="shared" si="206"/>
        <v>4</v>
      </c>
      <c r="AD48" s="638">
        <f t="shared" si="206"/>
        <v>8</v>
      </c>
      <c r="AE48" s="638">
        <f t="shared" si="206"/>
        <v>0</v>
      </c>
      <c r="AF48" s="638">
        <f t="shared" si="206"/>
        <v>0</v>
      </c>
      <c r="AG48" s="638">
        <f t="shared" si="206"/>
        <v>0</v>
      </c>
      <c r="AH48" s="638">
        <f t="shared" si="206"/>
        <v>0</v>
      </c>
      <c r="AI48" s="638">
        <f t="shared" si="206"/>
        <v>0</v>
      </c>
      <c r="AJ48" s="638">
        <f t="shared" si="206"/>
        <v>0</v>
      </c>
      <c r="AK48" s="638">
        <f t="shared" si="206"/>
        <v>0</v>
      </c>
      <c r="AL48" s="638">
        <f t="shared" si="206"/>
        <v>2</v>
      </c>
      <c r="AM48" s="638">
        <f t="shared" si="206"/>
        <v>4</v>
      </c>
      <c r="AN48" s="638">
        <f t="shared" si="206"/>
        <v>2</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1</v>
      </c>
      <c r="BW48" s="638">
        <f t="shared" si="206"/>
        <v>0</v>
      </c>
      <c r="BX48" s="638">
        <f t="shared" si="206"/>
        <v>0</v>
      </c>
      <c r="BY48" s="638">
        <f t="shared" si="206"/>
        <v>0</v>
      </c>
      <c r="BZ48" s="638">
        <f t="shared" si="206"/>
        <v>8740</v>
      </c>
      <c r="CA48" s="638">
        <f t="shared" si="206"/>
        <v>36952</v>
      </c>
      <c r="CB48" s="638">
        <f t="shared" si="206"/>
        <v>18942</v>
      </c>
      <c r="CC48" s="638">
        <f t="shared" si="206"/>
        <v>0</v>
      </c>
      <c r="CD48" s="638">
        <f t="shared" si="206"/>
        <v>0</v>
      </c>
      <c r="CE48" s="638">
        <f t="shared" si="206"/>
        <v>3496</v>
      </c>
      <c r="CF48" s="638">
        <f t="shared" si="206"/>
        <v>4768</v>
      </c>
      <c r="CG48" s="638">
        <f t="shared" si="206"/>
        <v>10824</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1748</v>
      </c>
      <c r="CP48" s="638">
        <f t="shared" si="208"/>
        <v>4768</v>
      </c>
      <c r="CQ48" s="638">
        <f t="shared" si="208"/>
        <v>2706</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1192</v>
      </c>
      <c r="DA48" s="638">
        <f t="shared" si="208"/>
        <v>0</v>
      </c>
      <c r="DB48" s="638">
        <f t="shared" si="208"/>
        <v>0</v>
      </c>
      <c r="DC48" s="638">
        <f t="shared" si="208"/>
        <v>0</v>
      </c>
      <c r="DD48" s="638">
        <f t="shared" si="208"/>
        <v>14</v>
      </c>
      <c r="DE48" s="638">
        <f t="shared" si="208"/>
        <v>35</v>
      </c>
      <c r="DF48" s="638">
        <f t="shared" si="208"/>
        <v>22</v>
      </c>
      <c r="DG48" s="638">
        <f t="shared" si="208"/>
        <v>0</v>
      </c>
      <c r="DH48" s="638">
        <f t="shared" si="208"/>
        <v>0</v>
      </c>
      <c r="DI48" s="638">
        <f t="shared" si="208"/>
        <v>2</v>
      </c>
      <c r="DJ48" s="638">
        <f t="shared" si="208"/>
        <v>4</v>
      </c>
      <c r="DK48" s="638">
        <f t="shared" si="208"/>
        <v>2</v>
      </c>
      <c r="DL48" s="638">
        <f t="shared" si="208"/>
        <v>0</v>
      </c>
      <c r="DM48" s="638">
        <f>SUM(DM10:DM47)</f>
        <v>0</v>
      </c>
      <c r="DN48" s="638">
        <f>SUM(DN10:DN47)</f>
        <v>0</v>
      </c>
      <c r="DO48" s="638">
        <f>SUM(DO10:DO47)</f>
        <v>1</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16</v>
      </c>
      <c r="EX48" s="638">
        <f t="shared" si="209"/>
        <v>40</v>
      </c>
      <c r="EY48" s="638">
        <f t="shared" si="209"/>
        <v>24</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16</v>
      </c>
      <c r="GG48" s="638">
        <f t="shared" si="209"/>
        <v>40</v>
      </c>
      <c r="GH48" s="638">
        <f t="shared" si="209"/>
        <v>24</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386040</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1" t="s">
        <v>3421</v>
      </c>
      <c r="B51" s="1551"/>
      <c r="C51" s="1551"/>
      <c r="D51" s="1551"/>
      <c r="E51" s="1551"/>
      <c r="F51" s="1551"/>
      <c r="G51" s="1551"/>
      <c r="H51" s="1551"/>
      <c r="I51" s="1551"/>
      <c r="J51" s="1551"/>
      <c r="K51" s="1551"/>
      <c r="L51" s="1551"/>
      <c r="M51" s="1551"/>
      <c r="N51" s="1551"/>
      <c r="O51" s="1551"/>
      <c r="P51" s="1551"/>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1"/>
      <c r="B52" s="1551"/>
      <c r="C52" s="1551"/>
      <c r="D52" s="1551"/>
      <c r="E52" s="1551"/>
      <c r="F52" s="1551"/>
      <c r="G52" s="1551"/>
      <c r="H52" s="1551"/>
      <c r="I52" s="1551"/>
      <c r="J52" s="1551"/>
      <c r="K52" s="1551"/>
      <c r="L52" s="1551"/>
      <c r="M52" s="1551"/>
      <c r="N52" s="1551"/>
      <c r="O52" s="1551"/>
      <c r="P52" s="1551"/>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3" t="str">
        <f>IF(SUM(Q56:Q100)&gt;0,"ERROR Between Rent Schedule &amp; Unit Summary:", "")</f>
        <v>ERROR Between Rent Schedule &amp; Unit Summary:</v>
      </c>
      <c r="R53" s="804"/>
      <c r="S53" s="804"/>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5"/>
      <c r="S54" s="805"/>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4"/>
      <c r="R55" s="805"/>
      <c r="S55" s="805"/>
      <c r="T55" s="905" t="s">
        <v>2549</v>
      </c>
      <c r="U55" s="905"/>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10</v>
      </c>
      <c r="J56" s="343">
        <f>X48</f>
        <v>31</v>
      </c>
      <c r="K56" s="343">
        <f>Y48</f>
        <v>14</v>
      </c>
      <c r="L56" s="343">
        <f>Z48</f>
        <v>0</v>
      </c>
      <c r="M56" s="343">
        <f t="shared" ref="M56:M62" si="211">SUM(H56:L56)</f>
        <v>55</v>
      </c>
      <c r="N56" s="1025" t="s">
        <v>1286</v>
      </c>
      <c r="O56" s="1026"/>
      <c r="P56" s="806"/>
      <c r="Q56" s="538">
        <f t="shared" ref="Q56:Q62" si="212">ABS(M56-AF56)</f>
        <v>55</v>
      </c>
      <c r="R56" s="538"/>
      <c r="S56" s="538"/>
      <c r="T56" s="1481"/>
      <c r="U56" s="1482"/>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4</v>
      </c>
      <c r="J57" s="344">
        <f>AC48</f>
        <v>4</v>
      </c>
      <c r="K57" s="344">
        <f>AD48</f>
        <v>8</v>
      </c>
      <c r="L57" s="344">
        <f>AE48</f>
        <v>0</v>
      </c>
      <c r="M57" s="344">
        <f t="shared" si="211"/>
        <v>16</v>
      </c>
      <c r="N57" s="1025"/>
      <c r="O57" s="1026"/>
      <c r="P57" s="806"/>
      <c r="Q57" s="538">
        <f t="shared" si="212"/>
        <v>16</v>
      </c>
      <c r="R57" s="538"/>
      <c r="S57" s="538"/>
      <c r="T57" s="1483"/>
      <c r="U57" s="1484"/>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14</v>
      </c>
      <c r="J58" s="345">
        <f>SUM(J56:J57)</f>
        <v>35</v>
      </c>
      <c r="K58" s="345">
        <f>SUM(K56:K57)</f>
        <v>22</v>
      </c>
      <c r="L58" s="345">
        <f>SUM(L56:L57)</f>
        <v>0</v>
      </c>
      <c r="M58" s="345">
        <f t="shared" si="211"/>
        <v>71</v>
      </c>
      <c r="N58" s="348"/>
      <c r="O58" s="99"/>
      <c r="Q58" s="538">
        <f t="shared" si="212"/>
        <v>71</v>
      </c>
      <c r="R58" s="538"/>
      <c r="S58" s="538"/>
      <c r="T58" s="1483"/>
      <c r="U58" s="1484"/>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2</v>
      </c>
      <c r="J59" s="345">
        <f>AM48</f>
        <v>4</v>
      </c>
      <c r="K59" s="345">
        <f>AN48</f>
        <v>2</v>
      </c>
      <c r="L59" s="345">
        <f>AO48</f>
        <v>0</v>
      </c>
      <c r="M59" s="345">
        <f t="shared" si="211"/>
        <v>8</v>
      </c>
      <c r="N59" s="64"/>
      <c r="O59" s="99"/>
      <c r="Q59" s="538">
        <f t="shared" si="212"/>
        <v>8</v>
      </c>
      <c r="R59" s="538"/>
      <c r="S59" s="538"/>
      <c r="T59" s="1483"/>
      <c r="U59" s="1484"/>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16</v>
      </c>
      <c r="J60" s="345">
        <f>SUM(J58:J59)</f>
        <v>39</v>
      </c>
      <c r="K60" s="345">
        <f>SUM(K58:K59)</f>
        <v>24</v>
      </c>
      <c r="L60" s="345">
        <f>SUM(L58:L59)</f>
        <v>0</v>
      </c>
      <c r="M60" s="345">
        <f t="shared" si="211"/>
        <v>79</v>
      </c>
      <c r="N60" s="64"/>
      <c r="O60" s="99"/>
      <c r="Q60" s="538">
        <f t="shared" si="212"/>
        <v>79</v>
      </c>
      <c r="R60" s="538"/>
      <c r="S60" s="538"/>
      <c r="T60" s="1483"/>
      <c r="U60" s="1484"/>
      <c r="V60" s="642"/>
      <c r="W60" s="642"/>
      <c r="X60" s="642"/>
      <c r="Y60" s="642"/>
      <c r="Z60" s="643"/>
      <c r="AA60" s="644"/>
      <c r="AB60" s="644"/>
      <c r="AC60" s="644"/>
      <c r="AD60" s="644"/>
      <c r="AE60" s="644"/>
      <c r="AF60" s="644"/>
      <c r="AG60" s="623"/>
      <c r="AH60" s="628"/>
      <c r="GW60" s="640"/>
      <c r="HL60" s="624"/>
    </row>
    <row r="61" spans="1:221" ht="12" customHeight="1">
      <c r="A61" s="1022"/>
      <c r="B61" s="1022"/>
      <c r="C61" s="1" t="s">
        <v>3298</v>
      </c>
      <c r="D61" s="1"/>
      <c r="E61" s="1"/>
      <c r="F61" s="1"/>
      <c r="G61" s="44"/>
      <c r="H61" s="345">
        <f>BT48</f>
        <v>0</v>
      </c>
      <c r="I61" s="345">
        <f>BU48</f>
        <v>0</v>
      </c>
      <c r="J61" s="345">
        <f>BV48</f>
        <v>1</v>
      </c>
      <c r="K61" s="345">
        <f>BW48</f>
        <v>0</v>
      </c>
      <c r="L61" s="345">
        <f>BX48</f>
        <v>0</v>
      </c>
      <c r="M61" s="345">
        <f t="shared" si="211"/>
        <v>1</v>
      </c>
      <c r="N61" s="61" t="s">
        <v>2935</v>
      </c>
      <c r="O61" s="99"/>
      <c r="Q61" s="538">
        <f t="shared" si="212"/>
        <v>1</v>
      </c>
      <c r="R61" s="538"/>
      <c r="S61" s="538"/>
      <c r="T61" s="1483"/>
      <c r="U61" s="1484"/>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16</v>
      </c>
      <c r="J62" s="345">
        <f>SUM(J60:J61)</f>
        <v>40</v>
      </c>
      <c r="K62" s="345">
        <f>SUM(K60:K61)</f>
        <v>24</v>
      </c>
      <c r="L62" s="345">
        <f>SUM(L60:L61)</f>
        <v>0</v>
      </c>
      <c r="M62" s="345">
        <f t="shared" si="211"/>
        <v>80</v>
      </c>
      <c r="O62" s="99"/>
      <c r="Q62" s="538">
        <f t="shared" si="212"/>
        <v>80</v>
      </c>
      <c r="R62" s="538"/>
      <c r="S62" s="538"/>
      <c r="T62" s="1486"/>
      <c r="U62" s="1487"/>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81"/>
      <c r="U64" s="1482"/>
      <c r="V64" s="642"/>
      <c r="W64" s="642"/>
      <c r="X64" s="646"/>
      <c r="Y64" s="642"/>
      <c r="Z64" s="643"/>
      <c r="AA64" s="644"/>
      <c r="AB64" s="644"/>
      <c r="AC64" s="644"/>
      <c r="AD64" s="644"/>
      <c r="AE64" s="644"/>
      <c r="AF64" s="644"/>
      <c r="AG64" s="643"/>
      <c r="AH64" s="628"/>
      <c r="GW64" s="640"/>
      <c r="HL64" s="624"/>
    </row>
    <row r="65" spans="1:220" ht="12" customHeight="1">
      <c r="A65" s="1022"/>
      <c r="B65" s="1022"/>
      <c r="C65" s="44" t="s">
        <v>3299</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3"/>
      <c r="U65" s="1484"/>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86"/>
      <c r="U66" s="1487"/>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1"/>
      <c r="U68" s="1482"/>
      <c r="V68" s="628"/>
      <c r="W68" s="642"/>
      <c r="X68" s="646"/>
      <c r="Y68" s="642"/>
      <c r="Z68" s="643"/>
      <c r="AA68" s="644"/>
      <c r="AB68" s="644"/>
      <c r="AC68" s="644"/>
      <c r="AD68" s="644"/>
      <c r="AE68" s="644"/>
      <c r="AF68" s="644"/>
      <c r="AG68" s="643"/>
      <c r="AH68" s="628"/>
      <c r="GW68" s="640"/>
      <c r="HL68" s="624"/>
    </row>
    <row r="69" spans="1:220" ht="12" customHeight="1">
      <c r="A69" s="1022"/>
      <c r="B69" s="1022"/>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3"/>
      <c r="U69" s="1484"/>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6"/>
      <c r="U70" s="1487"/>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3024</v>
      </c>
      <c r="F72" s="1"/>
      <c r="G72" s="44" t="s">
        <v>1875</v>
      </c>
      <c r="H72" s="343">
        <f>DC48</f>
        <v>0</v>
      </c>
      <c r="I72" s="343">
        <f>DD48</f>
        <v>14</v>
      </c>
      <c r="J72" s="343">
        <f>DE48</f>
        <v>35</v>
      </c>
      <c r="K72" s="343">
        <f>DF48</f>
        <v>22</v>
      </c>
      <c r="L72" s="343">
        <f>DG48</f>
        <v>0</v>
      </c>
      <c r="M72" s="343">
        <f t="shared" ref="M72:M82" si="213">SUM(H72:L72)</f>
        <v>71</v>
      </c>
      <c r="N72" s="31"/>
      <c r="O72" s="99"/>
      <c r="Q72" s="538">
        <f t="shared" ref="Q72:Q80" si="214">ABS(M72-AF72)</f>
        <v>71</v>
      </c>
      <c r="R72" s="538"/>
      <c r="S72" s="538"/>
      <c r="T72" s="1481"/>
      <c r="U72" s="1482"/>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2</v>
      </c>
      <c r="J73" s="347">
        <f>DJ48</f>
        <v>4</v>
      </c>
      <c r="K73" s="347">
        <f>DK48</f>
        <v>2</v>
      </c>
      <c r="L73" s="347">
        <f>DL48</f>
        <v>0</v>
      </c>
      <c r="M73" s="347">
        <f t="shared" si="213"/>
        <v>8</v>
      </c>
      <c r="N73" s="64"/>
      <c r="O73" s="99"/>
      <c r="Q73" s="538">
        <f t="shared" si="214"/>
        <v>8</v>
      </c>
      <c r="R73" s="538"/>
      <c r="S73" s="538"/>
      <c r="T73" s="1483"/>
      <c r="U73" s="1484"/>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16</v>
      </c>
      <c r="J74" s="345">
        <f>SUM(J72:J73)+DO48</f>
        <v>40</v>
      </c>
      <c r="K74" s="345">
        <f>SUM(K72:K73)+DP48</f>
        <v>24</v>
      </c>
      <c r="L74" s="345">
        <f>SUM(L72:L73)+DQ48</f>
        <v>0</v>
      </c>
      <c r="M74" s="345">
        <f t="shared" si="213"/>
        <v>80</v>
      </c>
      <c r="N74" s="61"/>
      <c r="O74" s="99"/>
      <c r="Q74" s="538">
        <f t="shared" si="214"/>
        <v>80</v>
      </c>
      <c r="R74" s="538"/>
      <c r="S74" s="538"/>
      <c r="T74" s="1483"/>
      <c r="U74" s="1484"/>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2853</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3"/>
      <c r="U75" s="1484"/>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3"/>
      <c r="U76" s="1484"/>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3"/>
      <c r="U77" s="1484"/>
      <c r="V77" s="645"/>
      <c r="W77" s="642"/>
      <c r="X77" s="646"/>
      <c r="Y77" s="642"/>
      <c r="Z77" s="647"/>
      <c r="AA77" s="644"/>
      <c r="AB77" s="644"/>
      <c r="AC77" s="644"/>
      <c r="AD77" s="644"/>
      <c r="AE77" s="644"/>
      <c r="AF77" s="644"/>
      <c r="AG77" s="643"/>
      <c r="AH77" s="628"/>
      <c r="GW77" s="640"/>
      <c r="HL77" s="624"/>
    </row>
    <row r="78" spans="1:220" ht="12" customHeight="1">
      <c r="C78" s="1"/>
      <c r="D78" s="1"/>
      <c r="E78" s="1020" t="s">
        <v>1860</v>
      </c>
      <c r="F78" s="1020"/>
      <c r="G78" s="44" t="s">
        <v>1875</v>
      </c>
      <c r="H78" s="343">
        <f>EG48</f>
        <v>0</v>
      </c>
      <c r="I78" s="343">
        <f>EH48</f>
        <v>0</v>
      </c>
      <c r="J78" s="343">
        <f>EI48</f>
        <v>0</v>
      </c>
      <c r="K78" s="343">
        <f>EJ48</f>
        <v>0</v>
      </c>
      <c r="L78" s="343">
        <f>EK48</f>
        <v>0</v>
      </c>
      <c r="M78" s="343">
        <f t="shared" si="213"/>
        <v>0</v>
      </c>
      <c r="N78" s="31"/>
      <c r="O78" s="99"/>
      <c r="Q78" s="538">
        <f t="shared" si="214"/>
        <v>0</v>
      </c>
      <c r="R78" s="538"/>
      <c r="S78" s="538"/>
      <c r="T78" s="1483"/>
      <c r="U78" s="1484"/>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0"/>
      <c r="F79" s="1020"/>
      <c r="G79" s="44" t="s">
        <v>333</v>
      </c>
      <c r="H79" s="347">
        <f>EL48</f>
        <v>0</v>
      </c>
      <c r="I79" s="347">
        <f>EM48</f>
        <v>0</v>
      </c>
      <c r="J79" s="347">
        <f>EN48</f>
        <v>0</v>
      </c>
      <c r="K79" s="347">
        <f>EO48</f>
        <v>0</v>
      </c>
      <c r="L79" s="347">
        <f>EP48</f>
        <v>0</v>
      </c>
      <c r="M79" s="347">
        <f t="shared" si="213"/>
        <v>0</v>
      </c>
      <c r="N79" s="64"/>
      <c r="O79" s="99"/>
      <c r="Q79" s="538">
        <f t="shared" si="214"/>
        <v>0</v>
      </c>
      <c r="R79" s="538"/>
      <c r="S79" s="538"/>
      <c r="T79" s="1483"/>
      <c r="U79" s="1484"/>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3"/>
      <c r="U80" s="1484"/>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2"/>
      <c r="I81" s="1552"/>
      <c r="J81" s="1552"/>
      <c r="K81" s="1552"/>
      <c r="L81" s="1552"/>
      <c r="M81" s="343">
        <f t="shared" si="213"/>
        <v>0</v>
      </c>
      <c r="N81" s="31"/>
      <c r="O81" s="99"/>
      <c r="T81" s="1483"/>
      <c r="U81" s="1484"/>
      <c r="V81" s="642"/>
      <c r="W81" s="642"/>
      <c r="X81" s="642"/>
      <c r="Y81" s="642"/>
      <c r="Z81" s="643"/>
      <c r="AA81" s="644"/>
      <c r="AB81" s="644"/>
      <c r="AC81" s="644"/>
      <c r="AD81" s="644"/>
      <c r="AE81" s="644"/>
      <c r="AF81" s="644"/>
      <c r="AG81" s="623"/>
      <c r="AH81" s="628"/>
      <c r="GW81" s="640"/>
      <c r="HL81" s="624"/>
    </row>
    <row r="82" spans="1:220" ht="12" customHeight="1">
      <c r="A82" s="1032" t="str">
        <f>IF(AND('Part IV-Uses of Funds'!$T$162="Yes",'Part IX A-Scoring Criteria'!$O$240&gt;0,M82&lt;1),"SHOW HISTORIC UNITS HERE &gt;&gt;&gt;&gt;","")</f>
        <v/>
      </c>
      <c r="B82" s="1032"/>
      <c r="C82" s="1032"/>
      <c r="D82" s="1032"/>
      <c r="E82" s="752" t="s">
        <v>400</v>
      </c>
      <c r="F82" s="1"/>
      <c r="G82" s="44"/>
      <c r="H82" s="1553"/>
      <c r="I82" s="1553"/>
      <c r="J82" s="1553"/>
      <c r="K82" s="1553"/>
      <c r="L82" s="1553"/>
      <c r="M82" s="347">
        <f t="shared" si="213"/>
        <v>0</v>
      </c>
      <c r="N82" s="64"/>
      <c r="O82" s="99"/>
      <c r="T82" s="1486"/>
      <c r="U82" s="1487"/>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16</v>
      </c>
      <c r="J84" s="343">
        <f>SUM(J85:J88)</f>
        <v>40</v>
      </c>
      <c r="K84" s="343">
        <f>SUM(K85:K88)</f>
        <v>24</v>
      </c>
      <c r="L84" s="343">
        <f>SUM(L85:L88)</f>
        <v>0</v>
      </c>
      <c r="M84" s="343">
        <f t="shared" ref="M84:M92" si="215">SUM(H84:L84)</f>
        <v>80</v>
      </c>
      <c r="N84" s="31"/>
      <c r="O84" s="99"/>
      <c r="Q84" s="538">
        <f>ABS(M84-AF84)</f>
        <v>80</v>
      </c>
      <c r="R84" s="538"/>
      <c r="S84" s="538"/>
      <c r="T84" s="1481"/>
      <c r="U84" s="1482"/>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0</v>
      </c>
      <c r="J85" s="346">
        <f>FW48</f>
        <v>0</v>
      </c>
      <c r="K85" s="346">
        <f>FX48</f>
        <v>0</v>
      </c>
      <c r="L85" s="346">
        <f>FY48</f>
        <v>0</v>
      </c>
      <c r="M85" s="344">
        <f t="shared" si="215"/>
        <v>0</v>
      </c>
      <c r="N85" s="31"/>
      <c r="O85" s="99"/>
      <c r="Q85" s="538"/>
      <c r="R85" s="538"/>
      <c r="S85" s="538"/>
      <c r="T85" s="1483"/>
      <c r="U85" s="1484"/>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0</v>
      </c>
      <c r="J86" s="346">
        <f>GB48</f>
        <v>0</v>
      </c>
      <c r="K86" s="346">
        <f>GC48</f>
        <v>0</v>
      </c>
      <c r="L86" s="346">
        <f>GD48</f>
        <v>0</v>
      </c>
      <c r="M86" s="344">
        <f t="shared" si="215"/>
        <v>0</v>
      </c>
      <c r="N86" s="31"/>
      <c r="O86" s="99"/>
      <c r="Q86" s="538"/>
      <c r="R86" s="538"/>
      <c r="S86" s="538"/>
      <c r="T86" s="1483"/>
      <c r="U86" s="1484"/>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16</v>
      </c>
      <c r="J87" s="346">
        <f>GG48</f>
        <v>40</v>
      </c>
      <c r="K87" s="346">
        <f>GH48</f>
        <v>24</v>
      </c>
      <c r="L87" s="346">
        <f>GI48</f>
        <v>0</v>
      </c>
      <c r="M87" s="344">
        <f t="shared" si="215"/>
        <v>80</v>
      </c>
      <c r="N87" s="31"/>
      <c r="O87" s="99"/>
      <c r="Q87" s="538"/>
      <c r="R87" s="538"/>
      <c r="S87" s="538"/>
      <c r="T87" s="1483"/>
      <c r="U87" s="1484"/>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0</v>
      </c>
      <c r="J88" s="346">
        <f>GL48</f>
        <v>0</v>
      </c>
      <c r="K88" s="346">
        <f>GM48</f>
        <v>0</v>
      </c>
      <c r="L88" s="346">
        <f>GN48</f>
        <v>0</v>
      </c>
      <c r="M88" s="346">
        <f t="shared" si="215"/>
        <v>0</v>
      </c>
      <c r="N88" s="31"/>
      <c r="O88" s="99"/>
      <c r="Q88" s="538"/>
      <c r="R88" s="538"/>
      <c r="S88" s="538"/>
      <c r="T88" s="1483"/>
      <c r="U88" s="1484"/>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3"/>
      <c r="U89" s="1484"/>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3"/>
      <c r="U90" s="1484"/>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3"/>
      <c r="U91" s="1484"/>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6"/>
      <c r="U92" s="1487"/>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8740</v>
      </c>
      <c r="J94" s="201">
        <f>CA48</f>
        <v>36952</v>
      </c>
      <c r="K94" s="201">
        <f>CB48</f>
        <v>18942</v>
      </c>
      <c r="L94" s="201">
        <f>CC48</f>
        <v>0</v>
      </c>
      <c r="M94" s="201">
        <f t="shared" ref="M94:M100" si="216">SUM(H94:L94)</f>
        <v>64634</v>
      </c>
      <c r="O94" s="99"/>
      <c r="Q94" s="538">
        <f t="shared" ref="Q94:Q100" si="217">ABS(M94-AF94)</f>
        <v>64634</v>
      </c>
      <c r="R94" s="538"/>
      <c r="S94" s="538"/>
      <c r="T94" s="1481"/>
      <c r="U94" s="1482"/>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3496</v>
      </c>
      <c r="J95" s="203">
        <f>CF48</f>
        <v>4768</v>
      </c>
      <c r="K95" s="203">
        <f>CG48</f>
        <v>10824</v>
      </c>
      <c r="L95" s="203">
        <f>CH48</f>
        <v>0</v>
      </c>
      <c r="M95" s="203">
        <f t="shared" si="216"/>
        <v>19088</v>
      </c>
      <c r="N95" s="6"/>
      <c r="O95" s="99"/>
      <c r="Q95" s="538">
        <f t="shared" si="217"/>
        <v>19088</v>
      </c>
      <c r="R95" s="538"/>
      <c r="S95" s="538"/>
      <c r="T95" s="1483"/>
      <c r="U95" s="1484"/>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12236</v>
      </c>
      <c r="J96" s="200">
        <f>SUM(J94:J95)</f>
        <v>41720</v>
      </c>
      <c r="K96" s="200">
        <f>SUM(K94:K95)</f>
        <v>29766</v>
      </c>
      <c r="L96" s="200">
        <f>SUM(L94:L95)</f>
        <v>0</v>
      </c>
      <c r="M96" s="200">
        <f t="shared" si="216"/>
        <v>83722</v>
      </c>
      <c r="N96" s="6"/>
      <c r="O96" s="99"/>
      <c r="Q96" s="538">
        <f t="shared" si="217"/>
        <v>83722</v>
      </c>
      <c r="R96" s="538"/>
      <c r="S96" s="538"/>
      <c r="T96" s="1483"/>
      <c r="U96" s="1484"/>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1748</v>
      </c>
      <c r="J97" s="200">
        <f>CP48</f>
        <v>4768</v>
      </c>
      <c r="K97" s="200">
        <f>CQ48</f>
        <v>2706</v>
      </c>
      <c r="L97" s="200">
        <f>CR48</f>
        <v>0</v>
      </c>
      <c r="M97" s="200">
        <f t="shared" si="216"/>
        <v>9222</v>
      </c>
      <c r="O97" s="99"/>
      <c r="Q97" s="538">
        <f t="shared" si="217"/>
        <v>9222</v>
      </c>
      <c r="R97" s="538"/>
      <c r="S97" s="538"/>
      <c r="T97" s="1483"/>
      <c r="U97" s="1484"/>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13984</v>
      </c>
      <c r="J98" s="200">
        <f>SUM(J96:J97)</f>
        <v>46488</v>
      </c>
      <c r="K98" s="200">
        <f>SUM(K96:K97)</f>
        <v>32472</v>
      </c>
      <c r="L98" s="200">
        <f>SUM(L96:L97)</f>
        <v>0</v>
      </c>
      <c r="M98" s="200">
        <f t="shared" si="216"/>
        <v>92944</v>
      </c>
      <c r="O98" s="99"/>
      <c r="Q98" s="538">
        <f t="shared" si="217"/>
        <v>92944</v>
      </c>
      <c r="R98" s="538"/>
      <c r="S98" s="538"/>
      <c r="T98" s="1483"/>
      <c r="U98" s="1484"/>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1192</v>
      </c>
      <c r="K99" s="200">
        <f>DA48</f>
        <v>0</v>
      </c>
      <c r="L99" s="200">
        <f>DB48</f>
        <v>0</v>
      </c>
      <c r="M99" s="200">
        <f t="shared" si="216"/>
        <v>1192</v>
      </c>
      <c r="O99" s="99"/>
      <c r="Q99" s="538">
        <f t="shared" si="217"/>
        <v>1192</v>
      </c>
      <c r="R99" s="538"/>
      <c r="S99" s="538"/>
      <c r="T99" s="1483"/>
      <c r="U99" s="1484"/>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13984</v>
      </c>
      <c r="J100" s="200">
        <f>SUM(J98:J99)</f>
        <v>47680</v>
      </c>
      <c r="K100" s="200">
        <f>SUM(K98:K99)</f>
        <v>32472</v>
      </c>
      <c r="L100" s="200">
        <f>SUM(L98:L99)</f>
        <v>0</v>
      </c>
      <c r="M100" s="200">
        <f t="shared" si="216"/>
        <v>94136</v>
      </c>
      <c r="O100" s="99"/>
      <c r="Q100" s="538">
        <f t="shared" si="217"/>
        <v>94136</v>
      </c>
      <c r="R100" s="538"/>
      <c r="S100" s="538"/>
      <c r="T100" s="1486"/>
      <c r="U100" s="1487"/>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33">
        <f>'Part VII-Pro Forma'!B9*L49</f>
        <v>7720.8</v>
      </c>
      <c r="I104" s="1034"/>
      <c r="K104" s="747" t="s">
        <v>3759</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4"/>
      <c r="H109" s="1554"/>
      <c r="I109" s="1554"/>
      <c r="J109" s="1554"/>
      <c r="K109" s="1555"/>
      <c r="L109" s="1554"/>
      <c r="M109" s="1554"/>
      <c r="N109" s="1554"/>
      <c r="O109" s="1554"/>
      <c r="P109" s="1554"/>
      <c r="T109" s="1481"/>
      <c r="U109" s="1482"/>
    </row>
    <row r="110" spans="1:222" ht="15" customHeight="1">
      <c r="B110" s="9" t="s">
        <v>1046</v>
      </c>
      <c r="C110" s="1556"/>
      <c r="D110" s="1557"/>
      <c r="E110" s="1557"/>
      <c r="F110" s="1558"/>
      <c r="G110" s="1559"/>
      <c r="H110" s="1559"/>
      <c r="I110" s="1559"/>
      <c r="J110" s="1559"/>
      <c r="K110" s="1560"/>
      <c r="L110" s="1559"/>
      <c r="M110" s="1559"/>
      <c r="N110" s="1559"/>
      <c r="O110" s="1559"/>
      <c r="P110" s="1559"/>
      <c r="T110" s="1483"/>
      <c r="U110" s="1484"/>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6"/>
      <c r="U111" s="1487"/>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4"/>
      <c r="H114" s="1554"/>
      <c r="I114" s="1554"/>
      <c r="J114" s="1554"/>
      <c r="K114" s="1555"/>
      <c r="L114" s="1554"/>
      <c r="M114" s="1554"/>
      <c r="N114" s="1554"/>
      <c r="O114" s="1554"/>
      <c r="P114" s="1554"/>
      <c r="T114" s="1483"/>
      <c r="U114" s="1484"/>
    </row>
    <row r="115" spans="2:21" ht="15" customHeight="1">
      <c r="B115" s="9" t="s">
        <v>1046</v>
      </c>
      <c r="C115" s="1556"/>
      <c r="D115" s="1557"/>
      <c r="E115" s="1557"/>
      <c r="F115" s="1558"/>
      <c r="G115" s="1559"/>
      <c r="H115" s="1559"/>
      <c r="I115" s="1559"/>
      <c r="J115" s="1559"/>
      <c r="K115" s="1560"/>
      <c r="L115" s="1559"/>
      <c r="M115" s="1559"/>
      <c r="N115" s="1559"/>
      <c r="O115" s="1559"/>
      <c r="P115" s="1559"/>
      <c r="T115" s="1483"/>
      <c r="U115" s="1484"/>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6"/>
      <c r="U116" s="1487"/>
    </row>
    <row r="117" spans="2:21" ht="42.6" customHeight="1">
      <c r="B117" s="16"/>
      <c r="G117" s="42"/>
      <c r="P117" s="9"/>
      <c r="T117" s="213" t="s">
        <v>3422</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4"/>
      <c r="H119" s="1554"/>
      <c r="I119" s="1554"/>
      <c r="J119" s="1554"/>
      <c r="K119" s="1555"/>
      <c r="L119" s="1554"/>
      <c r="M119" s="1554"/>
      <c r="N119" s="1554"/>
      <c r="O119" s="1554"/>
      <c r="P119" s="1554"/>
      <c r="T119" s="1481"/>
      <c r="U119" s="1482"/>
    </row>
    <row r="120" spans="2:21" ht="15" customHeight="1">
      <c r="B120" s="9" t="s">
        <v>1046</v>
      </c>
      <c r="C120" s="1556"/>
      <c r="D120" s="1557"/>
      <c r="E120" s="1557"/>
      <c r="F120" s="1558"/>
      <c r="G120" s="1559"/>
      <c r="H120" s="1559"/>
      <c r="I120" s="1559"/>
      <c r="J120" s="1559"/>
      <c r="K120" s="1560"/>
      <c r="L120" s="1559"/>
      <c r="M120" s="1559"/>
      <c r="N120" s="1559"/>
      <c r="O120" s="1559"/>
      <c r="P120" s="1559"/>
      <c r="T120" s="1483"/>
      <c r="U120" s="1484"/>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6"/>
      <c r="U121" s="1487"/>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4"/>
      <c r="H124" s="1554"/>
      <c r="I124" s="1554"/>
      <c r="J124" s="1554"/>
      <c r="K124" s="1555"/>
      <c r="L124" s="1554"/>
      <c r="M124" s="1554"/>
      <c r="N124" s="1554"/>
      <c r="O124" s="1554"/>
      <c r="P124" s="1554"/>
      <c r="T124" s="1483"/>
      <c r="U124" s="1484"/>
    </row>
    <row r="125" spans="2:21" ht="15" customHeight="1">
      <c r="B125" s="9" t="s">
        <v>1046</v>
      </c>
      <c r="C125" s="1556"/>
      <c r="D125" s="1557"/>
      <c r="E125" s="1557"/>
      <c r="F125" s="1558"/>
      <c r="G125" s="1559"/>
      <c r="H125" s="1559"/>
      <c r="I125" s="1559"/>
      <c r="J125" s="1559"/>
      <c r="K125" s="1560"/>
      <c r="L125" s="1559"/>
      <c r="M125" s="1559"/>
      <c r="N125" s="1559"/>
      <c r="O125" s="1559"/>
      <c r="P125" s="1559"/>
      <c r="T125" s="1483"/>
      <c r="U125" s="1484"/>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6"/>
      <c r="U126" s="1487"/>
    </row>
    <row r="127" spans="2:21" ht="42.6" customHeight="1">
      <c r="B127" s="16"/>
      <c r="G127" s="42"/>
      <c r="P127" s="9"/>
      <c r="T127" s="213" t="s">
        <v>3423</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4"/>
      <c r="H129" s="1554"/>
      <c r="I129" s="1554"/>
      <c r="J129" s="1554"/>
      <c r="K129" s="1555"/>
      <c r="L129" s="1554"/>
      <c r="M129" s="1554"/>
      <c r="N129" s="1554"/>
      <c r="O129" s="1554"/>
      <c r="P129" s="1554"/>
      <c r="T129" s="1481"/>
      <c r="U129" s="1482"/>
    </row>
    <row r="130" spans="1:255" ht="15" customHeight="1">
      <c r="B130" s="9" t="s">
        <v>1046</v>
      </c>
      <c r="C130" s="1556"/>
      <c r="D130" s="1557"/>
      <c r="E130" s="1557"/>
      <c r="F130" s="1558"/>
      <c r="G130" s="1559"/>
      <c r="H130" s="1559"/>
      <c r="I130" s="1559"/>
      <c r="J130" s="1559"/>
      <c r="K130" s="1560"/>
      <c r="L130" s="1559"/>
      <c r="M130" s="1559"/>
      <c r="N130" s="1559"/>
      <c r="O130" s="1559"/>
      <c r="P130" s="1559"/>
      <c r="T130" s="1483"/>
      <c r="U130" s="1484"/>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6"/>
      <c r="U131" s="1487"/>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4"/>
      <c r="H134" s="1554"/>
      <c r="I134" s="1554"/>
      <c r="J134" s="1554"/>
      <c r="K134" s="1555"/>
      <c r="L134" s="1554"/>
      <c r="M134" s="1554"/>
      <c r="N134" s="1554"/>
      <c r="O134" s="1554"/>
      <c r="P134" s="1554"/>
      <c r="T134" s="1483"/>
      <c r="U134" s="1484"/>
    </row>
    <row r="135" spans="1:255" ht="15" customHeight="1">
      <c r="B135" s="9" t="s">
        <v>1046</v>
      </c>
      <c r="C135" s="1556"/>
      <c r="D135" s="1557"/>
      <c r="E135" s="1557"/>
      <c r="F135" s="1558"/>
      <c r="G135" s="1559"/>
      <c r="H135" s="1559"/>
      <c r="I135" s="1559"/>
      <c r="J135" s="1559"/>
      <c r="K135" s="1560"/>
      <c r="L135" s="1559"/>
      <c r="M135" s="1559"/>
      <c r="N135" s="1559"/>
      <c r="O135" s="1559"/>
      <c r="P135" s="1559"/>
      <c r="T135" s="1483"/>
      <c r="U135" s="1484"/>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6"/>
      <c r="U136" s="1487"/>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36" t="s">
        <v>2549</v>
      </c>
      <c r="U139" s="1036"/>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1"/>
      <c r="U140" s="1482"/>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561">
        <v>30000</v>
      </c>
      <c r="G141" s="1562"/>
      <c r="H141" s="1"/>
      <c r="I141" s="1" t="s">
        <v>1813</v>
      </c>
      <c r="J141" s="1"/>
      <c r="K141" s="1561"/>
      <c r="L141" s="1562"/>
      <c r="M141" s="1"/>
      <c r="N141" s="1" t="s">
        <v>1325</v>
      </c>
      <c r="O141" s="1"/>
      <c r="P141" s="1563">
        <v>56480</v>
      </c>
      <c r="T141" s="1483"/>
      <c r="U141" s="1484"/>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1">
        <v>10000</v>
      </c>
      <c r="G142" s="1562"/>
      <c r="H142" s="1"/>
      <c r="I142" s="1" t="s">
        <v>1814</v>
      </c>
      <c r="J142" s="1"/>
      <c r="K142" s="1561"/>
      <c r="L142" s="1562"/>
      <c r="M142" s="1"/>
      <c r="N142" s="1" t="s">
        <v>161</v>
      </c>
      <c r="O142" s="1"/>
      <c r="P142" s="1563">
        <v>32000</v>
      </c>
      <c r="T142" s="1483"/>
      <c r="U142" s="1484"/>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1"/>
      <c r="G143" s="1562"/>
      <c r="H143" s="1"/>
      <c r="I143" s="1"/>
      <c r="J143" s="151" t="s">
        <v>209</v>
      </c>
      <c r="K143" s="1018">
        <f>SUM(K141:L142)</f>
        <v>0</v>
      </c>
      <c r="L143" s="1019"/>
      <c r="M143" s="1"/>
      <c r="N143" s="1564" t="s">
        <v>55</v>
      </c>
      <c r="O143" s="1565"/>
      <c r="P143" s="1566"/>
      <c r="T143" s="1483"/>
      <c r="U143" s="1484"/>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67" t="s">
        <v>4115</v>
      </c>
      <c r="C144" s="1568"/>
      <c r="D144" s="1568"/>
      <c r="E144" s="1569"/>
      <c r="F144" s="1570">
        <v>4000</v>
      </c>
      <c r="G144" s="1571"/>
      <c r="H144" s="1"/>
      <c r="I144" s="1"/>
      <c r="J144" s="1"/>
      <c r="K144" s="1"/>
      <c r="L144" s="1"/>
      <c r="M144" s="1"/>
      <c r="N144" s="13" t="s">
        <v>209</v>
      </c>
      <c r="O144" s="1"/>
      <c r="P144" s="534">
        <f>SUM(P141:P143)</f>
        <v>88480</v>
      </c>
      <c r="T144" s="1483"/>
      <c r="U144" s="1484"/>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18">
        <f>SUM(F141:G144)</f>
        <v>44000</v>
      </c>
      <c r="G145" s="1019"/>
      <c r="H145" s="1"/>
      <c r="I145" s="1"/>
      <c r="J145" s="14"/>
      <c r="K145" s="1"/>
      <c r="L145" s="1"/>
      <c r="M145" s="1"/>
      <c r="N145" s="1"/>
      <c r="O145" s="1"/>
      <c r="P145" s="1"/>
      <c r="T145" s="1483"/>
      <c r="U145" s="1484"/>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3"/>
      <c r="U146" s="1484"/>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32958</v>
      </c>
      <c r="T147" s="1483"/>
      <c r="U147" s="1484"/>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1">
        <v>3000</v>
      </c>
      <c r="G148" s="1562"/>
      <c r="H148" s="1"/>
      <c r="I148" s="1" t="s">
        <v>2067</v>
      </c>
      <c r="J148" s="1"/>
      <c r="K148" s="1572">
        <v>3500</v>
      </c>
      <c r="L148" s="1573"/>
      <c r="M148" s="1"/>
      <c r="N148" s="515">
        <f>+P147/(M62*0.93)</f>
        <v>442.98387096774189</v>
      </c>
      <c r="O148" s="30" t="s">
        <v>3941</v>
      </c>
      <c r="P148" s="1"/>
      <c r="T148" s="1483"/>
      <c r="U148" s="1484"/>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1">
        <v>3000</v>
      </c>
      <c r="G149" s="1562"/>
      <c r="H149" s="1"/>
      <c r="I149" s="1" t="s">
        <v>2763</v>
      </c>
      <c r="J149" s="1"/>
      <c r="K149" s="1574">
        <v>7500</v>
      </c>
      <c r="L149" s="1575"/>
      <c r="M149" s="1"/>
      <c r="N149" s="515">
        <f>+P147/(M62*0.93)/12</f>
        <v>36.91532258064516</v>
      </c>
      <c r="O149" s="30" t="s">
        <v>3944</v>
      </c>
      <c r="P149" s="1"/>
      <c r="T149" s="1483"/>
      <c r="U149" s="1484"/>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1">
        <v>3000</v>
      </c>
      <c r="G150" s="1562"/>
      <c r="H150" s="1"/>
      <c r="I150" s="1" t="s">
        <v>2068</v>
      </c>
      <c r="J150" s="1"/>
      <c r="K150" s="1574">
        <v>3500</v>
      </c>
      <c r="L150" s="1575"/>
      <c r="M150" s="1"/>
      <c r="N150" s="1"/>
      <c r="O150" s="1"/>
      <c r="P150" s="1"/>
      <c r="T150" s="1483"/>
      <c r="U150" s="1484"/>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561"/>
      <c r="G151" s="1562"/>
      <c r="H151" s="1"/>
      <c r="I151" s="1564" t="s">
        <v>55</v>
      </c>
      <c r="J151" s="1565"/>
      <c r="K151" s="1572"/>
      <c r="L151" s="1573"/>
      <c r="M151" s="1"/>
      <c r="N151" s="1012" t="s">
        <v>3242</v>
      </c>
      <c r="O151" s="1013"/>
      <c r="P151" s="1013"/>
      <c r="T151" s="1483"/>
      <c r="U151" s="1484"/>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1"/>
      <c r="G152" s="1562"/>
      <c r="H152" s="1"/>
      <c r="I152" s="11"/>
      <c r="J152" s="13" t="s">
        <v>209</v>
      </c>
      <c r="K152" s="1016">
        <f>SUM(K148:K151)</f>
        <v>14500</v>
      </c>
      <c r="L152" s="1017"/>
      <c r="M152" s="1"/>
      <c r="N152" s="1013"/>
      <c r="O152" s="1013"/>
      <c r="P152" s="1013"/>
      <c r="T152" s="1486"/>
      <c r="U152" s="1487"/>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67" t="s">
        <v>55</v>
      </c>
      <c r="C153" s="1568"/>
      <c r="D153" s="1568"/>
      <c r="E153" s="1569"/>
      <c r="F153" s="1570"/>
      <c r="G153" s="1571"/>
      <c r="H153" s="1"/>
      <c r="I153" s="1"/>
      <c r="J153" s="14"/>
      <c r="K153" s="1"/>
      <c r="L153" s="1"/>
      <c r="M153" s="1"/>
      <c r="N153" s="1"/>
      <c r="O153" s="1"/>
      <c r="P153" s="1"/>
      <c r="T153" s="1481"/>
      <c r="U153" s="1482"/>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18">
        <f>SUM(F148:G153)</f>
        <v>9000</v>
      </c>
      <c r="G154" s="1019"/>
      <c r="H154" s="1"/>
      <c r="I154" s="1"/>
      <c r="J154" s="14"/>
      <c r="K154" s="1"/>
      <c r="L154" s="1"/>
      <c r="M154" s="1"/>
      <c r="N154" s="1"/>
      <c r="O154" s="1"/>
      <c r="P154" s="1"/>
      <c r="T154" s="1483"/>
      <c r="U154" s="1484"/>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3"/>
      <c r="U155" s="1484"/>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78" t="s">
        <v>3940</v>
      </c>
      <c r="K156" s="1"/>
      <c r="L156" s="1"/>
      <c r="M156" s="1"/>
      <c r="N156" s="11" t="s">
        <v>2905</v>
      </c>
      <c r="O156" s="6"/>
      <c r="P156" s="6"/>
      <c r="T156" s="1483"/>
      <c r="U156" s="1484"/>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76">
        <v>12000</v>
      </c>
      <c r="G157" s="1577"/>
      <c r="H157" s="1"/>
      <c r="I157" s="1" t="s">
        <v>1803</v>
      </c>
      <c r="J157" s="770">
        <f>K157/12/M62</f>
        <v>10.416666666666668</v>
      </c>
      <c r="K157" s="1574">
        <v>10000</v>
      </c>
      <c r="L157" s="1575"/>
      <c r="M157" s="1"/>
      <c r="N157" s="771">
        <f>+P157/M62</f>
        <v>3511.7249999999999</v>
      </c>
      <c r="O157" s="30" t="s">
        <v>3945</v>
      </c>
      <c r="P157" s="532">
        <f>F145+F154+F165+K143+K152+K162+P144+P147</f>
        <v>280938</v>
      </c>
      <c r="T157" s="1483"/>
      <c r="U157" s="1484"/>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76">
        <v>12000</v>
      </c>
      <c r="G158" s="1577"/>
      <c r="H158" s="1"/>
      <c r="I158" s="1" t="s">
        <v>1804</v>
      </c>
      <c r="J158" s="770">
        <f>K158/12/M62</f>
        <v>0</v>
      </c>
      <c r="K158" s="1574"/>
      <c r="L158" s="1575"/>
      <c r="M158" s="1"/>
      <c r="N158" s="1"/>
      <c r="O158" s="1"/>
      <c r="P158" s="1"/>
      <c r="T158" s="1483"/>
      <c r="U158" s="1484"/>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76">
        <v>8000</v>
      </c>
      <c r="G159" s="1577"/>
      <c r="H159" s="1"/>
      <c r="I159" s="1" t="s">
        <v>3106</v>
      </c>
      <c r="J159" s="770">
        <f>K159/12/M62</f>
        <v>20.833333333333336</v>
      </c>
      <c r="K159" s="1574">
        <v>20000</v>
      </c>
      <c r="L159" s="1575"/>
      <c r="M159" s="1"/>
      <c r="N159" s="1"/>
      <c r="O159" s="1"/>
      <c r="P159" s="1"/>
      <c r="T159" s="1483"/>
      <c r="U159" s="1484"/>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1">
        <v>8000</v>
      </c>
      <c r="G160" s="1562"/>
      <c r="H160" s="1"/>
      <c r="I160" s="1" t="s">
        <v>1806</v>
      </c>
      <c r="J160" s="1"/>
      <c r="K160" s="1574">
        <v>10000</v>
      </c>
      <c r="L160" s="1575"/>
      <c r="M160" s="1"/>
      <c r="N160" s="11" t="s">
        <v>1667</v>
      </c>
      <c r="O160" s="11"/>
      <c r="P160" s="533">
        <f>P161*M62</f>
        <v>20000</v>
      </c>
      <c r="T160" s="1483"/>
      <c r="U160" s="1484"/>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1">
        <v>6000</v>
      </c>
      <c r="G161" s="1562"/>
      <c r="H161" s="1"/>
      <c r="I161" s="1564" t="s">
        <v>55</v>
      </c>
      <c r="J161" s="1565"/>
      <c r="K161" s="1572"/>
      <c r="L161" s="1573"/>
      <c r="M161" s="1"/>
      <c r="N161" s="30" t="s">
        <v>592</v>
      </c>
      <c r="O161" s="1"/>
      <c r="P161" s="1578">
        <v>250</v>
      </c>
      <c r="T161" s="1483"/>
      <c r="U161" s="1484"/>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1"/>
      <c r="G162" s="1562"/>
      <c r="H162" s="1"/>
      <c r="I162" s="1"/>
      <c r="J162" s="13" t="s">
        <v>209</v>
      </c>
      <c r="K162" s="1016">
        <f>SUM(K157:K161)</f>
        <v>40000</v>
      </c>
      <c r="L162" s="1017"/>
      <c r="M162" s="1"/>
      <c r="N162" s="1"/>
      <c r="O162" s="1"/>
      <c r="T162" s="1483"/>
      <c r="U162" s="1484"/>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1">
        <v>6000</v>
      </c>
      <c r="G163" s="1562"/>
      <c r="H163" s="1"/>
      <c r="I163" s="1"/>
      <c r="J163" s="14"/>
      <c r="K163" s="1"/>
      <c r="L163" s="1"/>
      <c r="M163" s="1"/>
      <c r="N163" s="1"/>
      <c r="O163" s="1"/>
      <c r="T163" s="1483"/>
      <c r="U163" s="1484"/>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67" t="s">
        <v>55</v>
      </c>
      <c r="C164" s="1568"/>
      <c r="D164" s="1568"/>
      <c r="E164" s="1569"/>
      <c r="F164" s="1570"/>
      <c r="G164" s="1571"/>
      <c r="H164" s="1"/>
      <c r="I164" s="1"/>
      <c r="J164" s="14"/>
      <c r="K164" s="1"/>
      <c r="L164" s="1"/>
      <c r="M164" s="1"/>
      <c r="N164" s="11" t="s">
        <v>2906</v>
      </c>
      <c r="O164" s="11"/>
      <c r="P164" s="11"/>
      <c r="T164" s="1483"/>
      <c r="U164" s="1484"/>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14">
        <f>SUM(F157:G164)</f>
        <v>52000</v>
      </c>
      <c r="G165" s="1015"/>
      <c r="H165" s="1"/>
      <c r="I165" s="1"/>
      <c r="J165" s="14"/>
      <c r="K165" s="1"/>
      <c r="L165" s="1"/>
      <c r="M165" s="1"/>
      <c r="N165" s="1"/>
      <c r="O165" s="1"/>
      <c r="P165" s="532">
        <f>P157+P160</f>
        <v>300938</v>
      </c>
      <c r="T165" s="1486"/>
      <c r="U165" s="1487"/>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145.5" customHeight="1">
      <c r="A168" s="1374" t="s">
        <v>4128</v>
      </c>
      <c r="B168" s="1375"/>
      <c r="C168" s="1375"/>
      <c r="D168" s="1375"/>
      <c r="E168" s="1375"/>
      <c r="F168" s="1375"/>
      <c r="G168" s="1375"/>
      <c r="H168" s="1375"/>
      <c r="I168" s="1375"/>
      <c r="J168" s="1376"/>
      <c r="K168" s="1377"/>
      <c r="L168" s="1378"/>
      <c r="M168" s="1378"/>
      <c r="N168" s="1378"/>
      <c r="O168" s="1378"/>
      <c r="P168" s="1379"/>
      <c r="T168" s="914" t="s">
        <v>3596</v>
      </c>
      <c r="U168" s="914"/>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2" right="0.2" top="0.5" bottom="0.5" header="0.3" footer="0.3"/>
  <pageSetup scale="88" fitToHeight="0" orientation="landscape" r:id="rId1"/>
  <headerFooter>
    <oddHeader>&amp;LGeorgia Department of Community Affairs&amp;RHousing  Finance and Development Division</oddHeader>
    <oddFooter>&amp;C&amp;9&amp;P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2013-001 Forest Mill Apartments, West Point, Troup County</v>
      </c>
      <c r="B1" s="1579"/>
      <c r="C1" s="1579"/>
      <c r="D1" s="1579"/>
      <c r="E1" s="1579"/>
      <c r="F1" s="1579"/>
      <c r="G1" s="1579"/>
      <c r="H1" s="1579"/>
      <c r="I1" s="1579"/>
      <c r="J1" s="1579"/>
      <c r="K1" s="1580"/>
      <c r="L1" s="11"/>
      <c r="M1" s="1037" t="str">
        <f>A1</f>
        <v>PART SEVEN - OPERATING PRO FORMA  -  2013-001 Forest Mill Apartments, West Point, Troup County</v>
      </c>
      <c r="N1" s="1037"/>
      <c r="O1" s="11"/>
    </row>
    <row r="2" spans="1:15" ht="13.5" customHeight="1">
      <c r="A2" s="751"/>
      <c r="B2" s="751"/>
      <c r="C2" s="751"/>
      <c r="D2" s="751"/>
      <c r="E2" s="751"/>
      <c r="F2" s="751"/>
      <c r="G2" s="751"/>
      <c r="H2" s="751"/>
      <c r="I2" s="751"/>
      <c r="J2" s="751"/>
      <c r="K2" s="751"/>
      <c r="M2" s="1038" t="s">
        <v>2549</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1581">
        <v>2500</v>
      </c>
      <c r="H5" s="117" t="s">
        <v>2616</v>
      </c>
      <c r="K5" s="122">
        <f>IF(($B$14+$B$15+$B$16+$B$17)=0,"",-B28/($B$14+$B$15+$B$16+$B$17))</f>
        <v>6.8269163487344412E-3</v>
      </c>
      <c r="M5" s="1481"/>
      <c r="N5" s="1482"/>
    </row>
    <row r="6" spans="1:15">
      <c r="A6" s="19" t="s">
        <v>2908</v>
      </c>
      <c r="B6" s="94">
        <v>0.03</v>
      </c>
      <c r="C6" s="19"/>
      <c r="D6" s="19"/>
      <c r="E6" s="19"/>
      <c r="F6" s="19"/>
      <c r="G6" s="19"/>
      <c r="H6" s="19"/>
      <c r="I6" s="19"/>
      <c r="J6" s="19"/>
      <c r="K6" s="19"/>
      <c r="M6" s="1483"/>
      <c r="N6" s="1484"/>
    </row>
    <row r="7" spans="1:15">
      <c r="A7" s="19" t="s">
        <v>2910</v>
      </c>
      <c r="B7" s="94">
        <v>0.03</v>
      </c>
      <c r="C7" s="19"/>
      <c r="D7" s="96" t="s">
        <v>298</v>
      </c>
      <c r="G7" s="98"/>
      <c r="H7" s="117" t="s">
        <v>3131</v>
      </c>
      <c r="K7" s="122">
        <f>IF(($B$14+$B$15+$B$16+$B$17)=0,"",-B20/($B$14+$B$15+$B$16+$B$17))</f>
        <v>9.000060360863589E-2</v>
      </c>
      <c r="M7" s="1483"/>
      <c r="N7" s="1484"/>
    </row>
    <row r="8" spans="1:15" ht="13.15" customHeight="1">
      <c r="A8" s="19" t="s">
        <v>2909</v>
      </c>
      <c r="B8" s="1582">
        <v>7.0000000000000007E-2</v>
      </c>
      <c r="C8" s="19"/>
      <c r="D8" s="95" t="s">
        <v>3292</v>
      </c>
      <c r="G8" s="1583" t="s">
        <v>4104</v>
      </c>
      <c r="H8" s="209" t="s">
        <v>1889</v>
      </c>
      <c r="K8" s="1584">
        <v>32958</v>
      </c>
      <c r="M8" s="1483"/>
      <c r="N8" s="1484"/>
    </row>
    <row r="9" spans="1:15">
      <c r="A9" s="19" t="s">
        <v>1858</v>
      </c>
      <c r="B9" s="94">
        <v>0.02</v>
      </c>
      <c r="D9" s="95" t="s">
        <v>2410</v>
      </c>
      <c r="G9" s="1583" t="s">
        <v>4103</v>
      </c>
      <c r="H9" s="209" t="s">
        <v>3111</v>
      </c>
      <c r="K9" s="1585"/>
      <c r="M9" s="1486"/>
      <c r="N9" s="1487"/>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05" t="s">
        <v>3424</v>
      </c>
      <c r="N13" s="905"/>
    </row>
    <row r="14" spans="1:15" ht="13.15" customHeight="1">
      <c r="A14" s="21" t="s">
        <v>3167</v>
      </c>
      <c r="B14" s="22">
        <f>'Part VI-Revenues &amp; Expenses'!L49</f>
        <v>386040</v>
      </c>
      <c r="C14" s="22">
        <f t="shared" ref="C14:K14" si="1">$B$14*(1+$B$5)^(C13-1)</f>
        <v>393760.8</v>
      </c>
      <c r="D14" s="22">
        <f t="shared" si="1"/>
        <v>401636.016</v>
      </c>
      <c r="E14" s="22">
        <f t="shared" si="1"/>
        <v>409668.73631999997</v>
      </c>
      <c r="F14" s="22">
        <f t="shared" si="1"/>
        <v>417862.11104639998</v>
      </c>
      <c r="G14" s="22">
        <f t="shared" si="1"/>
        <v>426219.353267328</v>
      </c>
      <c r="H14" s="22">
        <f t="shared" si="1"/>
        <v>434743.74033267458</v>
      </c>
      <c r="I14" s="22">
        <f t="shared" si="1"/>
        <v>443438.615139328</v>
      </c>
      <c r="J14" s="22">
        <f t="shared" si="1"/>
        <v>452307.38744211459</v>
      </c>
      <c r="K14" s="23">
        <f t="shared" si="1"/>
        <v>461353.5351909569</v>
      </c>
      <c r="M14" s="1481"/>
      <c r="N14" s="1482"/>
    </row>
    <row r="15" spans="1:15" ht="13.15" customHeight="1">
      <c r="A15" s="24" t="s">
        <v>1418</v>
      </c>
      <c r="B15" s="25">
        <f>MIN(B14*B9,'Part VI-Revenues &amp; Expenses'!H104)</f>
        <v>7720.8</v>
      </c>
      <c r="C15" s="25">
        <f t="shared" ref="C15:K15" si="2">$B$15*(1+$B$5)^(C13-1)</f>
        <v>7875.2160000000003</v>
      </c>
      <c r="D15" s="25">
        <f t="shared" si="2"/>
        <v>8032.7203200000004</v>
      </c>
      <c r="E15" s="25">
        <f t="shared" si="2"/>
        <v>8193.3747263999994</v>
      </c>
      <c r="F15" s="25">
        <f t="shared" si="2"/>
        <v>8357.2422209279994</v>
      </c>
      <c r="G15" s="25">
        <f t="shared" si="2"/>
        <v>8524.3870653465601</v>
      </c>
      <c r="H15" s="25">
        <f t="shared" si="2"/>
        <v>8694.8748066534918</v>
      </c>
      <c r="I15" s="25">
        <f t="shared" si="2"/>
        <v>8868.7723027865595</v>
      </c>
      <c r="J15" s="25">
        <f t="shared" si="2"/>
        <v>9046.1477488422915</v>
      </c>
      <c r="K15" s="26">
        <f t="shared" si="2"/>
        <v>9227.0707038191376</v>
      </c>
      <c r="M15" s="1483"/>
      <c r="N15" s="1484"/>
    </row>
    <row r="16" spans="1:15" ht="13.15" customHeight="1">
      <c r="A16" s="24" t="s">
        <v>3168</v>
      </c>
      <c r="B16" s="25">
        <f t="shared" ref="B16:K16" si="3">-(B14+B15)*$B$8</f>
        <v>-27563.256000000001</v>
      </c>
      <c r="C16" s="25">
        <f t="shared" si="3"/>
        <v>-28114.521120000001</v>
      </c>
      <c r="D16" s="25">
        <f t="shared" si="3"/>
        <v>-28676.811542400006</v>
      </c>
      <c r="E16" s="25">
        <f t="shared" si="3"/>
        <v>-29250.347773248002</v>
      </c>
      <c r="F16" s="25">
        <f t="shared" si="3"/>
        <v>-29835.354728712962</v>
      </c>
      <c r="G16" s="25">
        <f t="shared" si="3"/>
        <v>-30432.061823287222</v>
      </c>
      <c r="H16" s="25">
        <f t="shared" si="3"/>
        <v>-31040.703059752967</v>
      </c>
      <c r="I16" s="25">
        <f t="shared" si="3"/>
        <v>-31661.517120948025</v>
      </c>
      <c r="J16" s="25">
        <f t="shared" si="3"/>
        <v>-32294.747463366984</v>
      </c>
      <c r="K16" s="26">
        <f t="shared" si="3"/>
        <v>-32940.642412634326</v>
      </c>
      <c r="M16" s="1483"/>
      <c r="N16" s="1484"/>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3"/>
      <c r="N17" s="1484"/>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3"/>
      <c r="N18" s="1484"/>
    </row>
    <row r="19" spans="1:14" ht="13.15" customHeight="1">
      <c r="A19" s="24" t="s">
        <v>794</v>
      </c>
      <c r="B19" s="25">
        <f>-('Part VI-Revenues &amp; Expenses'!P157-'Part VI-Revenues &amp; Expenses'!P147)</f>
        <v>-247980</v>
      </c>
      <c r="C19" s="25">
        <f t="shared" ref="C19:K19" si="4">$B$19*(1+$B$6)^(C13-1)</f>
        <v>-255419.4</v>
      </c>
      <c r="D19" s="25">
        <f t="shared" si="4"/>
        <v>-263081.98199999996</v>
      </c>
      <c r="E19" s="25">
        <f t="shared" si="4"/>
        <v>-270974.44146</v>
      </c>
      <c r="F19" s="25">
        <f t="shared" si="4"/>
        <v>-279103.6747038</v>
      </c>
      <c r="G19" s="25">
        <f t="shared" si="4"/>
        <v>-287476.78494491399</v>
      </c>
      <c r="H19" s="25">
        <f t="shared" si="4"/>
        <v>-296101.08849326137</v>
      </c>
      <c r="I19" s="25">
        <f t="shared" si="4"/>
        <v>-304984.12114805926</v>
      </c>
      <c r="J19" s="25">
        <f t="shared" si="4"/>
        <v>-314133.64478250098</v>
      </c>
      <c r="K19" s="26">
        <f t="shared" si="4"/>
        <v>-323557.65412597603</v>
      </c>
      <c r="M19" s="1483"/>
      <c r="N19" s="1484"/>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-32958</v>
      </c>
      <c r="C20" s="25">
        <f>IF(AND('Part VII-Pro Forma'!$G$8="Yes",'Part VII-Pro Forma'!$G$9="Yes"),"Choose One!",IF('Part VII-Pro Forma'!$G$8="Yes",ROUND((-$K$8*(1+'Part VII-Pro Forma'!$B$6)^('Part VII-Pro Forma'!C13-1)),),IF('Part VII-Pro Forma'!$G$9="Yes",ROUND((-(SUM(C14:C17)*'Part VII-Pro Forma'!$K$9)),),"Choose mgt fee")))</f>
        <v>-33947</v>
      </c>
      <c r="D20" s="25">
        <f>IF(AND('Part VII-Pro Forma'!$G$8="Yes",'Part VII-Pro Forma'!$G$9="Yes"),"Choose One!",IF('Part VII-Pro Forma'!$G$8="Yes",ROUND((-$K$8*(1+'Part VII-Pro Forma'!$B$6)^('Part VII-Pro Forma'!D13-1)),),IF('Part VII-Pro Forma'!$G$9="Yes",ROUND((-(SUM(D14:D17)*'Part VII-Pro Forma'!$K$9)),),"Choose mgt fee")))</f>
        <v>-34965</v>
      </c>
      <c r="E20" s="25">
        <f>IF(AND('Part VII-Pro Forma'!$G$8="Yes",'Part VII-Pro Forma'!$G$9="Yes"),"Choose One!",IF('Part VII-Pro Forma'!$G$8="Yes",ROUND((-$K$8*(1+'Part VII-Pro Forma'!$B$6)^('Part VII-Pro Forma'!E13-1)),),IF('Part VII-Pro Forma'!$G$9="Yes",ROUND((-(SUM(E14:E17)*'Part VII-Pro Forma'!$K$9)),),"Choose mgt fee")))</f>
        <v>-36014</v>
      </c>
      <c r="F20" s="25">
        <f>IF(AND('Part VII-Pro Forma'!$G$8="Yes",'Part VII-Pro Forma'!$G$9="Yes"),"Choose One!",IF('Part VII-Pro Forma'!$G$8="Yes",ROUND((-$K$8*(1+'Part VII-Pro Forma'!$B$6)^('Part VII-Pro Forma'!F13-1)),),IF('Part VII-Pro Forma'!$G$9="Yes",ROUND((-(SUM(F14:F17)*'Part VII-Pro Forma'!$K$9)),),"Choose mgt fee")))</f>
        <v>-37095</v>
      </c>
      <c r="G20" s="25">
        <f>IF(AND('Part VII-Pro Forma'!$G$8="Yes",'Part VII-Pro Forma'!$G$9="Yes"),"Choose One!",IF('Part VII-Pro Forma'!$G$8="Yes",ROUND((-$K$8*(1+'Part VII-Pro Forma'!$B$6)^('Part VII-Pro Forma'!G13-1)),),IF('Part VII-Pro Forma'!$G$9="Yes",ROUND((-(SUM(G14:G17)*'Part VII-Pro Forma'!$K$9)),),"Choose mgt fee")))</f>
        <v>-38207</v>
      </c>
      <c r="H20" s="25">
        <f>IF(AND('Part VII-Pro Forma'!$G$8="Yes",'Part VII-Pro Forma'!$G$9="Yes"),"Choose One!",IF('Part VII-Pro Forma'!$G$8="Yes",ROUND((-$K$8*(1+'Part VII-Pro Forma'!$B$6)^('Part VII-Pro Forma'!H13-1)),),IF('Part VII-Pro Forma'!$G$9="Yes",ROUND((-(SUM(H14:H17)*'Part VII-Pro Forma'!$K$9)),),"Choose mgt fee")))</f>
        <v>-39354</v>
      </c>
      <c r="I20" s="25">
        <f>IF(AND('Part VII-Pro Forma'!$G$8="Yes",'Part VII-Pro Forma'!$G$9="Yes"),"Choose One!",IF('Part VII-Pro Forma'!$G$8="Yes",ROUND((-$K$8*(1+'Part VII-Pro Forma'!$B$6)^('Part VII-Pro Forma'!I13-1)),),IF('Part VII-Pro Forma'!$G$9="Yes",ROUND((-(SUM(I14:I17)*'Part VII-Pro Forma'!$K$9)),),"Choose mgt fee")))</f>
        <v>-40534</v>
      </c>
      <c r="J20" s="25">
        <f>IF(AND('Part VII-Pro Forma'!$G$8="Yes",'Part VII-Pro Forma'!$G$9="Yes"),"Choose One!",IF('Part VII-Pro Forma'!$G$8="Yes",ROUND((-$K$8*(1+'Part VII-Pro Forma'!$B$6)^('Part VII-Pro Forma'!J13-1)),),IF('Part VII-Pro Forma'!$G$9="Yes",ROUND((-(SUM(J14:J17)*'Part VII-Pro Forma'!$K$9)),),"Choose mgt fee")))</f>
        <v>-41750</v>
      </c>
      <c r="K20" s="25">
        <f>IF(AND('Part VII-Pro Forma'!$G$8="Yes",'Part VII-Pro Forma'!$G$9="Yes"),"Choose One!",IF('Part VII-Pro Forma'!$G$8="Yes",ROUND((-$K$8*(1+'Part VII-Pro Forma'!$B$6)^('Part VII-Pro Forma'!K13-1)),),IF('Part VII-Pro Forma'!$G$9="Yes",ROUND((-(SUM(K14:K17)*'Part VII-Pro Forma'!$K$9)),),"Choose mgt fee")))</f>
        <v>-43003</v>
      </c>
      <c r="M20" s="1483"/>
      <c r="N20" s="1484"/>
    </row>
    <row r="21" spans="1:14" ht="13.15" customHeight="1">
      <c r="A21" s="24" t="s">
        <v>1622</v>
      </c>
      <c r="B21" s="25">
        <f>-('Part VI-Revenues &amp; Expenses'!P160)</f>
        <v>-20000</v>
      </c>
      <c r="C21" s="25">
        <f t="shared" ref="C21:K21" si="5">$B$21*(1+$B$7)^(C13-1)</f>
        <v>-20600</v>
      </c>
      <c r="D21" s="25">
        <f t="shared" si="5"/>
        <v>-21218</v>
      </c>
      <c r="E21" s="25">
        <f t="shared" si="5"/>
        <v>-21854.54</v>
      </c>
      <c r="F21" s="25">
        <f t="shared" si="5"/>
        <v>-22510.176199999998</v>
      </c>
      <c r="G21" s="25">
        <f t="shared" si="5"/>
        <v>-23185.481485999997</v>
      </c>
      <c r="H21" s="25">
        <f t="shared" si="5"/>
        <v>-23881.04593058</v>
      </c>
      <c r="I21" s="25">
        <f t="shared" si="5"/>
        <v>-24597.4773084974</v>
      </c>
      <c r="J21" s="25">
        <f t="shared" si="5"/>
        <v>-25335.401627752319</v>
      </c>
      <c r="K21" s="26">
        <f t="shared" si="5"/>
        <v>-26095.463676584888</v>
      </c>
      <c r="M21" s="1483"/>
      <c r="N21" s="1484"/>
    </row>
    <row r="22" spans="1:14" ht="13.15" customHeight="1">
      <c r="A22" s="24" t="s">
        <v>1623</v>
      </c>
      <c r="B22" s="25">
        <f t="shared" ref="B22:K22" si="6">SUM(B14:B21)</f>
        <v>65259.543999999994</v>
      </c>
      <c r="C22" s="25">
        <f t="shared" si="6"/>
        <v>63555.094880000019</v>
      </c>
      <c r="D22" s="25">
        <f t="shared" si="6"/>
        <v>61726.942777600081</v>
      </c>
      <c r="E22" s="25">
        <f t="shared" si="6"/>
        <v>59768.781813151996</v>
      </c>
      <c r="F22" s="25">
        <f t="shared" si="6"/>
        <v>57675.147634815061</v>
      </c>
      <c r="G22" s="25">
        <f t="shared" si="6"/>
        <v>55442.412078473375</v>
      </c>
      <c r="H22" s="25">
        <f t="shared" si="6"/>
        <v>53061.777655733749</v>
      </c>
      <c r="I22" s="25">
        <f t="shared" si="6"/>
        <v>50530.271864609924</v>
      </c>
      <c r="J22" s="25">
        <f t="shared" si="6"/>
        <v>47839.741317336593</v>
      </c>
      <c r="K22" s="26">
        <f t="shared" si="6"/>
        <v>44983.845679580816</v>
      </c>
      <c r="M22" s="1483"/>
      <c r="N22" s="1484"/>
    </row>
    <row r="23" spans="1:14" ht="13.15" customHeight="1">
      <c r="A23" s="564" t="s">
        <v>2051</v>
      </c>
      <c r="B23" s="1586">
        <v>-50200</v>
      </c>
      <c r="C23" s="1586">
        <v>-48889</v>
      </c>
      <c r="D23" s="1586">
        <v>-47482</v>
      </c>
      <c r="E23" s="1586">
        <v>-45976</v>
      </c>
      <c r="F23" s="1586">
        <v>-44366</v>
      </c>
      <c r="G23" s="1586">
        <v>-42648</v>
      </c>
      <c r="H23" s="1586">
        <v>-40817</v>
      </c>
      <c r="I23" s="1586">
        <v>-38870</v>
      </c>
      <c r="J23" s="1586">
        <v>-36800</v>
      </c>
      <c r="K23" s="1586">
        <v>-34603</v>
      </c>
      <c r="M23" s="1483"/>
      <c r="N23" s="1484"/>
    </row>
    <row r="24" spans="1:14" ht="13.15" customHeight="1">
      <c r="A24" s="564" t="s">
        <v>2052</v>
      </c>
      <c r="B24" s="1587">
        <v>0</v>
      </c>
      <c r="C24" s="1587">
        <v>0</v>
      </c>
      <c r="D24" s="1587">
        <v>0</v>
      </c>
      <c r="E24" s="1587">
        <v>0</v>
      </c>
      <c r="F24" s="1587">
        <v>0</v>
      </c>
      <c r="G24" s="1587">
        <v>0</v>
      </c>
      <c r="H24" s="1587">
        <v>0</v>
      </c>
      <c r="I24" s="1587">
        <v>0</v>
      </c>
      <c r="J24" s="1587">
        <v>0</v>
      </c>
      <c r="K24" s="1587">
        <v>0</v>
      </c>
      <c r="M24" s="1483"/>
      <c r="N24" s="1484"/>
    </row>
    <row r="25" spans="1:14" ht="13.15" customHeight="1">
      <c r="A25" s="564" t="s">
        <v>2053</v>
      </c>
      <c r="B25" s="1587">
        <f>IF('Part III-Sources of Funds'!$M$34="", 0,-'Part III-Sources of Funds'!$M$34)</f>
        <v>0</v>
      </c>
      <c r="C25" s="1587">
        <f>IF('Part III-Sources of Funds'!$M$34="", 0,-'Part III-Sources of Funds'!$M$34)</f>
        <v>0</v>
      </c>
      <c r="D25" s="1587">
        <f>IF('Part III-Sources of Funds'!$M$34="", 0,-'Part III-Sources of Funds'!$M$34)</f>
        <v>0</v>
      </c>
      <c r="E25" s="1587">
        <f>IF('Part III-Sources of Funds'!$M$34="", 0,-'Part III-Sources of Funds'!$M$34)</f>
        <v>0</v>
      </c>
      <c r="F25" s="1587">
        <f>IF('Part III-Sources of Funds'!$M$34="", 0,-'Part III-Sources of Funds'!$M$34)</f>
        <v>0</v>
      </c>
      <c r="G25" s="1587">
        <f>IF('Part III-Sources of Funds'!$M$34="", 0,-'Part III-Sources of Funds'!$M$34)</f>
        <v>0</v>
      </c>
      <c r="H25" s="1587">
        <f>IF('Part III-Sources of Funds'!$M$34="", 0,-'Part III-Sources of Funds'!$M$34)</f>
        <v>0</v>
      </c>
      <c r="I25" s="1587">
        <f>IF('Part III-Sources of Funds'!$M$34="", 0,-'Part III-Sources of Funds'!$M$34)</f>
        <v>0</v>
      </c>
      <c r="J25" s="1587">
        <f>IF('Part III-Sources of Funds'!$M$34="", 0,-'Part III-Sources of Funds'!$M$34)</f>
        <v>0</v>
      </c>
      <c r="K25" s="1587">
        <f>IF('Part III-Sources of Funds'!$M$34="", 0,-'Part III-Sources of Funds'!$M$34)</f>
        <v>0</v>
      </c>
      <c r="M25" s="1483"/>
      <c r="N25" s="1484"/>
    </row>
    <row r="26" spans="1:14" ht="13.15" customHeight="1">
      <c r="A26" s="24" t="s">
        <v>1174</v>
      </c>
      <c r="B26" s="1587">
        <f>IF('Part III-Sources of Funds'!$M$35="", 0,-'Part III-Sources of Funds'!$M$35)</f>
        <v>0</v>
      </c>
      <c r="C26" s="1587">
        <f>IF('Part III-Sources of Funds'!$M$35="", 0,-'Part III-Sources of Funds'!$M$35)</f>
        <v>0</v>
      </c>
      <c r="D26" s="1587">
        <f>IF('Part III-Sources of Funds'!$M$35="", 0,-'Part III-Sources of Funds'!$M$35)</f>
        <v>0</v>
      </c>
      <c r="E26" s="1587">
        <f>IF('Part III-Sources of Funds'!$M$35="", 0,-'Part III-Sources of Funds'!$M$35)</f>
        <v>0</v>
      </c>
      <c r="F26" s="1587">
        <f>IF('Part III-Sources of Funds'!$M$35="", 0,-'Part III-Sources of Funds'!$M$35)</f>
        <v>0</v>
      </c>
      <c r="G26" s="1587">
        <f>IF('Part III-Sources of Funds'!$M$35="", 0,-'Part III-Sources of Funds'!$M$35)</f>
        <v>0</v>
      </c>
      <c r="H26" s="1587">
        <f>IF('Part III-Sources of Funds'!$M$35="", 0,-'Part III-Sources of Funds'!$M$35)</f>
        <v>0</v>
      </c>
      <c r="I26" s="1587">
        <f>IF('Part III-Sources of Funds'!$M$35="", 0,-'Part III-Sources of Funds'!$M$35)</f>
        <v>0</v>
      </c>
      <c r="J26" s="1587">
        <f>IF('Part III-Sources of Funds'!$M$35="", 0,-'Part III-Sources of Funds'!$M$35)</f>
        <v>0</v>
      </c>
      <c r="K26" s="1587">
        <f>IF('Part III-Sources of Funds'!$M$35="", 0,-'Part III-Sources of Funds'!$M$35)</f>
        <v>0</v>
      </c>
      <c r="M26" s="1483"/>
      <c r="N26" s="1484"/>
    </row>
    <row r="27" spans="1:14" ht="13.15" customHeight="1">
      <c r="A27" s="24" t="s">
        <v>1150</v>
      </c>
      <c r="B27" s="1588">
        <f>-(B22+B23+B24+B28)*0.5</f>
        <v>-6279.7719999999972</v>
      </c>
      <c r="C27" s="1588">
        <f t="shared" ref="C27:K27" si="7">-(C22+C23+C24+C28)*0.5</f>
        <v>-6083.0474400000094</v>
      </c>
      <c r="D27" s="1588">
        <f t="shared" si="7"/>
        <v>-5872.4713888000406</v>
      </c>
      <c r="E27" s="1588">
        <f t="shared" si="7"/>
        <v>-5646.3909065759981</v>
      </c>
      <c r="F27" s="1588">
        <f t="shared" si="7"/>
        <v>-5404.5738174075304</v>
      </c>
      <c r="G27" s="1588">
        <f t="shared" si="7"/>
        <v>-5147.2060392366875</v>
      </c>
      <c r="H27" s="1588">
        <f t="shared" si="7"/>
        <v>-4872.3888278668746</v>
      </c>
      <c r="I27" s="1588">
        <f t="shared" si="7"/>
        <v>-4580.1359323049619</v>
      </c>
      <c r="J27" s="1588">
        <f t="shared" si="7"/>
        <v>-4269.8706586682965</v>
      </c>
      <c r="K27" s="1588">
        <f t="shared" si="7"/>
        <v>-3940.422839790408</v>
      </c>
      <c r="M27" s="1483"/>
      <c r="N27" s="1484"/>
    </row>
    <row r="28" spans="1:14" ht="13.15" customHeight="1">
      <c r="A28" s="24" t="s">
        <v>1578</v>
      </c>
      <c r="B28" s="1587">
        <f>-$G$5</f>
        <v>-2500</v>
      </c>
      <c r="C28" s="1587">
        <f t="shared" ref="C28:K28" si="8">+B28</f>
        <v>-2500</v>
      </c>
      <c r="D28" s="1587">
        <f t="shared" si="8"/>
        <v>-2500</v>
      </c>
      <c r="E28" s="1587">
        <f t="shared" si="8"/>
        <v>-2500</v>
      </c>
      <c r="F28" s="1587">
        <f t="shared" si="8"/>
        <v>-2500</v>
      </c>
      <c r="G28" s="1587">
        <f t="shared" si="8"/>
        <v>-2500</v>
      </c>
      <c r="H28" s="1587">
        <f t="shared" si="8"/>
        <v>-2500</v>
      </c>
      <c r="I28" s="1587">
        <f t="shared" si="8"/>
        <v>-2500</v>
      </c>
      <c r="J28" s="1587">
        <f t="shared" si="8"/>
        <v>-2500</v>
      </c>
      <c r="K28" s="1587">
        <f t="shared" si="8"/>
        <v>-2500</v>
      </c>
      <c r="M28" s="1483"/>
      <c r="N28" s="1484"/>
    </row>
    <row r="29" spans="1:14" ht="13.15" customHeight="1">
      <c r="A29" s="24" t="s">
        <v>1624</v>
      </c>
      <c r="B29" s="1589">
        <v>-4476</v>
      </c>
      <c r="C29" s="1589"/>
      <c r="D29" s="1589">
        <f>IF('Part III-Sources of Funds'!$M$37="", 0,-'Part III-Sources of Funds'!$M$37)</f>
        <v>0</v>
      </c>
      <c r="E29" s="1589">
        <f>IF('Part III-Sources of Funds'!$M$37="", 0,-'Part III-Sources of Funds'!$M$37)</f>
        <v>0</v>
      </c>
      <c r="F29" s="1589">
        <f>IF('Part III-Sources of Funds'!$M$37="", 0,-'Part III-Sources of Funds'!$M$37)</f>
        <v>0</v>
      </c>
      <c r="G29" s="1589">
        <f>IF('Part III-Sources of Funds'!$M$37="", 0,-'Part III-Sources of Funds'!$M$37)</f>
        <v>0</v>
      </c>
      <c r="H29" s="1589">
        <f>IF('Part III-Sources of Funds'!$M$37="", 0,-'Part III-Sources of Funds'!$M$37)</f>
        <v>0</v>
      </c>
      <c r="I29" s="1589">
        <f>IF('Part III-Sources of Funds'!$M$37="", 0,-'Part III-Sources of Funds'!$M$37)</f>
        <v>0</v>
      </c>
      <c r="J29" s="1589">
        <f>IF('Part III-Sources of Funds'!$M$37="", 0,-'Part III-Sources of Funds'!$M$37)</f>
        <v>0</v>
      </c>
      <c r="K29" s="1589">
        <f>IF('Part III-Sources of Funds'!$M$37="", 0,-'Part III-Sources of Funds'!$M$37)</f>
        <v>0</v>
      </c>
      <c r="M29" s="1483"/>
      <c r="N29" s="1484"/>
    </row>
    <row r="30" spans="1:14" ht="13.15" customHeight="1">
      <c r="A30" s="24" t="s">
        <v>1579</v>
      </c>
      <c r="B30" s="25">
        <f t="shared" ref="B30:K30" si="9">SUM(B22:B29)</f>
        <v>1803.7719999999972</v>
      </c>
      <c r="C30" s="25">
        <f t="shared" si="9"/>
        <v>6083.0474400000094</v>
      </c>
      <c r="D30" s="25">
        <f t="shared" si="9"/>
        <v>5872.4713888000406</v>
      </c>
      <c r="E30" s="25">
        <f t="shared" si="9"/>
        <v>5646.3909065759981</v>
      </c>
      <c r="F30" s="25">
        <f t="shared" si="9"/>
        <v>5404.5738174075304</v>
      </c>
      <c r="G30" s="25">
        <f t="shared" si="9"/>
        <v>5147.2060392366875</v>
      </c>
      <c r="H30" s="25">
        <f t="shared" si="9"/>
        <v>4872.3888278668746</v>
      </c>
      <c r="I30" s="25">
        <f t="shared" si="9"/>
        <v>4580.1359323049619</v>
      </c>
      <c r="J30" s="25">
        <f t="shared" si="9"/>
        <v>4269.8706586682965</v>
      </c>
      <c r="K30" s="26">
        <f t="shared" si="9"/>
        <v>3940.422839790408</v>
      </c>
      <c r="M30" s="1483"/>
      <c r="N30" s="1484"/>
    </row>
    <row r="31" spans="1:14" ht="13.15" customHeight="1">
      <c r="A31" s="24" t="str">
        <f>IF('Part III-Sources of Funds'!$E$32 = "Neither", "", "DCR Mortgage A")</f>
        <v>DCR Mortgage A</v>
      </c>
      <c r="B31" s="27">
        <f>IF(B23=0,"",-B22/B23)</f>
        <v>1.2999909163346612</v>
      </c>
      <c r="C31" s="27">
        <f t="shared" ref="C31:K31" si="10">IF(C23=0,"",-C22/C23)</f>
        <v>1.2999876225735854</v>
      </c>
      <c r="D31" s="27">
        <f t="shared" si="10"/>
        <v>1.3000072191061893</v>
      </c>
      <c r="E31" s="27">
        <f t="shared" si="10"/>
        <v>1.2999996044273534</v>
      </c>
      <c r="F31" s="27">
        <f t="shared" si="10"/>
        <v>1.2999852958304796</v>
      </c>
      <c r="G31" s="27">
        <f t="shared" si="10"/>
        <v>1.3000002832131254</v>
      </c>
      <c r="H31" s="27">
        <f t="shared" si="10"/>
        <v>1.2999921026957824</v>
      </c>
      <c r="I31" s="27">
        <f t="shared" si="10"/>
        <v>1.2999812674198592</v>
      </c>
      <c r="J31" s="27">
        <f t="shared" si="10"/>
        <v>1.2999929705797988</v>
      </c>
      <c r="K31" s="28">
        <f t="shared" si="10"/>
        <v>1.2999984301817997</v>
      </c>
      <c r="M31" s="1483"/>
      <c r="N31" s="1484"/>
    </row>
    <row r="32" spans="1:14" ht="13.15" customHeight="1">
      <c r="A32" s="24" t="str">
        <f>IF('Part III-Sources of Funds'!$E$32 = "Neither", "", "DCR Mortgage B")</f>
        <v>DCR Mortgage B</v>
      </c>
      <c r="B32" s="27" t="str">
        <f t="shared" ref="B32:K32" si="11">IF(OR(B24=0,AND(B24=0,B23=0)),"",-B22/(B23+B24))</f>
        <v/>
      </c>
      <c r="C32" s="27" t="str">
        <f t="shared" si="11"/>
        <v/>
      </c>
      <c r="D32" s="27" t="str">
        <f t="shared" si="11"/>
        <v/>
      </c>
      <c r="E32" s="27" t="str">
        <f t="shared" si="11"/>
        <v/>
      </c>
      <c r="F32" s="27" t="str">
        <f t="shared" si="11"/>
        <v/>
      </c>
      <c r="G32" s="27" t="str">
        <f t="shared" si="11"/>
        <v/>
      </c>
      <c r="H32" s="27" t="str">
        <f t="shared" si="11"/>
        <v/>
      </c>
      <c r="I32" s="27" t="str">
        <f t="shared" si="11"/>
        <v/>
      </c>
      <c r="J32" s="27" t="str">
        <f t="shared" si="11"/>
        <v/>
      </c>
      <c r="K32" s="28" t="str">
        <f t="shared" si="11"/>
        <v/>
      </c>
      <c r="M32" s="1483"/>
      <c r="N32" s="1484"/>
    </row>
    <row r="33" spans="1:14" ht="13.15" customHeight="1">
      <c r="A33" s="24" t="str">
        <f>IF('Part III-Sources of Funds'!$E$32 = "Neither", "DCR First Mortgage", "DCR Mortgage C")</f>
        <v>DCR Mortgage C</v>
      </c>
      <c r="B33" s="27" t="str">
        <f t="shared" ref="B33:K33" si="12">IF(OR(B25=0,AND(B25=0,B24=0,B23=0)),"",-B22/(B23+B24+B25))</f>
        <v/>
      </c>
      <c r="C33" s="27" t="str">
        <f t="shared" si="12"/>
        <v/>
      </c>
      <c r="D33" s="27" t="str">
        <f t="shared" si="12"/>
        <v/>
      </c>
      <c r="E33" s="27" t="str">
        <f t="shared" si="12"/>
        <v/>
      </c>
      <c r="F33" s="27" t="str">
        <f t="shared" si="12"/>
        <v/>
      </c>
      <c r="G33" s="27" t="str">
        <f t="shared" si="12"/>
        <v/>
      </c>
      <c r="H33" s="27" t="str">
        <f t="shared" si="12"/>
        <v/>
      </c>
      <c r="I33" s="27" t="str">
        <f t="shared" si="12"/>
        <v/>
      </c>
      <c r="J33" s="27" t="str">
        <f t="shared" si="12"/>
        <v/>
      </c>
      <c r="K33" s="28" t="str">
        <f t="shared" si="12"/>
        <v/>
      </c>
      <c r="M33" s="1483"/>
      <c r="N33" s="1484"/>
    </row>
    <row r="34" spans="1:14" ht="13.15" customHeight="1">
      <c r="A34" s="24" t="s">
        <v>1175</v>
      </c>
      <c r="B34" s="27" t="str">
        <f t="shared" ref="B34:K34" si="13">IF(OR(B26=0,AND(B23=0,B24=0,B25=0,B26=0)),"",-B22/(B23+B24+B25+B26))</f>
        <v/>
      </c>
      <c r="C34" s="27" t="str">
        <f t="shared" si="13"/>
        <v/>
      </c>
      <c r="D34" s="27" t="str">
        <f t="shared" si="13"/>
        <v/>
      </c>
      <c r="E34" s="27" t="str">
        <f t="shared" si="13"/>
        <v/>
      </c>
      <c r="F34" s="27" t="str">
        <f t="shared" si="13"/>
        <v/>
      </c>
      <c r="G34" s="27" t="str">
        <f t="shared" si="13"/>
        <v/>
      </c>
      <c r="H34" s="27" t="str">
        <f t="shared" si="13"/>
        <v/>
      </c>
      <c r="I34" s="27" t="str">
        <f t="shared" si="13"/>
        <v/>
      </c>
      <c r="J34" s="27" t="str">
        <f t="shared" si="13"/>
        <v/>
      </c>
      <c r="K34" s="28" t="str">
        <f t="shared" si="13"/>
        <v/>
      </c>
      <c r="M34" s="1483"/>
      <c r="N34" s="1484"/>
    </row>
    <row r="35" spans="1:14" ht="13.15" customHeight="1">
      <c r="A35" s="24" t="s">
        <v>1158</v>
      </c>
      <c r="B35" s="341">
        <f>IF(OR(B20="Choose mgt fee",B20="Choose One!"),"",(B14+B15+B16+B17+B18) / -(B19+B20+B21))</f>
        <v>1.2168537838358731</v>
      </c>
      <c r="C35" s="341">
        <f t="shared" ref="C35:K35" si="14">IF(OR(C20="Choose mgt fee",C20="Choose One!"),"",(C14+C15+C16+C17+C18) / -(C19+C20+C21))</f>
        <v>1.2050386586417108</v>
      </c>
      <c r="D35" s="341">
        <f t="shared" si="14"/>
        <v>1.1933407866748131</v>
      </c>
      <c r="E35" s="341">
        <f t="shared" si="14"/>
        <v>1.181754774110702</v>
      </c>
      <c r="F35" s="341">
        <f t="shared" si="14"/>
        <v>1.1702794228167246</v>
      </c>
      <c r="G35" s="341">
        <f t="shared" si="14"/>
        <v>1.158920310308998</v>
      </c>
      <c r="H35" s="341">
        <f t="shared" si="14"/>
        <v>1.1476661336628804</v>
      </c>
      <c r="I35" s="341">
        <f t="shared" si="14"/>
        <v>1.1365256478660437</v>
      </c>
      <c r="J35" s="341">
        <f t="shared" si="14"/>
        <v>1.1254914773220783</v>
      </c>
      <c r="K35" s="342">
        <f t="shared" si="14"/>
        <v>1.1145629563377897</v>
      </c>
      <c r="M35" s="1483"/>
      <c r="N35" s="1484"/>
    </row>
    <row r="36" spans="1:14" ht="13.15" customHeight="1">
      <c r="A36" s="564" t="s">
        <v>3417</v>
      </c>
      <c r="B36" s="1590">
        <v>1833450</v>
      </c>
      <c r="C36" s="1590">
        <v>1802896</v>
      </c>
      <c r="D36" s="1590">
        <v>1773442</v>
      </c>
      <c r="E36" s="1590">
        <v>1745201</v>
      </c>
      <c r="F36" s="1590">
        <f>E36+F24</f>
        <v>1745201</v>
      </c>
      <c r="G36" s="1590">
        <f t="shared" ref="G36:H36" si="15">F36+G24</f>
        <v>1745201</v>
      </c>
      <c r="H36" s="1590">
        <f t="shared" si="15"/>
        <v>1745201</v>
      </c>
      <c r="I36" s="1590">
        <v>1638408</v>
      </c>
      <c r="J36" s="1590">
        <v>1609800</v>
      </c>
      <c r="K36" s="1590">
        <v>1583245</v>
      </c>
      <c r="M36" s="1483"/>
      <c r="N36" s="1484"/>
    </row>
    <row r="37" spans="1:14" ht="13.15" customHeight="1">
      <c r="A37" s="564" t="s">
        <v>3418</v>
      </c>
      <c r="B37" s="1587" t="str">
        <f>IF('Part III-Sources of Funds'!$H$33="","",-FV('Part III-Sources of Funds'!$J$33/12,12,B24/12,'Part III-Sources of Funds'!$H$33))</f>
        <v/>
      </c>
      <c r="C37" s="1587" t="str">
        <f>IF('Part III-Sources of Funds'!$H$33="","",-FV('Part III-Sources of Funds'!$J$33/12,12,C24/12,B37))</f>
        <v/>
      </c>
      <c r="D37" s="1587" t="str">
        <f>IF('Part III-Sources of Funds'!$H$33="","",-FV('Part III-Sources of Funds'!$J$33/12,12,D24/12,C37))</f>
        <v/>
      </c>
      <c r="E37" s="1587" t="str">
        <f>IF('Part III-Sources of Funds'!$H$33="","",-FV('Part III-Sources of Funds'!$J$33/12,12,E24/12,D37))</f>
        <v/>
      </c>
      <c r="F37" s="1587" t="str">
        <f>IF('Part III-Sources of Funds'!$H$33="","",-FV('Part III-Sources of Funds'!$J$33/12,12,F24/12,E37))</f>
        <v/>
      </c>
      <c r="G37" s="1587" t="str">
        <f>IF('Part III-Sources of Funds'!$H$33="","",-FV('Part III-Sources of Funds'!$J$33/12,12,G24/12,F37))</f>
        <v/>
      </c>
      <c r="H37" s="1587" t="str">
        <f>IF('Part III-Sources of Funds'!$H$33="","",-FV('Part III-Sources of Funds'!$J$33/12,12,H24/12,G37))</f>
        <v/>
      </c>
      <c r="I37" s="1587" t="str">
        <f>IF('Part III-Sources of Funds'!$H$33="","",-FV('Part III-Sources of Funds'!$J$33/12,12,I24/12,H37))</f>
        <v/>
      </c>
      <c r="J37" s="1587" t="str">
        <f>IF('Part III-Sources of Funds'!$H$33="","",-FV('Part III-Sources of Funds'!$J$33/12,12,J24/12,I37))</f>
        <v/>
      </c>
      <c r="K37" s="1587" t="str">
        <f>IF('Part III-Sources of Funds'!$H$33="","",-FV('Part III-Sources of Funds'!$J$33/12,12,K24/12,J37))</f>
        <v/>
      </c>
      <c r="M37" s="1483"/>
      <c r="N37" s="1484"/>
    </row>
    <row r="38" spans="1:14" ht="13.15" customHeight="1">
      <c r="A38" s="564" t="s">
        <v>3419</v>
      </c>
      <c r="B38" s="1587" t="str">
        <f>IF('Part III-Sources of Funds'!$H$34="","",-FV('Part III-Sources of Funds'!$J$34/12,12,B25/12,'Part III-Sources of Funds'!$H$34))</f>
        <v/>
      </c>
      <c r="C38" s="1587" t="str">
        <f>IF('Part III-Sources of Funds'!$H$34="","",-FV('Part III-Sources of Funds'!$J$34/12,12,C25/12,B38))</f>
        <v/>
      </c>
      <c r="D38" s="1587" t="str">
        <f>IF('Part III-Sources of Funds'!$H$34="","",-FV('Part III-Sources of Funds'!$J$34/12,12,D25/12,C38))</f>
        <v/>
      </c>
      <c r="E38" s="1587" t="str">
        <f>IF('Part III-Sources of Funds'!$H$34="","",-FV('Part III-Sources of Funds'!$J$34/12,12,E25/12,D38))</f>
        <v/>
      </c>
      <c r="F38" s="1587" t="str">
        <f>IF('Part III-Sources of Funds'!$H$34="","",-FV('Part III-Sources of Funds'!$J$34/12,12,F25/12,E38))</f>
        <v/>
      </c>
      <c r="G38" s="1587" t="str">
        <f>IF('Part III-Sources of Funds'!$H$34="","",-FV('Part III-Sources of Funds'!$J$34/12,12,G25/12,F38))</f>
        <v/>
      </c>
      <c r="H38" s="1587" t="str">
        <f>IF('Part III-Sources of Funds'!$H$34="","",-FV('Part III-Sources of Funds'!$J$34/12,12,H25/12,G38))</f>
        <v/>
      </c>
      <c r="I38" s="1587" t="str">
        <f>IF('Part III-Sources of Funds'!$H$34="","",-FV('Part III-Sources of Funds'!$J$34/12,12,I25/12,H38))</f>
        <v/>
      </c>
      <c r="J38" s="1587" t="str">
        <f>IF('Part III-Sources of Funds'!$H$34="","",-FV('Part III-Sources of Funds'!$J$34/12,12,J25/12,I38))</f>
        <v/>
      </c>
      <c r="K38" s="1587" t="str">
        <f>IF('Part III-Sources of Funds'!$H$34="","",-FV('Part III-Sources of Funds'!$J$34/12,12,K25/12,J38))</f>
        <v/>
      </c>
      <c r="M38" s="1483"/>
      <c r="N38" s="1484"/>
    </row>
    <row r="39" spans="1:14" ht="13.15" customHeight="1">
      <c r="A39" s="24" t="s">
        <v>1176</v>
      </c>
      <c r="B39" s="1587" t="str">
        <f>IF('Part III-Sources of Funds'!$H$35="","",-FV('Part III-Sources of Funds'!$J$35/12,12,B24/12,'Part III-Sources of Funds'!$H$35))</f>
        <v/>
      </c>
      <c r="C39" s="1587" t="str">
        <f>IF('Part III-Sources of Funds'!$H$35="","",-FV('Part III-Sources of Funds'!$J$35/12,12,C26/12,B39))</f>
        <v/>
      </c>
      <c r="D39" s="1587" t="str">
        <f>IF('Part III-Sources of Funds'!$H$35="","",-FV('Part III-Sources of Funds'!$J$35/12,12,D26/12,C39))</f>
        <v/>
      </c>
      <c r="E39" s="1587" t="str">
        <f>IF('Part III-Sources of Funds'!$H$35="","",-FV('Part III-Sources of Funds'!$J$35/12,12,E26/12,D39))</f>
        <v/>
      </c>
      <c r="F39" s="1587" t="str">
        <f>IF('Part III-Sources of Funds'!$H$35="","",-FV('Part III-Sources of Funds'!$J$35/12,12,F26/12,E39))</f>
        <v/>
      </c>
      <c r="G39" s="1587" t="str">
        <f>IF('Part III-Sources of Funds'!$H$35="","",-FV('Part III-Sources of Funds'!$J$35/12,12,G26/12,F39))</f>
        <v/>
      </c>
      <c r="H39" s="1587" t="str">
        <f>IF('Part III-Sources of Funds'!$H$35="","",-FV('Part III-Sources of Funds'!$J$35/12,12,H26/12,G39))</f>
        <v/>
      </c>
      <c r="I39" s="1587" t="str">
        <f>IF('Part III-Sources of Funds'!$H$35="","",-FV('Part III-Sources of Funds'!$J$35/12,12,I26/12,H39))</f>
        <v/>
      </c>
      <c r="J39" s="1587" t="str">
        <f>IF('Part III-Sources of Funds'!$H$35="","",-FV('Part III-Sources of Funds'!$J$35/12,12,J26/12,I39))</f>
        <v/>
      </c>
      <c r="K39" s="1587" t="str">
        <f>IF('Part III-Sources of Funds'!$H$35="","",-FV('Part III-Sources of Funds'!$J$35/12,12,K26/12,J39))</f>
        <v/>
      </c>
      <c r="M39" s="1483"/>
      <c r="N39" s="1484"/>
    </row>
    <row r="40" spans="1:14" ht="13.15" customHeight="1">
      <c r="A40" s="29" t="s">
        <v>1659</v>
      </c>
      <c r="B40" s="1589">
        <f>IF('Part III-Sources of Funds'!$H$37="","",-FV('Part III-Sources of Funds'!$J$37/12,12,B29/12,'Part III-Sources of Funds'!$H$37))</f>
        <v>0</v>
      </c>
      <c r="C40" s="1589">
        <f>IF('Part III-Sources of Funds'!$H$37="","",-FV('Part III-Sources of Funds'!$J$37/12,12,C29/12,B40))</f>
        <v>0</v>
      </c>
      <c r="D40" s="1589">
        <f>IF('Part III-Sources of Funds'!$H$37="","",-FV('Part III-Sources of Funds'!$J$37/12,12,D29/12,C40))</f>
        <v>0</v>
      </c>
      <c r="E40" s="1589">
        <f>IF('Part III-Sources of Funds'!$H$37="","",-FV('Part III-Sources of Funds'!$J$37/12,12,E29/12,D40))</f>
        <v>0</v>
      </c>
      <c r="F40" s="1589">
        <f>IF('Part III-Sources of Funds'!$H$37="","",-FV('Part III-Sources of Funds'!$J$37/12,12,F29/12,E40))</f>
        <v>0</v>
      </c>
      <c r="G40" s="1589">
        <f>IF('Part III-Sources of Funds'!$H$37="","",-FV('Part III-Sources of Funds'!$J$37/12,12,G29/12,F40))</f>
        <v>0</v>
      </c>
      <c r="H40" s="1589">
        <f>IF('Part III-Sources of Funds'!$H$37="","",-FV('Part III-Sources of Funds'!$J$37/12,12,H29/12,G40))</f>
        <v>0</v>
      </c>
      <c r="I40" s="1589">
        <f>IF('Part III-Sources of Funds'!$H$37="","",-FV('Part III-Sources of Funds'!$J$37/12,12,I29/12,H40))</f>
        <v>0</v>
      </c>
      <c r="J40" s="1589">
        <f>IF('Part III-Sources of Funds'!$H$37="","",-FV('Part III-Sources of Funds'!$J$37/12,12,J29/12,I40))</f>
        <v>0</v>
      </c>
      <c r="K40" s="1589">
        <f>IF('Part III-Sources of Funds'!$H$37="","",-FV('Part III-Sources of Funds'!$J$37/12,12,K29/12,J40))</f>
        <v>0</v>
      </c>
      <c r="M40" s="1486"/>
      <c r="N40" s="1487"/>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6">B42+1</f>
        <v>12</v>
      </c>
      <c r="D42" s="18">
        <f t="shared" si="16"/>
        <v>13</v>
      </c>
      <c r="E42" s="18">
        <f t="shared" si="16"/>
        <v>14</v>
      </c>
      <c r="F42" s="18">
        <f t="shared" si="16"/>
        <v>15</v>
      </c>
      <c r="G42" s="18">
        <f t="shared" si="16"/>
        <v>16</v>
      </c>
      <c r="H42" s="18">
        <f t="shared" si="16"/>
        <v>17</v>
      </c>
      <c r="I42" s="18">
        <f t="shared" si="16"/>
        <v>18</v>
      </c>
      <c r="J42" s="18">
        <f t="shared" si="16"/>
        <v>19</v>
      </c>
      <c r="K42" s="18">
        <f t="shared" si="16"/>
        <v>20</v>
      </c>
      <c r="M42" s="905" t="s">
        <v>3422</v>
      </c>
      <c r="N42" s="905"/>
    </row>
    <row r="43" spans="1:14" ht="13.15" customHeight="1">
      <c r="A43" s="21" t="s">
        <v>3167</v>
      </c>
      <c r="B43" s="22">
        <f t="shared" ref="B43:K43" si="17">$B$14*(1+$B$5)^(B42-1)</f>
        <v>470580.60589477606</v>
      </c>
      <c r="C43" s="22">
        <f t="shared" si="17"/>
        <v>479992.21801267145</v>
      </c>
      <c r="D43" s="22">
        <f t="shared" si="17"/>
        <v>489592.06237292499</v>
      </c>
      <c r="E43" s="22">
        <f t="shared" si="17"/>
        <v>499383.90362038347</v>
      </c>
      <c r="F43" s="22">
        <f t="shared" si="17"/>
        <v>509371.58169279114</v>
      </c>
      <c r="G43" s="22">
        <f t="shared" si="17"/>
        <v>519559.01332664682</v>
      </c>
      <c r="H43" s="22">
        <f t="shared" si="17"/>
        <v>529950.19359317992</v>
      </c>
      <c r="I43" s="22">
        <f t="shared" si="17"/>
        <v>540549.19746504351</v>
      </c>
      <c r="J43" s="22">
        <f t="shared" si="17"/>
        <v>551360.18141434435</v>
      </c>
      <c r="K43" s="23">
        <f t="shared" si="17"/>
        <v>562387.38504263118</v>
      </c>
      <c r="M43" s="1481"/>
      <c r="N43" s="1482"/>
    </row>
    <row r="44" spans="1:14" ht="13.15" customHeight="1">
      <c r="A44" s="24" t="s">
        <v>1418</v>
      </c>
      <c r="B44" s="25">
        <f t="shared" ref="B44:K44" si="18">$B$15*(1+$B$5)^(B42-1)</f>
        <v>9411.61211789552</v>
      </c>
      <c r="C44" s="25">
        <f t="shared" si="18"/>
        <v>9599.8443602534298</v>
      </c>
      <c r="D44" s="25">
        <f t="shared" si="18"/>
        <v>9791.8412474585002</v>
      </c>
      <c r="E44" s="25">
        <f t="shared" si="18"/>
        <v>9987.6780724076689</v>
      </c>
      <c r="F44" s="25">
        <f t="shared" si="18"/>
        <v>10187.431633855824</v>
      </c>
      <c r="G44" s="25">
        <f t="shared" si="18"/>
        <v>10391.180266532938</v>
      </c>
      <c r="H44" s="25">
        <f t="shared" si="18"/>
        <v>10599.003871863597</v>
      </c>
      <c r="I44" s="25">
        <f t="shared" si="18"/>
        <v>10810.983949300871</v>
      </c>
      <c r="J44" s="25">
        <f t="shared" si="18"/>
        <v>11027.203628286887</v>
      </c>
      <c r="K44" s="26">
        <f t="shared" si="18"/>
        <v>11247.747700852624</v>
      </c>
      <c r="M44" s="1483"/>
      <c r="N44" s="1484"/>
    </row>
    <row r="45" spans="1:14" ht="13.15" customHeight="1">
      <c r="A45" s="24" t="s">
        <v>3168</v>
      </c>
      <c r="B45" s="25">
        <f t="shared" ref="B45:K45" si="19">-(B43+B44)*$B$8</f>
        <v>-33599.455260887014</v>
      </c>
      <c r="C45" s="25">
        <f t="shared" si="19"/>
        <v>-34271.444366104748</v>
      </c>
      <c r="D45" s="25">
        <f t="shared" si="19"/>
        <v>-34956.873253426849</v>
      </c>
      <c r="E45" s="25">
        <f t="shared" si="19"/>
        <v>-35656.010718495381</v>
      </c>
      <c r="F45" s="25">
        <f t="shared" si="19"/>
        <v>-36369.130932865286</v>
      </c>
      <c r="G45" s="25">
        <f t="shared" si="19"/>
        <v>-37096.513551522592</v>
      </c>
      <c r="H45" s="25">
        <f t="shared" si="19"/>
        <v>-37838.443822553047</v>
      </c>
      <c r="I45" s="25">
        <f t="shared" si="19"/>
        <v>-38595.212699004107</v>
      </c>
      <c r="J45" s="25">
        <f t="shared" si="19"/>
        <v>-39367.116952984186</v>
      </c>
      <c r="K45" s="26">
        <f t="shared" si="19"/>
        <v>-40154.459292043866</v>
      </c>
      <c r="M45" s="1483"/>
      <c r="N45" s="1484"/>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3"/>
      <c r="N46" s="1484"/>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3"/>
      <c r="N47" s="1484"/>
    </row>
    <row r="48" spans="1:14" ht="13.15" customHeight="1">
      <c r="A48" s="24" t="s">
        <v>794</v>
      </c>
      <c r="B48" s="25">
        <f t="shared" ref="B48:K48" si="20">$B$19*(1+$B$6)^(B42-1)</f>
        <v>-333264.38374975533</v>
      </c>
      <c r="C48" s="25">
        <f t="shared" si="20"/>
        <v>-343262.31526224798</v>
      </c>
      <c r="D48" s="25">
        <f t="shared" si="20"/>
        <v>-353560.18472011539</v>
      </c>
      <c r="E48" s="25">
        <f t="shared" si="20"/>
        <v>-364166.99026171881</v>
      </c>
      <c r="F48" s="25">
        <f t="shared" si="20"/>
        <v>-375091.99996957043</v>
      </c>
      <c r="G48" s="25">
        <f t="shared" si="20"/>
        <v>-386344.75996865757</v>
      </c>
      <c r="H48" s="25">
        <f t="shared" si="20"/>
        <v>-397935.10276771721</v>
      </c>
      <c r="I48" s="25">
        <f t="shared" si="20"/>
        <v>-409873.15585074876</v>
      </c>
      <c r="J48" s="25">
        <f t="shared" si="20"/>
        <v>-422169.35052627121</v>
      </c>
      <c r="K48" s="26">
        <f t="shared" si="20"/>
        <v>-434834.43104205932</v>
      </c>
      <c r="M48" s="1483"/>
      <c r="N48" s="1484"/>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-44293</v>
      </c>
      <c r="C49" s="25">
        <f>IF(AND('Part VII-Pro Forma'!$G$8="Yes",'Part VII-Pro Forma'!$G$9="Yes"),"Choose One!",IF('Part VII-Pro Forma'!$G$8="Yes",ROUND((-$K$8*(1+'Part VII-Pro Forma'!$B$6)^('Part VII-Pro Forma'!C42-1)),),IF('Part VII-Pro Forma'!$G$9="Yes",ROUND((-(SUM(C43:C46)*'Part VII-Pro Forma'!$K$9)),),"Choose mgt fee")))</f>
        <v>-45622</v>
      </c>
      <c r="D49" s="25">
        <f>IF(AND('Part VII-Pro Forma'!$G$8="Yes",'Part VII-Pro Forma'!$G$9="Yes"),"Choose One!",IF('Part VII-Pro Forma'!$G$8="Yes",ROUND((-$K$8*(1+'Part VII-Pro Forma'!$B$6)^('Part VII-Pro Forma'!D42-1)),),IF('Part VII-Pro Forma'!$G$9="Yes",ROUND((-(SUM(D43:D46)*'Part VII-Pro Forma'!$K$9)),),"Choose mgt fee")))</f>
        <v>-46990</v>
      </c>
      <c r="E49" s="25">
        <f>IF(AND('Part VII-Pro Forma'!$G$8="Yes",'Part VII-Pro Forma'!$G$9="Yes"),"Choose One!",IF('Part VII-Pro Forma'!$G$8="Yes",ROUND((-$K$8*(1+'Part VII-Pro Forma'!$B$6)^('Part VII-Pro Forma'!E42-1)),),IF('Part VII-Pro Forma'!$G$9="Yes",ROUND((-(SUM(E43:E46)*'Part VII-Pro Forma'!$K$9)),),"Choose mgt fee")))</f>
        <v>-48400</v>
      </c>
      <c r="F49" s="25">
        <f>IF(AND('Part VII-Pro Forma'!$G$8="Yes",'Part VII-Pro Forma'!$G$9="Yes"),"Choose One!",IF('Part VII-Pro Forma'!$G$8="Yes",ROUND((-$K$8*(1+'Part VII-Pro Forma'!$B$6)^('Part VII-Pro Forma'!F42-1)),),IF('Part VII-Pro Forma'!$G$9="Yes",ROUND((-(SUM(F43:F46)*'Part VII-Pro Forma'!$K$9)),),"Choose mgt fee")))</f>
        <v>-49852</v>
      </c>
      <c r="G49" s="25">
        <f>IF(AND('Part VII-Pro Forma'!$G$8="Yes",'Part VII-Pro Forma'!$G$9="Yes"),"Choose One!",IF('Part VII-Pro Forma'!$G$8="Yes",ROUND((-$K$8*(1+'Part VII-Pro Forma'!$B$6)^('Part VII-Pro Forma'!G42-1)),),IF('Part VII-Pro Forma'!$G$9="Yes",ROUND((-(SUM(G43:G46)*'Part VII-Pro Forma'!$K$9)),),"Choose mgt fee")))</f>
        <v>-51347</v>
      </c>
      <c r="H49" s="25">
        <f>IF(AND('Part VII-Pro Forma'!$G$8="Yes",'Part VII-Pro Forma'!$G$9="Yes"),"Choose One!",IF('Part VII-Pro Forma'!$G$8="Yes",ROUND((-$K$8*(1+'Part VII-Pro Forma'!$B$6)^('Part VII-Pro Forma'!H42-1)),),IF('Part VII-Pro Forma'!$G$9="Yes",ROUND((-(SUM(H43:H46)*'Part VII-Pro Forma'!$K$9)),),"Choose mgt fee")))</f>
        <v>-52888</v>
      </c>
      <c r="I49" s="25">
        <f>IF(AND('Part VII-Pro Forma'!$G$8="Yes",'Part VII-Pro Forma'!$G$9="Yes"),"Choose One!",IF('Part VII-Pro Forma'!$G$8="Yes",ROUND((-$K$8*(1+'Part VII-Pro Forma'!$B$6)^('Part VII-Pro Forma'!I42-1)),),IF('Part VII-Pro Forma'!$G$9="Yes",ROUND((-(SUM(I43:I46)*'Part VII-Pro Forma'!$K$9)),),"Choose mgt fee")))</f>
        <v>-54475</v>
      </c>
      <c r="J49" s="25">
        <f>IF(AND('Part VII-Pro Forma'!$G$8="Yes",'Part VII-Pro Forma'!$G$9="Yes"),"Choose One!",IF('Part VII-Pro Forma'!$G$8="Yes",ROUND((-$K$8*(1+'Part VII-Pro Forma'!$B$6)^('Part VII-Pro Forma'!J42-1)),),IF('Part VII-Pro Forma'!$G$9="Yes",ROUND((-(SUM(J43:J46)*'Part VII-Pro Forma'!$K$9)),),"Choose mgt fee")))</f>
        <v>-56109</v>
      </c>
      <c r="K49" s="25">
        <f>IF(AND('Part VII-Pro Forma'!$G$8="Yes",'Part VII-Pro Forma'!$G$9="Yes"),"Choose One!",IF('Part VII-Pro Forma'!$G$8="Yes",ROUND((-$K$8*(1+'Part VII-Pro Forma'!$B$6)^('Part VII-Pro Forma'!K42-1)),),IF('Part VII-Pro Forma'!$G$9="Yes",ROUND((-(SUM(K43:K46)*'Part VII-Pro Forma'!$K$9)),),"Choose mgt fee")))</f>
        <v>-57792</v>
      </c>
      <c r="M49" s="1483"/>
      <c r="N49" s="1484"/>
    </row>
    <row r="50" spans="1:14" ht="13.15" customHeight="1">
      <c r="A50" s="24" t="s">
        <v>1622</v>
      </c>
      <c r="B50" s="25">
        <f t="shared" ref="B50:K50" si="21">$B$21*(1+$B$7)^(B42-1)</f>
        <v>-26878.327586882435</v>
      </c>
      <c r="C50" s="25">
        <f t="shared" si="21"/>
        <v>-27684.67741448891</v>
      </c>
      <c r="D50" s="25">
        <f t="shared" si="21"/>
        <v>-28515.217736923572</v>
      </c>
      <c r="E50" s="25">
        <f t="shared" si="21"/>
        <v>-29370.674269031279</v>
      </c>
      <c r="F50" s="25">
        <f t="shared" si="21"/>
        <v>-30251.794497102219</v>
      </c>
      <c r="G50" s="25">
        <f t="shared" si="21"/>
        <v>-31159.348332015288</v>
      </c>
      <c r="H50" s="25">
        <f t="shared" si="21"/>
        <v>-32094.128781975742</v>
      </c>
      <c r="I50" s="25">
        <f t="shared" si="21"/>
        <v>-33056.952645435013</v>
      </c>
      <c r="J50" s="25">
        <f t="shared" si="21"/>
        <v>-34048.661224798067</v>
      </c>
      <c r="K50" s="26">
        <f t="shared" si="21"/>
        <v>-35070.121061542006</v>
      </c>
      <c r="M50" s="1483"/>
      <c r="N50" s="1484"/>
    </row>
    <row r="51" spans="1:14" ht="13.15" customHeight="1">
      <c r="A51" s="24" t="s">
        <v>1623</v>
      </c>
      <c r="B51" s="25">
        <f t="shared" ref="B51:K51" si="22">SUM(B43:B50)</f>
        <v>41957.051415146758</v>
      </c>
      <c r="C51" s="25">
        <f t="shared" si="22"/>
        <v>38751.625330083261</v>
      </c>
      <c r="D51" s="25">
        <f t="shared" si="22"/>
        <v>35361.627909917646</v>
      </c>
      <c r="E51" s="25">
        <f t="shared" si="22"/>
        <v>31777.906443545642</v>
      </c>
      <c r="F51" s="25">
        <f t="shared" si="22"/>
        <v>27994.087927109027</v>
      </c>
      <c r="G51" s="25">
        <f t="shared" si="22"/>
        <v>24002.571740984378</v>
      </c>
      <c r="H51" s="25">
        <f t="shared" si="22"/>
        <v>19793.522092797532</v>
      </c>
      <c r="I51" s="25">
        <f t="shared" si="22"/>
        <v>15359.860219156471</v>
      </c>
      <c r="J51" s="25">
        <f t="shared" si="22"/>
        <v>10693.256338577718</v>
      </c>
      <c r="K51" s="26">
        <f t="shared" si="22"/>
        <v>5784.1213478386126</v>
      </c>
      <c r="M51" s="1483"/>
      <c r="N51" s="1484"/>
    </row>
    <row r="52" spans="1:14" ht="13.15" customHeight="1">
      <c r="A52" s="24" t="str">
        <f>$A23</f>
        <v>Mortgage A</v>
      </c>
      <c r="B52" s="1586">
        <v>-32275</v>
      </c>
      <c r="C52" s="1586">
        <v>-29809</v>
      </c>
      <c r="D52" s="1586">
        <v>-27201</v>
      </c>
      <c r="E52" s="1586">
        <v>-24445</v>
      </c>
      <c r="F52" s="1586">
        <v>-21534</v>
      </c>
      <c r="G52" s="1586">
        <v>-18463</v>
      </c>
      <c r="H52" s="1586">
        <v>-15226</v>
      </c>
      <c r="I52" s="1586">
        <v>-11815</v>
      </c>
      <c r="J52" s="1586">
        <v>-8226</v>
      </c>
      <c r="K52" s="1586">
        <v>-4450</v>
      </c>
      <c r="M52" s="1483"/>
      <c r="N52" s="1484"/>
    </row>
    <row r="53" spans="1:14" ht="13.15" customHeight="1">
      <c r="A53" s="24" t="str">
        <f>$A24</f>
        <v>Mortgage B</v>
      </c>
      <c r="B53" s="1587">
        <v>0</v>
      </c>
      <c r="C53" s="1587">
        <v>0</v>
      </c>
      <c r="D53" s="1587">
        <v>0</v>
      </c>
      <c r="E53" s="1587">
        <v>0</v>
      </c>
      <c r="F53" s="1587">
        <v>0</v>
      </c>
      <c r="G53" s="1587">
        <v>0</v>
      </c>
      <c r="H53" s="1587">
        <v>0</v>
      </c>
      <c r="I53" s="1587">
        <v>0</v>
      </c>
      <c r="J53" s="1587">
        <v>0</v>
      </c>
      <c r="K53" s="1587">
        <v>0</v>
      </c>
      <c r="M53" s="1483"/>
      <c r="N53" s="1484"/>
    </row>
    <row r="54" spans="1:14" ht="13.15" customHeight="1">
      <c r="A54" s="24" t="str">
        <f>$A25</f>
        <v>Mortgage C</v>
      </c>
      <c r="B54" s="1587">
        <f>IF('Part III-Sources of Funds'!$M$34="", 0,-'Part III-Sources of Funds'!$M$34)</f>
        <v>0</v>
      </c>
      <c r="C54" s="1587">
        <f>IF('Part III-Sources of Funds'!$M$34="", 0,-'Part III-Sources of Funds'!$M$34)</f>
        <v>0</v>
      </c>
      <c r="D54" s="1587">
        <f>IF('Part III-Sources of Funds'!$M$34="", 0,-'Part III-Sources of Funds'!$M$34)</f>
        <v>0</v>
      </c>
      <c r="E54" s="1587">
        <f>IF('Part III-Sources of Funds'!$M$34="", 0,-'Part III-Sources of Funds'!$M$34)</f>
        <v>0</v>
      </c>
      <c r="F54" s="1587">
        <f>IF('Part III-Sources of Funds'!$M$34="", 0,-'Part III-Sources of Funds'!$M$34)</f>
        <v>0</v>
      </c>
      <c r="G54" s="1587">
        <f>IF('Part III-Sources of Funds'!$M$34="", 0,-'Part III-Sources of Funds'!$M$34)</f>
        <v>0</v>
      </c>
      <c r="H54" s="1587">
        <f>IF('Part III-Sources of Funds'!$M$34="", 0,-'Part III-Sources of Funds'!$M$34)</f>
        <v>0</v>
      </c>
      <c r="I54" s="1587">
        <f>IF('Part III-Sources of Funds'!$M$34="", 0,-'Part III-Sources of Funds'!$M$34)</f>
        <v>0</v>
      </c>
      <c r="J54" s="1587">
        <f>IF('Part III-Sources of Funds'!$M$34="", 0,-'Part III-Sources of Funds'!$M$34)</f>
        <v>0</v>
      </c>
      <c r="K54" s="1587">
        <f>IF('Part III-Sources of Funds'!$M$34="", 0,-'Part III-Sources of Funds'!$M$34)</f>
        <v>0</v>
      </c>
      <c r="M54" s="1483"/>
      <c r="N54" s="1484"/>
    </row>
    <row r="55" spans="1:14" ht="13.15" customHeight="1">
      <c r="A55" s="24" t="str">
        <f>$A26</f>
        <v>D/S Other Source</v>
      </c>
      <c r="B55" s="1587">
        <f>IF('Part III-Sources of Funds'!$M$35="", 0,-'Part III-Sources of Funds'!$M$35)</f>
        <v>0</v>
      </c>
      <c r="C55" s="1587">
        <f>IF('Part III-Sources of Funds'!$M$35="", 0,-'Part III-Sources of Funds'!$M$35)</f>
        <v>0</v>
      </c>
      <c r="D55" s="1587">
        <f>IF('Part III-Sources of Funds'!$M$35="", 0,-'Part III-Sources of Funds'!$M$35)</f>
        <v>0</v>
      </c>
      <c r="E55" s="1587">
        <f>IF('Part III-Sources of Funds'!$M$35="", 0,-'Part III-Sources of Funds'!$M$35)</f>
        <v>0</v>
      </c>
      <c r="F55" s="1587">
        <f>IF('Part III-Sources of Funds'!$M$35="", 0,-'Part III-Sources of Funds'!$M$35)</f>
        <v>0</v>
      </c>
      <c r="G55" s="1587">
        <f>IF('Part III-Sources of Funds'!$M$35="", 0,-'Part III-Sources of Funds'!$M$35)</f>
        <v>0</v>
      </c>
      <c r="H55" s="1587">
        <f>IF('Part III-Sources of Funds'!$M$35="", 0,-'Part III-Sources of Funds'!$M$35)</f>
        <v>0</v>
      </c>
      <c r="I55" s="1587">
        <f>IF('Part III-Sources of Funds'!$M$35="", 0,-'Part III-Sources of Funds'!$M$35)</f>
        <v>0</v>
      </c>
      <c r="J55" s="1587">
        <f>IF('Part III-Sources of Funds'!$M$35="", 0,-'Part III-Sources of Funds'!$M$35)</f>
        <v>0</v>
      </c>
      <c r="K55" s="1587">
        <f>IF('Part III-Sources of Funds'!$M$35="", 0,-'Part III-Sources of Funds'!$M$35)</f>
        <v>0</v>
      </c>
      <c r="M55" s="1483"/>
      <c r="N55" s="1484"/>
    </row>
    <row r="56" spans="1:14" ht="13.15" customHeight="1">
      <c r="A56" s="24" t="s">
        <v>1150</v>
      </c>
      <c r="B56" s="1588">
        <f>-(B51+B52+B53+B57)*0.5</f>
        <v>-3591.0257075733789</v>
      </c>
      <c r="C56" s="1588">
        <f t="shared" ref="C56:K56" si="23">-(C51+C52+C53+C57)*0.5</f>
        <v>-3221.3126650416307</v>
      </c>
      <c r="D56" s="1588">
        <f t="shared" si="23"/>
        <v>-2830.3139549588232</v>
      </c>
      <c r="E56" s="1588">
        <f t="shared" si="23"/>
        <v>-2416.4532217728211</v>
      </c>
      <c r="F56" s="1588">
        <f t="shared" si="23"/>
        <v>-1980.0439635545135</v>
      </c>
      <c r="G56" s="1588">
        <f t="shared" si="23"/>
        <v>-2769.7858704921891</v>
      </c>
      <c r="H56" s="1588">
        <f t="shared" si="23"/>
        <v>-2283.7610463987658</v>
      </c>
      <c r="I56" s="1588">
        <f t="shared" si="23"/>
        <v>-1772.4301095782357</v>
      </c>
      <c r="J56" s="1588">
        <f t="shared" si="23"/>
        <v>-1233.6281692888588</v>
      </c>
      <c r="K56" s="1588">
        <f t="shared" si="23"/>
        <v>-667.06067391930628</v>
      </c>
      <c r="M56" s="1483"/>
      <c r="N56" s="1484"/>
    </row>
    <row r="57" spans="1:14" ht="13.15" customHeight="1">
      <c r="A57" s="24" t="s">
        <v>1578</v>
      </c>
      <c r="B57" s="1587">
        <f>+K28</f>
        <v>-2500</v>
      </c>
      <c r="C57" s="1587">
        <f t="shared" ref="C57:F57" si="24">+B57</f>
        <v>-2500</v>
      </c>
      <c r="D57" s="1587">
        <f t="shared" si="24"/>
        <v>-2500</v>
      </c>
      <c r="E57" s="1587">
        <f t="shared" si="24"/>
        <v>-2500</v>
      </c>
      <c r="F57" s="1587">
        <f t="shared" si="24"/>
        <v>-2500</v>
      </c>
      <c r="G57" s="1587"/>
      <c r="H57" s="1587"/>
      <c r="I57" s="1587"/>
      <c r="J57" s="1587"/>
      <c r="K57" s="1587"/>
      <c r="M57" s="1483"/>
      <c r="N57" s="1484"/>
    </row>
    <row r="58" spans="1:14" ht="13.15" customHeight="1">
      <c r="A58" s="24" t="s">
        <v>1624</v>
      </c>
      <c r="B58" s="1589">
        <f>IF('Part III-Sources of Funds'!$M$37="", 0,-'Part III-Sources of Funds'!$M$37)</f>
        <v>0</v>
      </c>
      <c r="C58" s="1589">
        <f>IF('Part III-Sources of Funds'!$M$37="", 0,-'Part III-Sources of Funds'!$M$37)</f>
        <v>0</v>
      </c>
      <c r="D58" s="1589">
        <f>IF('Part III-Sources of Funds'!$M$37="", 0,-'Part III-Sources of Funds'!$M$37)</f>
        <v>0</v>
      </c>
      <c r="E58" s="1589">
        <f>IF('Part III-Sources of Funds'!$M$37="", 0,-'Part III-Sources of Funds'!$M$37)</f>
        <v>0</v>
      </c>
      <c r="F58" s="1589">
        <f>IF('Part III-Sources of Funds'!$M$37="", 0,-'Part III-Sources of Funds'!$M$37)</f>
        <v>0</v>
      </c>
      <c r="G58" s="1589">
        <f>IF('Part III-Sources of Funds'!$M$37="", 0,-'Part III-Sources of Funds'!$M$37)</f>
        <v>0</v>
      </c>
      <c r="H58" s="1589">
        <f>IF('Part III-Sources of Funds'!$M$37="", 0,-'Part III-Sources of Funds'!$M$37)</f>
        <v>0</v>
      </c>
      <c r="I58" s="1589">
        <f>IF('Part III-Sources of Funds'!$M$37="", 0,-'Part III-Sources of Funds'!$M$37)</f>
        <v>0</v>
      </c>
      <c r="J58" s="1589">
        <f>IF('Part III-Sources of Funds'!$M$37="", 0,-'Part III-Sources of Funds'!$M$37)</f>
        <v>0</v>
      </c>
      <c r="K58" s="1587">
        <f>IF('Part III-Sources of Funds'!$M$37="", 0,-'Part III-Sources of Funds'!$M$37)</f>
        <v>0</v>
      </c>
      <c r="M58" s="1483"/>
      <c r="N58" s="1484"/>
    </row>
    <row r="59" spans="1:14" ht="13.15" customHeight="1">
      <c r="A59" s="24" t="s">
        <v>1579</v>
      </c>
      <c r="B59" s="25">
        <f t="shared" ref="B59:K59" si="25">SUM(B51:B58)</f>
        <v>3591.0257075733789</v>
      </c>
      <c r="C59" s="25">
        <f t="shared" si="25"/>
        <v>3221.3126650416307</v>
      </c>
      <c r="D59" s="25">
        <f t="shared" si="25"/>
        <v>2830.3139549588232</v>
      </c>
      <c r="E59" s="25">
        <f t="shared" si="25"/>
        <v>2416.4532217728211</v>
      </c>
      <c r="F59" s="25">
        <f t="shared" si="25"/>
        <v>1980.0439635545135</v>
      </c>
      <c r="G59" s="25">
        <f t="shared" si="25"/>
        <v>2769.7858704921891</v>
      </c>
      <c r="H59" s="25">
        <f t="shared" si="25"/>
        <v>2283.7610463987658</v>
      </c>
      <c r="I59" s="25">
        <f t="shared" si="25"/>
        <v>1772.4301095782357</v>
      </c>
      <c r="J59" s="25">
        <f t="shared" si="25"/>
        <v>1233.6281692888588</v>
      </c>
      <c r="K59" s="23">
        <f t="shared" si="25"/>
        <v>667.06067391930628</v>
      </c>
      <c r="M59" s="1483"/>
      <c r="N59" s="1484"/>
    </row>
    <row r="60" spans="1:14" ht="13.15" customHeight="1">
      <c r="A60" s="24" t="str">
        <f>$A31</f>
        <v>DCR Mortgage A</v>
      </c>
      <c r="B60" s="27">
        <f>IF(B52=0,"",-B51/B52)</f>
        <v>1.2999861011664371</v>
      </c>
      <c r="C60" s="27">
        <f t="shared" ref="C60:K60" si="26">IF(C52=0,"",-C51/C52)</f>
        <v>1.2999974950546231</v>
      </c>
      <c r="D60" s="27">
        <f t="shared" si="26"/>
        <v>1.3000120550684771</v>
      </c>
      <c r="E60" s="27">
        <f t="shared" si="26"/>
        <v>1.2999757186968968</v>
      </c>
      <c r="F60" s="27">
        <f t="shared" si="26"/>
        <v>1.2999947955377091</v>
      </c>
      <c r="G60" s="27">
        <f t="shared" si="26"/>
        <v>1.3000363830896593</v>
      </c>
      <c r="H60" s="27">
        <f t="shared" si="26"/>
        <v>1.2999817478521958</v>
      </c>
      <c r="I60" s="27">
        <f t="shared" si="26"/>
        <v>1.3000304882908567</v>
      </c>
      <c r="J60" s="27">
        <f t="shared" si="26"/>
        <v>1.2999339093821685</v>
      </c>
      <c r="K60" s="28">
        <f t="shared" si="26"/>
        <v>1.2998025500760928</v>
      </c>
      <c r="M60" s="1483"/>
      <c r="N60" s="1484"/>
    </row>
    <row r="61" spans="1:14" ht="13.15" customHeight="1">
      <c r="A61" s="24" t="str">
        <f>$A32</f>
        <v>DCR Mortgage B</v>
      </c>
      <c r="B61" s="27" t="str">
        <f>IF(OR(B53=0,AND(B53=0,B52=0)),"",-B51/(B52+B53))</f>
        <v/>
      </c>
      <c r="C61" s="27" t="str">
        <f t="shared" ref="C61:K61" si="27">IF(OR(C53=0,AND(C53=0,C52=0)),"",-C51/(C52+C53))</f>
        <v/>
      </c>
      <c r="D61" s="27" t="str">
        <f t="shared" si="27"/>
        <v/>
      </c>
      <c r="E61" s="27" t="str">
        <f t="shared" si="27"/>
        <v/>
      </c>
      <c r="F61" s="27" t="str">
        <f t="shared" si="27"/>
        <v/>
      </c>
      <c r="G61" s="27" t="str">
        <f t="shared" si="27"/>
        <v/>
      </c>
      <c r="H61" s="27" t="str">
        <f t="shared" si="27"/>
        <v/>
      </c>
      <c r="I61" s="27" t="str">
        <f t="shared" si="27"/>
        <v/>
      </c>
      <c r="J61" s="27" t="str">
        <f t="shared" si="27"/>
        <v/>
      </c>
      <c r="K61" s="28" t="str">
        <f t="shared" si="27"/>
        <v/>
      </c>
      <c r="M61" s="1483"/>
      <c r="N61" s="1484"/>
    </row>
    <row r="62" spans="1:14" ht="13.15" customHeight="1">
      <c r="A62" s="24" t="str">
        <f>$A33</f>
        <v>DCR Mortgage C</v>
      </c>
      <c r="B62" s="27" t="str">
        <f>IF(OR(B54=0,AND(B54=0,B53=0,B52=0)),"",-B51/(B52+B53+B54))</f>
        <v/>
      </c>
      <c r="C62" s="27" t="str">
        <f t="shared" ref="C62:K62" si="28">IF(OR(C54=0,AND(C54=0,C53=0,C52=0)),"",-C51/(C52+C53+C54))</f>
        <v/>
      </c>
      <c r="D62" s="27" t="str">
        <f t="shared" si="28"/>
        <v/>
      </c>
      <c r="E62" s="27" t="str">
        <f t="shared" si="28"/>
        <v/>
      </c>
      <c r="F62" s="27" t="str">
        <f t="shared" si="28"/>
        <v/>
      </c>
      <c r="G62" s="27" t="str">
        <f t="shared" si="28"/>
        <v/>
      </c>
      <c r="H62" s="27" t="str">
        <f t="shared" si="28"/>
        <v/>
      </c>
      <c r="I62" s="27" t="str">
        <f t="shared" si="28"/>
        <v/>
      </c>
      <c r="J62" s="27" t="str">
        <f t="shared" si="28"/>
        <v/>
      </c>
      <c r="K62" s="28" t="str">
        <f t="shared" si="28"/>
        <v/>
      </c>
      <c r="M62" s="1483"/>
      <c r="N62" s="1484"/>
    </row>
    <row r="63" spans="1:14" ht="13.15" customHeight="1">
      <c r="A63" s="24" t="str">
        <f>$A34</f>
        <v>DCR Other Source</v>
      </c>
      <c r="B63" s="27" t="str">
        <f>IF(OR(B55=0,AND(B52=0,B53=0,B54=0,B55=0)),"",-B51/(B52+B53+B54+B55))</f>
        <v/>
      </c>
      <c r="C63" s="27" t="str">
        <f t="shared" ref="C63:K63" si="29">IF(OR(C55=0,AND(C52=0,C53=0,C54=0,C55=0)),"",-C51/(C52+C53+C54+C55))</f>
        <v/>
      </c>
      <c r="D63" s="27" t="str">
        <f t="shared" si="29"/>
        <v/>
      </c>
      <c r="E63" s="27" t="str">
        <f t="shared" si="29"/>
        <v/>
      </c>
      <c r="F63" s="27" t="str">
        <f t="shared" si="29"/>
        <v/>
      </c>
      <c r="G63" s="27" t="str">
        <f t="shared" si="29"/>
        <v/>
      </c>
      <c r="H63" s="27" t="str">
        <f t="shared" si="29"/>
        <v/>
      </c>
      <c r="I63" s="27" t="str">
        <f t="shared" si="29"/>
        <v/>
      </c>
      <c r="J63" s="27" t="str">
        <f t="shared" si="29"/>
        <v/>
      </c>
      <c r="K63" s="28" t="str">
        <f t="shared" si="29"/>
        <v/>
      </c>
      <c r="M63" s="1483"/>
      <c r="N63" s="1484"/>
    </row>
    <row r="64" spans="1:14" ht="13.15" customHeight="1">
      <c r="A64" s="24" t="s">
        <v>1158</v>
      </c>
      <c r="B64" s="341">
        <f>IF(OR(B49="Choose mgt fee",B49="Choose One!"),"",(B43+B44+B45+B46+B47) / -(B48+B49+B50))</f>
        <v>1.1037422023799059</v>
      </c>
      <c r="C64" s="341">
        <f t="shared" ref="C64:K64" si="30">IF(OR(C49="Choose mgt fee",C49="Choose One!"),"",(C43+C44+C45+C46+C47) / -(C48+C49+C50))</f>
        <v>1.0930257076530778</v>
      </c>
      <c r="D64" s="341">
        <f t="shared" si="30"/>
        <v>1.0824154725769535</v>
      </c>
      <c r="E64" s="341">
        <f t="shared" si="30"/>
        <v>1.0719058568526569</v>
      </c>
      <c r="F64" s="341">
        <f t="shared" si="30"/>
        <v>1.0614990038735048</v>
      </c>
      <c r="G64" s="341">
        <f t="shared" si="30"/>
        <v>1.0511944438565592</v>
      </c>
      <c r="H64" s="341">
        <f t="shared" si="30"/>
        <v>1.0409874007379685</v>
      </c>
      <c r="I64" s="341">
        <f t="shared" si="30"/>
        <v>1.0308799808381428</v>
      </c>
      <c r="J64" s="341">
        <f t="shared" si="30"/>
        <v>1.0208719354890727</v>
      </c>
      <c r="K64" s="342">
        <f t="shared" si="30"/>
        <v>1.0109610747403615</v>
      </c>
      <c r="M64" s="1483"/>
      <c r="N64" s="1484"/>
    </row>
    <row r="65" spans="1:14" ht="13.15" customHeight="1">
      <c r="A65" s="564" t="s">
        <v>3417</v>
      </c>
      <c r="B65" s="1590">
        <v>1558887</v>
      </c>
      <c r="C65" s="1590">
        <v>1536872</v>
      </c>
      <c r="D65" s="1590">
        <v>1517355</v>
      </c>
      <c r="E65" s="1590">
        <v>1500497</v>
      </c>
      <c r="F65" s="1590">
        <v>1486465</v>
      </c>
      <c r="G65" s="1590">
        <v>1471718</v>
      </c>
      <c r="H65" s="1590">
        <v>1460171</v>
      </c>
      <c r="I65" s="1590">
        <v>1452005</v>
      </c>
      <c r="J65" s="1590">
        <v>1447409</v>
      </c>
      <c r="K65" s="1590">
        <v>1446578</v>
      </c>
      <c r="M65" s="1483"/>
      <c r="N65" s="1484"/>
    </row>
    <row r="66" spans="1:14" ht="13.15" customHeight="1">
      <c r="A66" s="564" t="s">
        <v>3418</v>
      </c>
      <c r="B66" s="1587" t="str">
        <f>IF('Part III-Sources of Funds'!$H$33="","",-FV('Part III-Sources of Funds'!$J$33/12,12,B53/12,K37))</f>
        <v/>
      </c>
      <c r="C66" s="1587" t="str">
        <f>IF('Part III-Sources of Funds'!$H$33="","",-FV('Part III-Sources of Funds'!$J$33/12,12,C53/12,B66))</f>
        <v/>
      </c>
      <c r="D66" s="1587" t="str">
        <f>IF('Part III-Sources of Funds'!$H$33="","",-FV('Part III-Sources of Funds'!$J$33/12,12,D53/12,C66))</f>
        <v/>
      </c>
      <c r="E66" s="1587" t="str">
        <f>IF('Part III-Sources of Funds'!$H$33="","",-FV('Part III-Sources of Funds'!$J$33/12,12,E53/12,D66))</f>
        <v/>
      </c>
      <c r="F66" s="1587" t="str">
        <f>IF('Part III-Sources of Funds'!$H$33="","",-FV('Part III-Sources of Funds'!$J$33/12,12,F53/12,E66))</f>
        <v/>
      </c>
      <c r="G66" s="1587" t="str">
        <f>IF('Part III-Sources of Funds'!$H$33="","",-FV('Part III-Sources of Funds'!$J$33/12,12,G53/12,F66))</f>
        <v/>
      </c>
      <c r="H66" s="1587" t="str">
        <f>IF('Part III-Sources of Funds'!$H$33="","",-FV('Part III-Sources of Funds'!$J$33/12,12,H53/12,G66))</f>
        <v/>
      </c>
      <c r="I66" s="1587" t="str">
        <f>IF('Part III-Sources of Funds'!$H$33="","",-FV('Part III-Sources of Funds'!$J$33/12,12,I53/12,H66))</f>
        <v/>
      </c>
      <c r="J66" s="1587" t="str">
        <f>IF('Part III-Sources of Funds'!$H$33="","",-FV('Part III-Sources of Funds'!$J$33/12,12,J53/12,I66))</f>
        <v/>
      </c>
      <c r="K66" s="1587" t="str">
        <f>IF('Part III-Sources of Funds'!$H$33="","",-FV('Part III-Sources of Funds'!$J$33/12,12,K53/12,J66))</f>
        <v/>
      </c>
      <c r="M66" s="1483"/>
      <c r="N66" s="1484"/>
    </row>
    <row r="67" spans="1:14" ht="13.15" customHeight="1">
      <c r="A67" s="564" t="s">
        <v>3419</v>
      </c>
      <c r="B67" s="1587" t="str">
        <f>IF('Part III-Sources of Funds'!$H$34="","",-FV('Part III-Sources of Funds'!$J$34/12,12,B54/12,K38))</f>
        <v/>
      </c>
      <c r="C67" s="1587" t="str">
        <f>IF('Part III-Sources of Funds'!$H$34="","",-FV('Part III-Sources of Funds'!$J$34/12,12,C54/12,B67))</f>
        <v/>
      </c>
      <c r="D67" s="1587" t="str">
        <f>IF('Part III-Sources of Funds'!$H$34="","",-FV('Part III-Sources of Funds'!$J$34/12,12,D54/12,C67))</f>
        <v/>
      </c>
      <c r="E67" s="1587" t="str">
        <f>IF('Part III-Sources of Funds'!$H$34="","",-FV('Part III-Sources of Funds'!$J$34/12,12,E54/12,D67))</f>
        <v/>
      </c>
      <c r="F67" s="1587" t="str">
        <f>IF('Part III-Sources of Funds'!$H$34="","",-FV('Part III-Sources of Funds'!$J$34/12,12,F54/12,E67))</f>
        <v/>
      </c>
      <c r="G67" s="1587" t="str">
        <f>IF('Part III-Sources of Funds'!$H$34="","",-FV('Part III-Sources of Funds'!$J$34/12,12,G54/12,F67))</f>
        <v/>
      </c>
      <c r="H67" s="1587" t="str">
        <f>IF('Part III-Sources of Funds'!$H$34="","",-FV('Part III-Sources of Funds'!$J$34/12,12,H54/12,G67))</f>
        <v/>
      </c>
      <c r="I67" s="1587" t="str">
        <f>IF('Part III-Sources of Funds'!$H$34="","",-FV('Part III-Sources of Funds'!$J$34/12,12,I54/12,H67))</f>
        <v/>
      </c>
      <c r="J67" s="1587" t="str">
        <f>IF('Part III-Sources of Funds'!$H$34="","",-FV('Part III-Sources of Funds'!$J$34/12,12,J54/12,I67))</f>
        <v/>
      </c>
      <c r="K67" s="1587" t="str">
        <f>IF('Part III-Sources of Funds'!$H$34="","",-FV('Part III-Sources of Funds'!$J$34/12,12,K54/12,J67))</f>
        <v/>
      </c>
      <c r="M67" s="1483"/>
      <c r="N67" s="1484"/>
    </row>
    <row r="68" spans="1:14" ht="13.15" customHeight="1">
      <c r="A68" s="24" t="s">
        <v>1176</v>
      </c>
      <c r="B68" s="1587" t="str">
        <f>IF('Part III-Sources of Funds'!$H$35="","",-FV('Part III-Sources of Funds'!$J$35/12,12,B55/12,K39))</f>
        <v/>
      </c>
      <c r="C68" s="1587" t="str">
        <f>IF('Part III-Sources of Funds'!$H$35="","",-FV('Part III-Sources of Funds'!$J$35/12,12,C55/12,B68))</f>
        <v/>
      </c>
      <c r="D68" s="1587" t="str">
        <f>IF('Part III-Sources of Funds'!$H$35="","",-FV('Part III-Sources of Funds'!$J$35/12,12,D55/12,C68))</f>
        <v/>
      </c>
      <c r="E68" s="1587" t="str">
        <f>IF('Part III-Sources of Funds'!$H$35="","",-FV('Part III-Sources of Funds'!$J$35/12,12,E55/12,D68))</f>
        <v/>
      </c>
      <c r="F68" s="1587" t="str">
        <f>IF('Part III-Sources of Funds'!$H$35="","",-FV('Part III-Sources of Funds'!$J$35/12,12,F55/12,E68))</f>
        <v/>
      </c>
      <c r="G68" s="1587" t="str">
        <f>IF('Part III-Sources of Funds'!$H$35="","",-FV('Part III-Sources of Funds'!$J$35/12,12,G55/12,F68))</f>
        <v/>
      </c>
      <c r="H68" s="1587" t="str">
        <f>IF('Part III-Sources of Funds'!$H$35="","",-FV('Part III-Sources of Funds'!$J$35/12,12,H55/12,G68))</f>
        <v/>
      </c>
      <c r="I68" s="1587" t="str">
        <f>IF('Part III-Sources of Funds'!$H$35="","",-FV('Part III-Sources of Funds'!$J$35/12,12,I55/12,H68))</f>
        <v/>
      </c>
      <c r="J68" s="1587" t="str">
        <f>IF('Part III-Sources of Funds'!$H$35="","",-FV('Part III-Sources of Funds'!$J$35/12,12,J55/12,I68))</f>
        <v/>
      </c>
      <c r="K68" s="1587" t="str">
        <f>IF('Part III-Sources of Funds'!$H$35="","",-FV('Part III-Sources of Funds'!$J$35/12,12,K55/12,J68))</f>
        <v/>
      </c>
      <c r="M68" s="1483"/>
      <c r="N68" s="1484"/>
    </row>
    <row r="69" spans="1:14" ht="13.15" customHeight="1">
      <c r="A69" s="29" t="s">
        <v>1659</v>
      </c>
      <c r="B69" s="1589">
        <f>IF('Part III-Sources of Funds'!$H$37="","",-FV('Part III-Sources of Funds'!$J$37/12,12,B58/12,K40))</f>
        <v>0</v>
      </c>
      <c r="C69" s="1589">
        <f>IF('Part III-Sources of Funds'!$H$37="","",-FV('Part III-Sources of Funds'!$J$37/12,12,C58/12,B69))</f>
        <v>0</v>
      </c>
      <c r="D69" s="1589">
        <f>IF('Part III-Sources of Funds'!$H$37="","",-FV('Part III-Sources of Funds'!$J$37/12,12,D58/12,C69))</f>
        <v>0</v>
      </c>
      <c r="E69" s="1589">
        <f>IF('Part III-Sources of Funds'!$H$37="","",-FV('Part III-Sources of Funds'!$J$37/12,12,E58/12,D69))</f>
        <v>0</v>
      </c>
      <c r="F69" s="1589">
        <f>IF('Part III-Sources of Funds'!$H$37="","",-FV('Part III-Sources of Funds'!$J$37/12,12,F58/12,E69))</f>
        <v>0</v>
      </c>
      <c r="G69" s="1589">
        <f>IF('Part III-Sources of Funds'!$H$37="","",-FV('Part III-Sources of Funds'!$J$37/12,12,G58/12,F69))</f>
        <v>0</v>
      </c>
      <c r="H69" s="1589">
        <f>IF('Part III-Sources of Funds'!$H$37="","",-FV('Part III-Sources of Funds'!$J$37/12,12,H58/12,G69))</f>
        <v>0</v>
      </c>
      <c r="I69" s="1589">
        <f>IF('Part III-Sources of Funds'!$H$37="","",-FV('Part III-Sources of Funds'!$J$37/12,12,I58/12,H69))</f>
        <v>0</v>
      </c>
      <c r="J69" s="1589">
        <f>IF('Part III-Sources of Funds'!$H$37="","",-FV('Part III-Sources of Funds'!$J$37/12,12,J58/12,I69))</f>
        <v>0</v>
      </c>
      <c r="K69" s="1589">
        <f>IF('Part III-Sources of Funds'!$H$37="","",-FV('Part III-Sources of Funds'!$J$37/12,12,K58/12,J69))</f>
        <v>0</v>
      </c>
      <c r="M69" s="1486"/>
      <c r="N69" s="1487"/>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31">B71+1</f>
        <v>22</v>
      </c>
      <c r="D71" s="18">
        <f t="shared" si="31"/>
        <v>23</v>
      </c>
      <c r="E71" s="18">
        <f t="shared" si="31"/>
        <v>24</v>
      </c>
      <c r="F71" s="18">
        <f t="shared" si="31"/>
        <v>25</v>
      </c>
      <c r="G71" s="18">
        <f t="shared" si="31"/>
        <v>26</v>
      </c>
      <c r="H71" s="18">
        <f t="shared" si="31"/>
        <v>27</v>
      </c>
      <c r="I71" s="18">
        <f t="shared" si="31"/>
        <v>28</v>
      </c>
      <c r="J71" s="18">
        <f t="shared" si="31"/>
        <v>29</v>
      </c>
      <c r="K71" s="18">
        <f t="shared" si="31"/>
        <v>30</v>
      </c>
      <c r="M71" s="905" t="s">
        <v>3423</v>
      </c>
      <c r="N71" s="905"/>
    </row>
    <row r="72" spans="1:14" ht="13.15" customHeight="1">
      <c r="A72" s="21" t="s">
        <v>3167</v>
      </c>
      <c r="B72" s="22">
        <f t="shared" ref="B72:K72" si="32">$B$14*(1+$B$5)^(B71-1)</f>
        <v>573635.13274348387</v>
      </c>
      <c r="C72" s="22">
        <f t="shared" si="32"/>
        <v>585107.83539835352</v>
      </c>
      <c r="D72" s="22">
        <f t="shared" si="32"/>
        <v>596809.99210632057</v>
      </c>
      <c r="E72" s="22">
        <f t="shared" si="32"/>
        <v>608746.19194844691</v>
      </c>
      <c r="F72" s="22">
        <f t="shared" si="32"/>
        <v>620921.11578741588</v>
      </c>
      <c r="G72" s="22">
        <f t="shared" si="32"/>
        <v>633339.53810316417</v>
      </c>
      <c r="H72" s="22">
        <f t="shared" si="32"/>
        <v>646006.32886522752</v>
      </c>
      <c r="I72" s="22">
        <f t="shared" si="32"/>
        <v>658926.45544253197</v>
      </c>
      <c r="J72" s="22">
        <f t="shared" si="32"/>
        <v>672104.98455138272</v>
      </c>
      <c r="K72" s="23">
        <f t="shared" si="32"/>
        <v>685547.08424241026</v>
      </c>
      <c r="M72" s="1481"/>
      <c r="N72" s="1482"/>
    </row>
    <row r="73" spans="1:14" ht="13.15" customHeight="1">
      <c r="A73" s="24" t="s">
        <v>1418</v>
      </c>
      <c r="B73" s="25">
        <f t="shared" ref="B73:K73" si="33">$B$15*(1+$B$5)^(B71-1)</f>
        <v>11472.702654869678</v>
      </c>
      <c r="C73" s="25">
        <f t="shared" si="33"/>
        <v>11702.156707967069</v>
      </c>
      <c r="D73" s="25">
        <f t="shared" si="33"/>
        <v>11936.199842126412</v>
      </c>
      <c r="E73" s="25">
        <f t="shared" si="33"/>
        <v>12174.923838968938</v>
      </c>
      <c r="F73" s="25">
        <f t="shared" si="33"/>
        <v>12418.422315748317</v>
      </c>
      <c r="G73" s="25">
        <f t="shared" si="33"/>
        <v>12666.790762063285</v>
      </c>
      <c r="H73" s="25">
        <f t="shared" si="33"/>
        <v>12920.126577304551</v>
      </c>
      <c r="I73" s="25">
        <f t="shared" si="33"/>
        <v>13178.52910885064</v>
      </c>
      <c r="J73" s="25">
        <f t="shared" si="33"/>
        <v>13442.099691027655</v>
      </c>
      <c r="K73" s="26">
        <f t="shared" si="33"/>
        <v>13710.941684848207</v>
      </c>
      <c r="M73" s="1483"/>
      <c r="N73" s="1484"/>
    </row>
    <row r="74" spans="1:14" ht="13.15" customHeight="1">
      <c r="A74" s="24" t="s">
        <v>3168</v>
      </c>
      <c r="B74" s="25">
        <f t="shared" ref="B74:K74" si="34">-(B72+B73)*$B$8</f>
        <v>-40957.548477884753</v>
      </c>
      <c r="C74" s="25">
        <f t="shared" si="34"/>
        <v>-41776.699447442443</v>
      </c>
      <c r="D74" s="25">
        <f t="shared" si="34"/>
        <v>-42612.233436391296</v>
      </c>
      <c r="E74" s="25">
        <f t="shared" si="34"/>
        <v>-43464.478105119117</v>
      </c>
      <c r="F74" s="25">
        <f t="shared" si="34"/>
        <v>-44333.767667221495</v>
      </c>
      <c r="G74" s="25">
        <f t="shared" si="34"/>
        <v>-45220.443020565923</v>
      </c>
      <c r="H74" s="25">
        <f t="shared" si="34"/>
        <v>-46124.85188097725</v>
      </c>
      <c r="I74" s="25">
        <f t="shared" si="34"/>
        <v>-47047.348918596785</v>
      </c>
      <c r="J74" s="25">
        <f t="shared" si="34"/>
        <v>-47988.295896968732</v>
      </c>
      <c r="K74" s="26">
        <f t="shared" si="34"/>
        <v>-48948.061814908091</v>
      </c>
      <c r="M74" s="1483"/>
      <c r="N74" s="1484"/>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3"/>
      <c r="N75" s="1484"/>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3"/>
      <c r="N76" s="1484"/>
    </row>
    <row r="77" spans="1:14" ht="13.15" customHeight="1">
      <c r="A77" s="24" t="s">
        <v>794</v>
      </c>
      <c r="B77" s="25">
        <f t="shared" ref="B77:K77" si="35">$B$19*(1+$B$6)^(B71-1)</f>
        <v>-447879.46397332108</v>
      </c>
      <c r="C77" s="25">
        <f t="shared" si="35"/>
        <v>-461315.84789252066</v>
      </c>
      <c r="D77" s="25">
        <f t="shared" si="35"/>
        <v>-475155.32332929631</v>
      </c>
      <c r="E77" s="25">
        <f t="shared" si="35"/>
        <v>-489409.98302917526</v>
      </c>
      <c r="F77" s="25">
        <f t="shared" si="35"/>
        <v>-504092.28252005042</v>
      </c>
      <c r="G77" s="25">
        <f t="shared" si="35"/>
        <v>-519215.05099565192</v>
      </c>
      <c r="H77" s="25">
        <f t="shared" si="35"/>
        <v>-534791.50252552156</v>
      </c>
      <c r="I77" s="25">
        <f t="shared" si="35"/>
        <v>-550835.24760128721</v>
      </c>
      <c r="J77" s="25">
        <f t="shared" si="35"/>
        <v>-567360.30502932577</v>
      </c>
      <c r="K77" s="26">
        <f t="shared" si="35"/>
        <v>-584381.11418020551</v>
      </c>
      <c r="M77" s="1483"/>
      <c r="N77" s="1484"/>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-59526</v>
      </c>
      <c r="C78" s="25">
        <f>IF(AND('Part VII-Pro Forma'!$G$8="Yes",'Part VII-Pro Forma'!$G$9="Yes"),"Choose One!",IF('Part VII-Pro Forma'!$G$8="Yes",ROUND((-$K$8*(1+'Part VII-Pro Forma'!$B$6)^('Part VII-Pro Forma'!C71-1)),),IF('Part VII-Pro Forma'!$G$9="Yes",ROUND((-(SUM(C72:C75)*'Part VII-Pro Forma'!$K$9)),),"Choose mgt fee")))</f>
        <v>-61312</v>
      </c>
      <c r="D78" s="25">
        <f>IF(AND('Part VII-Pro Forma'!$G$8="Yes",'Part VII-Pro Forma'!$G$9="Yes"),"Choose One!",IF('Part VII-Pro Forma'!$G$8="Yes",ROUND((-$K$8*(1+'Part VII-Pro Forma'!$B$6)^('Part VII-Pro Forma'!D71-1)),),IF('Part VII-Pro Forma'!$G$9="Yes",ROUND((-(SUM(D72:D75)*'Part VII-Pro Forma'!$K$9)),),"Choose mgt fee")))</f>
        <v>-63151</v>
      </c>
      <c r="E78" s="25">
        <f>IF(AND('Part VII-Pro Forma'!$G$8="Yes",'Part VII-Pro Forma'!$G$9="Yes"),"Choose One!",IF('Part VII-Pro Forma'!$G$8="Yes",ROUND((-$K$8*(1+'Part VII-Pro Forma'!$B$6)^('Part VII-Pro Forma'!E71-1)),),IF('Part VII-Pro Forma'!$G$9="Yes",ROUND((-(SUM(E72:E75)*'Part VII-Pro Forma'!$K$9)),),"Choose mgt fee")))</f>
        <v>-65045</v>
      </c>
      <c r="F78" s="25">
        <f>IF(AND('Part VII-Pro Forma'!$G$8="Yes",'Part VII-Pro Forma'!$G$9="Yes"),"Choose One!",IF('Part VII-Pro Forma'!$G$8="Yes",ROUND((-$K$8*(1+'Part VII-Pro Forma'!$B$6)^('Part VII-Pro Forma'!F71-1)),),IF('Part VII-Pro Forma'!$G$9="Yes",ROUND((-(SUM(F72:F75)*'Part VII-Pro Forma'!$K$9)),),"Choose mgt fee")))</f>
        <v>-66997</v>
      </c>
      <c r="G78" s="25">
        <f>IF(AND('Part VII-Pro Forma'!$G$8="Yes",'Part VII-Pro Forma'!$G$9="Yes"),"Choose One!",IF('Part VII-Pro Forma'!$G$8="Yes",ROUND((-$K$8*(1+'Part VII-Pro Forma'!$B$6)^('Part VII-Pro Forma'!G71-1)),),IF('Part VII-Pro Forma'!$G$9="Yes",ROUND((-(SUM(G72:G75)*'Part VII-Pro Forma'!$K$9)),),"Choose mgt fee")))</f>
        <v>-69007</v>
      </c>
      <c r="H78" s="25">
        <f>IF(AND('Part VII-Pro Forma'!$G$8="Yes",'Part VII-Pro Forma'!$G$9="Yes"),"Choose One!",IF('Part VII-Pro Forma'!$G$8="Yes",ROUND((-$K$8*(1+'Part VII-Pro Forma'!$B$6)^('Part VII-Pro Forma'!H71-1)),),IF('Part VII-Pro Forma'!$G$9="Yes",ROUND((-(SUM(H72:H75)*'Part VII-Pro Forma'!$K$9)),),"Choose mgt fee")))</f>
        <v>-71077</v>
      </c>
      <c r="I78" s="25">
        <f>IF(AND('Part VII-Pro Forma'!$G$8="Yes",'Part VII-Pro Forma'!$G$9="Yes"),"Choose One!",IF('Part VII-Pro Forma'!$G$8="Yes",ROUND((-$K$8*(1+'Part VII-Pro Forma'!$B$6)^('Part VII-Pro Forma'!I71-1)),),IF('Part VII-Pro Forma'!$G$9="Yes",ROUND((-(SUM(I72:I75)*'Part VII-Pro Forma'!$K$9)),),"Choose mgt fee")))</f>
        <v>-73209</v>
      </c>
      <c r="J78" s="25">
        <f>IF(AND('Part VII-Pro Forma'!$G$8="Yes",'Part VII-Pro Forma'!$G$9="Yes"),"Choose One!",IF('Part VII-Pro Forma'!$G$8="Yes",ROUND((-$K$8*(1+'Part VII-Pro Forma'!$B$6)^('Part VII-Pro Forma'!J71-1)),),IF('Part VII-Pro Forma'!$G$9="Yes",ROUND((-(SUM(J72:J75)*'Part VII-Pro Forma'!$K$9)),),"Choose mgt fee")))</f>
        <v>-75406</v>
      </c>
      <c r="K78" s="25">
        <f>IF(AND('Part VII-Pro Forma'!$G$8="Yes",'Part VII-Pro Forma'!$G$9="Yes"),"Choose One!",IF('Part VII-Pro Forma'!$G$8="Yes",ROUND((-$K$8*(1+'Part VII-Pro Forma'!$B$6)^('Part VII-Pro Forma'!K71-1)),),IF('Part VII-Pro Forma'!$G$9="Yes",ROUND((-(SUM(K72:K75)*'Part VII-Pro Forma'!$K$9)),),"Choose mgt fee")))</f>
        <v>-77668</v>
      </c>
      <c r="M78" s="1483"/>
      <c r="N78" s="1484"/>
    </row>
    <row r="79" spans="1:14" ht="13.15" customHeight="1">
      <c r="A79" s="24" t="s">
        <v>1622</v>
      </c>
      <c r="B79" s="25">
        <f t="shared" ref="B79:K79" si="36">$B$21*(1+$B$7)^(B71-1)</f>
        <v>-36122.224693388263</v>
      </c>
      <c r="C79" s="25">
        <f t="shared" si="36"/>
        <v>-37205.891434189907</v>
      </c>
      <c r="D79" s="25">
        <f t="shared" si="36"/>
        <v>-38322.068177215609</v>
      </c>
      <c r="E79" s="25">
        <f t="shared" si="36"/>
        <v>-39471.730222532082</v>
      </c>
      <c r="F79" s="25">
        <f t="shared" si="36"/>
        <v>-40655.882129208039</v>
      </c>
      <c r="G79" s="25">
        <f t="shared" si="36"/>
        <v>-41875.558593084279</v>
      </c>
      <c r="H79" s="25">
        <f t="shared" si="36"/>
        <v>-43131.82535087681</v>
      </c>
      <c r="I79" s="25">
        <f t="shared" si="36"/>
        <v>-44425.78011140311</v>
      </c>
      <c r="J79" s="25">
        <f t="shared" si="36"/>
        <v>-45758.553514745203</v>
      </c>
      <c r="K79" s="26">
        <f t="shared" si="36"/>
        <v>-47131.310120187554</v>
      </c>
      <c r="M79" s="1483"/>
      <c r="N79" s="1484"/>
    </row>
    <row r="80" spans="1:14" ht="13.15" customHeight="1">
      <c r="A80" s="24" t="s">
        <v>1623</v>
      </c>
      <c r="B80" s="25">
        <f t="shared" ref="B80:K80" si="37">SUM(B72:B79)</f>
        <v>622.59825375944638</v>
      </c>
      <c r="C80" s="25">
        <f t="shared" si="37"/>
        <v>-4800.4466678324243</v>
      </c>
      <c r="D80" s="25">
        <f t="shared" si="37"/>
        <v>-10494.432994456234</v>
      </c>
      <c r="E80" s="25">
        <f t="shared" si="37"/>
        <v>-16470.075569410539</v>
      </c>
      <c r="F80" s="25">
        <f t="shared" si="37"/>
        <v>-22739.394213315769</v>
      </c>
      <c r="G80" s="25">
        <f t="shared" si="37"/>
        <v>-29311.723744074698</v>
      </c>
      <c r="H80" s="25">
        <f t="shared" si="37"/>
        <v>-36198.724314843566</v>
      </c>
      <c r="I80" s="25">
        <f t="shared" si="37"/>
        <v>-43412.392079904464</v>
      </c>
      <c r="J80" s="25">
        <f t="shared" si="37"/>
        <v>-50966.070198629284</v>
      </c>
      <c r="K80" s="26">
        <f t="shared" si="37"/>
        <v>-58870.460188042693</v>
      </c>
      <c r="M80" s="1483"/>
      <c r="N80" s="1484"/>
    </row>
    <row r="81" spans="1:14" ht="13.15" customHeight="1">
      <c r="A81" s="24" t="str">
        <f>$A52</f>
        <v>Mortgage A</v>
      </c>
      <c r="B81" s="1586">
        <f>IF('Part III-Sources of Funds'!$M$32="", 0,-'Part III-Sources of Funds'!$M$32)</f>
        <v>-50200</v>
      </c>
      <c r="C81" s="1586">
        <f>IF('Part III-Sources of Funds'!$M$32="", 0,-'Part III-Sources of Funds'!$M$32)</f>
        <v>-50200</v>
      </c>
      <c r="D81" s="1586">
        <f>IF('Part III-Sources of Funds'!$M$32="", 0,-'Part III-Sources of Funds'!$M$32)</f>
        <v>-50200</v>
      </c>
      <c r="E81" s="1586">
        <f>IF('Part III-Sources of Funds'!$M$32="", 0,-'Part III-Sources of Funds'!$M$32)</f>
        <v>-50200</v>
      </c>
      <c r="F81" s="1586">
        <f>IF('Part III-Sources of Funds'!$M$32="", 0,-'Part III-Sources of Funds'!$M$32)</f>
        <v>-50200</v>
      </c>
      <c r="G81" s="1586">
        <f>IF('Part III-Sources of Funds'!$M$32="", 0,-'Part III-Sources of Funds'!$M$32)</f>
        <v>-50200</v>
      </c>
      <c r="H81" s="1586">
        <f>IF('Part III-Sources of Funds'!$M$32="", 0,-'Part III-Sources of Funds'!$M$32)</f>
        <v>-50200</v>
      </c>
      <c r="I81" s="1586">
        <f>IF('Part III-Sources of Funds'!$M$32="", 0,-'Part III-Sources of Funds'!$M$32)</f>
        <v>-50200</v>
      </c>
      <c r="J81" s="1586">
        <f>IF('Part III-Sources of Funds'!$M$32="", 0,-'Part III-Sources of Funds'!$M$32)</f>
        <v>-50200</v>
      </c>
      <c r="K81" s="1586">
        <f>IF('Part III-Sources of Funds'!$M$32="", 0,-'Part III-Sources of Funds'!$M$32)</f>
        <v>-50200</v>
      </c>
      <c r="M81" s="1483"/>
      <c r="N81" s="1484"/>
    </row>
    <row r="82" spans="1:14" ht="13.15" customHeight="1">
      <c r="A82" s="24" t="str">
        <f>$A53</f>
        <v>Mortgage B</v>
      </c>
      <c r="B82" s="1587">
        <f>IF('Part III-Sources of Funds'!$M$33="", 0,-'Part III-Sources of Funds'!$M$33)</f>
        <v>0</v>
      </c>
      <c r="C82" s="1587">
        <f>IF('Part III-Sources of Funds'!$M$33="", 0,-'Part III-Sources of Funds'!$M$33)</f>
        <v>0</v>
      </c>
      <c r="D82" s="1587">
        <f>IF('Part III-Sources of Funds'!$M$33="", 0,-'Part III-Sources of Funds'!$M$33)</f>
        <v>0</v>
      </c>
      <c r="E82" s="1587">
        <f>IF('Part III-Sources of Funds'!$M$33="", 0,-'Part III-Sources of Funds'!$M$33)</f>
        <v>0</v>
      </c>
      <c r="F82" s="1587">
        <f>IF('Part III-Sources of Funds'!$M$33="", 0,-'Part III-Sources of Funds'!$M$33)</f>
        <v>0</v>
      </c>
      <c r="G82" s="1587">
        <f>IF('Part III-Sources of Funds'!$M$33="", 0,-'Part III-Sources of Funds'!$M$33)</f>
        <v>0</v>
      </c>
      <c r="H82" s="1587">
        <f>IF('Part III-Sources of Funds'!$M$33="", 0,-'Part III-Sources of Funds'!$M$33)</f>
        <v>0</v>
      </c>
      <c r="I82" s="1587">
        <f>IF('Part III-Sources of Funds'!$M$33="", 0,-'Part III-Sources of Funds'!$M$33)</f>
        <v>0</v>
      </c>
      <c r="J82" s="1587">
        <f>IF('Part III-Sources of Funds'!$M$33="", 0,-'Part III-Sources of Funds'!$M$33)</f>
        <v>0</v>
      </c>
      <c r="K82" s="1587">
        <f>IF('Part III-Sources of Funds'!$M$33="", 0,-'Part III-Sources of Funds'!$M$33)</f>
        <v>0</v>
      </c>
      <c r="M82" s="1483"/>
      <c r="N82" s="1484"/>
    </row>
    <row r="83" spans="1:14" ht="13.15" customHeight="1">
      <c r="A83" s="24" t="str">
        <f>$A54</f>
        <v>Mortgage C</v>
      </c>
      <c r="B83" s="1587">
        <f>IF('Part III-Sources of Funds'!$M$34="", 0,-'Part III-Sources of Funds'!$M$34)</f>
        <v>0</v>
      </c>
      <c r="C83" s="1587">
        <f>IF('Part III-Sources of Funds'!$M$34="", 0,-'Part III-Sources of Funds'!$M$34)</f>
        <v>0</v>
      </c>
      <c r="D83" s="1587">
        <f>IF('Part III-Sources of Funds'!$M$34="", 0,-'Part III-Sources of Funds'!$M$34)</f>
        <v>0</v>
      </c>
      <c r="E83" s="1587">
        <f>IF('Part III-Sources of Funds'!$M$34="", 0,-'Part III-Sources of Funds'!$M$34)</f>
        <v>0</v>
      </c>
      <c r="F83" s="1587">
        <f>IF('Part III-Sources of Funds'!$M$34="", 0,-'Part III-Sources of Funds'!$M$34)</f>
        <v>0</v>
      </c>
      <c r="G83" s="1587">
        <f>IF('Part III-Sources of Funds'!$M$34="", 0,-'Part III-Sources of Funds'!$M$34)</f>
        <v>0</v>
      </c>
      <c r="H83" s="1587">
        <f>IF('Part III-Sources of Funds'!$M$34="", 0,-'Part III-Sources of Funds'!$M$34)</f>
        <v>0</v>
      </c>
      <c r="I83" s="1587">
        <f>IF('Part III-Sources of Funds'!$M$34="", 0,-'Part III-Sources of Funds'!$M$34)</f>
        <v>0</v>
      </c>
      <c r="J83" s="1587">
        <f>IF('Part III-Sources of Funds'!$M$34="", 0,-'Part III-Sources of Funds'!$M$34)</f>
        <v>0</v>
      </c>
      <c r="K83" s="1587">
        <f>IF('Part III-Sources of Funds'!$M$34="", 0,-'Part III-Sources of Funds'!$M$34)</f>
        <v>0</v>
      </c>
      <c r="M83" s="1483"/>
      <c r="N83" s="1484"/>
    </row>
    <row r="84" spans="1:14" ht="13.15" customHeight="1">
      <c r="A84" s="24" t="str">
        <f>$A55</f>
        <v>D/S Other Source</v>
      </c>
      <c r="B84" s="1587">
        <f>IF('Part III-Sources of Funds'!$M$35="", 0,-'Part III-Sources of Funds'!$M$35)</f>
        <v>0</v>
      </c>
      <c r="C84" s="1587">
        <f>IF('Part III-Sources of Funds'!$M$35="", 0,-'Part III-Sources of Funds'!$M$35)</f>
        <v>0</v>
      </c>
      <c r="D84" s="1587">
        <f>IF('Part III-Sources of Funds'!$M$35="", 0,-'Part III-Sources of Funds'!$M$35)</f>
        <v>0</v>
      </c>
      <c r="E84" s="1587">
        <f>IF('Part III-Sources of Funds'!$M$35="", 0,-'Part III-Sources of Funds'!$M$35)</f>
        <v>0</v>
      </c>
      <c r="F84" s="1587">
        <f>IF('Part III-Sources of Funds'!$M$35="", 0,-'Part III-Sources of Funds'!$M$35)</f>
        <v>0</v>
      </c>
      <c r="G84" s="1587">
        <f>IF('Part III-Sources of Funds'!$M$35="", 0,-'Part III-Sources of Funds'!$M$35)</f>
        <v>0</v>
      </c>
      <c r="H84" s="1587">
        <f>IF('Part III-Sources of Funds'!$M$35="", 0,-'Part III-Sources of Funds'!$M$35)</f>
        <v>0</v>
      </c>
      <c r="I84" s="1587">
        <f>IF('Part III-Sources of Funds'!$M$35="", 0,-'Part III-Sources of Funds'!$M$35)</f>
        <v>0</v>
      </c>
      <c r="J84" s="1587">
        <f>IF('Part III-Sources of Funds'!$M$35="", 0,-'Part III-Sources of Funds'!$M$35)</f>
        <v>0</v>
      </c>
      <c r="K84" s="1587">
        <f>IF('Part III-Sources of Funds'!$M$35="", 0,-'Part III-Sources of Funds'!$M$35)</f>
        <v>0</v>
      </c>
      <c r="M84" s="1483"/>
      <c r="N84" s="1484"/>
    </row>
    <row r="85" spans="1:14" ht="13.15" customHeight="1">
      <c r="A85" s="24" t="s">
        <v>1150</v>
      </c>
      <c r="B85" s="1588"/>
      <c r="C85" s="1588"/>
      <c r="D85" s="1588"/>
      <c r="E85" s="1588"/>
      <c r="F85" s="1588"/>
      <c r="G85" s="1588"/>
      <c r="H85" s="1588"/>
      <c r="I85" s="1588"/>
      <c r="J85" s="1588"/>
      <c r="K85" s="1588"/>
      <c r="M85" s="1483"/>
      <c r="N85" s="1484"/>
    </row>
    <row r="86" spans="1:14" ht="13.15" customHeight="1">
      <c r="A86" s="24" t="s">
        <v>1578</v>
      </c>
      <c r="B86" s="1587">
        <f>+K57</f>
        <v>0</v>
      </c>
      <c r="C86" s="1587">
        <f t="shared" ref="C86:K86" si="38">+B86</f>
        <v>0</v>
      </c>
      <c r="D86" s="1587">
        <f t="shared" si="38"/>
        <v>0</v>
      </c>
      <c r="E86" s="1587">
        <f t="shared" si="38"/>
        <v>0</v>
      </c>
      <c r="F86" s="1587">
        <f t="shared" si="38"/>
        <v>0</v>
      </c>
      <c r="G86" s="1587">
        <f t="shared" si="38"/>
        <v>0</v>
      </c>
      <c r="H86" s="1587">
        <f t="shared" si="38"/>
        <v>0</v>
      </c>
      <c r="I86" s="1587">
        <f t="shared" si="38"/>
        <v>0</v>
      </c>
      <c r="J86" s="1587">
        <f t="shared" si="38"/>
        <v>0</v>
      </c>
      <c r="K86" s="1587">
        <f t="shared" si="38"/>
        <v>0</v>
      </c>
      <c r="M86" s="1483"/>
      <c r="N86" s="1484"/>
    </row>
    <row r="87" spans="1:14" ht="13.15" customHeight="1">
      <c r="A87" s="24" t="s">
        <v>1624</v>
      </c>
      <c r="B87" s="1589">
        <f>IF('Part III-Sources of Funds'!$M$37="", 0,-'Part III-Sources of Funds'!$M$37)</f>
        <v>0</v>
      </c>
      <c r="C87" s="1589">
        <f>IF('Part III-Sources of Funds'!$M$37="", 0,-'Part III-Sources of Funds'!$M$37)</f>
        <v>0</v>
      </c>
      <c r="D87" s="1589">
        <f>IF('Part III-Sources of Funds'!$M$37="", 0,-'Part III-Sources of Funds'!$M$37)</f>
        <v>0</v>
      </c>
      <c r="E87" s="1589">
        <f>IF('Part III-Sources of Funds'!$M$37="", 0,-'Part III-Sources of Funds'!$M$37)</f>
        <v>0</v>
      </c>
      <c r="F87" s="1589">
        <f>IF('Part III-Sources of Funds'!$M$37="", 0,-'Part III-Sources of Funds'!$M$37)</f>
        <v>0</v>
      </c>
      <c r="G87" s="1589">
        <f>IF('Part III-Sources of Funds'!$M$37="", 0,-'Part III-Sources of Funds'!$M$37)</f>
        <v>0</v>
      </c>
      <c r="H87" s="1589">
        <f>IF('Part III-Sources of Funds'!$M$37="", 0,-'Part III-Sources of Funds'!$M$37)</f>
        <v>0</v>
      </c>
      <c r="I87" s="1589">
        <f>IF('Part III-Sources of Funds'!$M$37="", 0,-'Part III-Sources of Funds'!$M$37)</f>
        <v>0</v>
      </c>
      <c r="J87" s="1589">
        <f>IF('Part III-Sources of Funds'!$M$37="", 0,-'Part III-Sources of Funds'!$M$37)</f>
        <v>0</v>
      </c>
      <c r="K87" s="1587">
        <f>IF('Part III-Sources of Funds'!$M$37="", 0,-'Part III-Sources of Funds'!$M$37)</f>
        <v>0</v>
      </c>
      <c r="M87" s="1483"/>
      <c r="N87" s="1484"/>
    </row>
    <row r="88" spans="1:14" ht="13.15" customHeight="1">
      <c r="A88" s="24" t="s">
        <v>1579</v>
      </c>
      <c r="B88" s="25">
        <f t="shared" ref="B88:K88" si="39">SUM(B80:B87)</f>
        <v>-49577.401746240554</v>
      </c>
      <c r="C88" s="25">
        <f t="shared" si="39"/>
        <v>-55000.446667832424</v>
      </c>
      <c r="D88" s="25">
        <f t="shared" si="39"/>
        <v>-60694.432994456234</v>
      </c>
      <c r="E88" s="25">
        <f t="shared" si="39"/>
        <v>-66670.075569410546</v>
      </c>
      <c r="F88" s="25">
        <f t="shared" si="39"/>
        <v>-72939.394213315769</v>
      </c>
      <c r="G88" s="25">
        <f t="shared" si="39"/>
        <v>-79511.723744074698</v>
      </c>
      <c r="H88" s="25">
        <f t="shared" si="39"/>
        <v>-86398.724314843566</v>
      </c>
      <c r="I88" s="25">
        <f t="shared" si="39"/>
        <v>-93612.392079904472</v>
      </c>
      <c r="J88" s="25">
        <f t="shared" si="39"/>
        <v>-101166.07019862928</v>
      </c>
      <c r="K88" s="23">
        <f t="shared" si="39"/>
        <v>-109070.46018804269</v>
      </c>
      <c r="M88" s="1483"/>
      <c r="N88" s="1484"/>
    </row>
    <row r="89" spans="1:14" ht="13.15" customHeight="1">
      <c r="A89" s="24" t="str">
        <f>$A60</f>
        <v>DCR Mortgage A</v>
      </c>
      <c r="B89" s="27">
        <f>IF(B81=0,"",-B80/B81)</f>
        <v>1.2402355652578613E-2</v>
      </c>
      <c r="C89" s="27">
        <f t="shared" ref="C89:K89" si="40">IF(C81=0,"",-C80/C81)</f>
        <v>-9.562642764606423E-2</v>
      </c>
      <c r="D89" s="27">
        <f t="shared" si="40"/>
        <v>-0.2090524500887696</v>
      </c>
      <c r="E89" s="27">
        <f t="shared" si="40"/>
        <v>-0.32808915476913425</v>
      </c>
      <c r="F89" s="27">
        <f t="shared" si="40"/>
        <v>-0.45297598034493564</v>
      </c>
      <c r="G89" s="27">
        <f t="shared" si="40"/>
        <v>-0.58389887936403784</v>
      </c>
      <c r="H89" s="27">
        <f t="shared" si="40"/>
        <v>-0.72109012579369658</v>
      </c>
      <c r="I89" s="27">
        <f t="shared" si="40"/>
        <v>-0.86478868685068655</v>
      </c>
      <c r="J89" s="27">
        <f t="shared" si="40"/>
        <v>-1.0152603625224956</v>
      </c>
      <c r="K89" s="28">
        <f t="shared" si="40"/>
        <v>-1.1727183304390976</v>
      </c>
      <c r="M89" s="1483"/>
      <c r="N89" s="1484"/>
    </row>
    <row r="90" spans="1:14" ht="13.15" customHeight="1">
      <c r="A90" s="24" t="str">
        <f>$A61</f>
        <v>DCR Mortgage B</v>
      </c>
      <c r="B90" s="27" t="str">
        <f>IF(OR(B82=0,AND(B82=0,B81=0)),"",-B80/(B81+B82))</f>
        <v/>
      </c>
      <c r="C90" s="27" t="str">
        <f t="shared" ref="C90:K90" si="41">IF(OR(C82=0,AND(C82=0,C81=0)),"",-C80/(C81+C82))</f>
        <v/>
      </c>
      <c r="D90" s="27" t="str">
        <f t="shared" si="41"/>
        <v/>
      </c>
      <c r="E90" s="27" t="str">
        <f t="shared" si="41"/>
        <v/>
      </c>
      <c r="F90" s="27" t="str">
        <f t="shared" si="41"/>
        <v/>
      </c>
      <c r="G90" s="27" t="str">
        <f t="shared" si="41"/>
        <v/>
      </c>
      <c r="H90" s="27" t="str">
        <f t="shared" si="41"/>
        <v/>
      </c>
      <c r="I90" s="27" t="str">
        <f t="shared" si="41"/>
        <v/>
      </c>
      <c r="J90" s="27" t="str">
        <f t="shared" si="41"/>
        <v/>
      </c>
      <c r="K90" s="28" t="str">
        <f t="shared" si="41"/>
        <v/>
      </c>
      <c r="M90" s="1483"/>
      <c r="N90" s="1484"/>
    </row>
    <row r="91" spans="1:14" ht="13.15" customHeight="1">
      <c r="A91" s="24" t="str">
        <f>$A62</f>
        <v>DCR Mortgage C</v>
      </c>
      <c r="B91" s="27" t="str">
        <f>IF(OR(B83=0,AND(B83=0,B82=0,B81=0)),"",-B80/(B81+B82+B83))</f>
        <v/>
      </c>
      <c r="C91" s="27" t="str">
        <f t="shared" ref="C91:K91" si="42">IF(OR(C83=0,AND(C83=0,C82=0,C81=0)),"",-C80/(C81+C82+C83))</f>
        <v/>
      </c>
      <c r="D91" s="27" t="str">
        <f t="shared" si="42"/>
        <v/>
      </c>
      <c r="E91" s="27" t="str">
        <f t="shared" si="42"/>
        <v/>
      </c>
      <c r="F91" s="27" t="str">
        <f t="shared" si="42"/>
        <v/>
      </c>
      <c r="G91" s="27" t="str">
        <f t="shared" si="42"/>
        <v/>
      </c>
      <c r="H91" s="27" t="str">
        <f t="shared" si="42"/>
        <v/>
      </c>
      <c r="I91" s="27" t="str">
        <f t="shared" si="42"/>
        <v/>
      </c>
      <c r="J91" s="27" t="str">
        <f t="shared" si="42"/>
        <v/>
      </c>
      <c r="K91" s="28" t="str">
        <f t="shared" si="42"/>
        <v/>
      </c>
      <c r="M91" s="1483"/>
      <c r="N91" s="1484"/>
    </row>
    <row r="92" spans="1:14" ht="13.15" customHeight="1">
      <c r="A92" s="24" t="str">
        <f>$A63</f>
        <v>DCR Other Source</v>
      </c>
      <c r="B92" s="27" t="str">
        <f>IF(OR(B84=0,AND(B81=0,B82=0,B83=0,B84=0)),"",-B80/(B81+B82+B83+B84))</f>
        <v/>
      </c>
      <c r="C92" s="27" t="str">
        <f t="shared" ref="C92:K92" si="43">IF(OR(C84=0,AND(C81=0,C82=0,C83=0,C84=0)),"",-C80/(C81+C82+C83+C84))</f>
        <v/>
      </c>
      <c r="D92" s="27" t="str">
        <f t="shared" si="43"/>
        <v/>
      </c>
      <c r="E92" s="27" t="str">
        <f t="shared" si="43"/>
        <v/>
      </c>
      <c r="F92" s="27" t="str">
        <f t="shared" si="43"/>
        <v/>
      </c>
      <c r="G92" s="27" t="str">
        <f t="shared" si="43"/>
        <v/>
      </c>
      <c r="H92" s="27" t="str">
        <f t="shared" si="43"/>
        <v/>
      </c>
      <c r="I92" s="27" t="str">
        <f t="shared" si="43"/>
        <v/>
      </c>
      <c r="J92" s="27" t="str">
        <f t="shared" si="43"/>
        <v/>
      </c>
      <c r="K92" s="28" t="str">
        <f t="shared" si="43"/>
        <v/>
      </c>
      <c r="M92" s="1483"/>
      <c r="N92" s="1484"/>
    </row>
    <row r="93" spans="1:14" ht="13.15" customHeight="1">
      <c r="A93" s="24" t="s">
        <v>1158</v>
      </c>
      <c r="B93" s="341">
        <f>IF(OR(B78="Choose mgt fee",B78="Choose One!"),"",(B72+B73+B74+B75+B76) / -(B77+B78+B79))</f>
        <v>1.0011454766090881</v>
      </c>
      <c r="C93" s="341">
        <f t="shared" ref="C93:K93" si="44">IF(OR(C78="Choose mgt fee",C78="Choose One!"),"",(C72+C73+C74+C75+C76) / -(C77+C78+C79))</f>
        <v>0.99142522800857669</v>
      </c>
      <c r="D93" s="341">
        <f t="shared" si="44"/>
        <v>0.98180035331413651</v>
      </c>
      <c r="E93" s="341">
        <f t="shared" si="44"/>
        <v>0.97226917866812546</v>
      </c>
      <c r="F93" s="341">
        <f t="shared" si="44"/>
        <v>0.96282864903990972</v>
      </c>
      <c r="G93" s="341">
        <f t="shared" si="44"/>
        <v>0.95348066188791536</v>
      </c>
      <c r="H93" s="341">
        <f t="shared" si="44"/>
        <v>0.94422387360991045</v>
      </c>
      <c r="I93" s="341">
        <f t="shared" si="44"/>
        <v>0.93505708516438801</v>
      </c>
      <c r="J93" s="341">
        <f t="shared" si="44"/>
        <v>0.92597787927889741</v>
      </c>
      <c r="K93" s="342">
        <f t="shared" si="44"/>
        <v>0.91698803552548924</v>
      </c>
      <c r="M93" s="1483"/>
      <c r="N93" s="1484"/>
    </row>
    <row r="94" spans="1:14" ht="13.15" customHeight="1">
      <c r="A94" s="564" t="s">
        <v>3417</v>
      </c>
      <c r="B94" s="1590">
        <f>IF('Part III-Sources of Funds'!$H$32="","",-FV('Part III-Sources of Funds'!$J$32/12,12,B81/12,K65))</f>
        <v>1410679.5423546096</v>
      </c>
      <c r="C94" s="1590">
        <f>IF('Part III-Sources of Funds'!$H$32="","",-FV('Part III-Sources of Funds'!$J$32/12,12,C81/12,B94))</f>
        <v>1374420.4502078034</v>
      </c>
      <c r="D94" s="1590">
        <f>IF('Part III-Sources of Funds'!$H$32="","",-FV('Part III-Sources of Funds'!$J$32/12,12,D81/12,C94))</f>
        <v>1337797.1006394858</v>
      </c>
      <c r="E94" s="1590">
        <f>IF('Part III-Sources of Funds'!$H$32="","",-FV('Part III-Sources of Funds'!$J$32/12,12,E81/12,D94))</f>
        <v>1300805.8343338473</v>
      </c>
      <c r="F94" s="1590">
        <f>IF('Part III-Sources of Funds'!$H$32="","",-FV('Part III-Sources of Funds'!$J$32/12,12,F81/12,E94))</f>
        <v>1263442.9552137349</v>
      </c>
      <c r="G94" s="1590">
        <f>IF('Part III-Sources of Funds'!$H$32="","",-FV('Part III-Sources of Funds'!$J$32/12,12,G81/12,F94))</f>
        <v>1225704.7300713495</v>
      </c>
      <c r="H94" s="1590">
        <f>IF('Part III-Sources of Funds'!$H$32="","",-FV('Part III-Sources of Funds'!$J$32/12,12,H81/12,G94))</f>
        <v>1187587.388195232</v>
      </c>
      <c r="I94" s="1590">
        <f>IF('Part III-Sources of Funds'!$H$32="","",-FV('Part III-Sources of Funds'!$J$32/12,12,I81/12,H94))</f>
        <v>1149087.1209935038</v>
      </c>
      <c r="J94" s="1590">
        <f>IF('Part III-Sources of Funds'!$H$32="","",-FV('Part III-Sources of Funds'!$J$32/12,12,J81/12,I94))</f>
        <v>1110200.0816133211</v>
      </c>
      <c r="K94" s="1590">
        <f>IF('Part III-Sources of Funds'!$H$32="","",-FV('Part III-Sources of Funds'!$J$32/12,12,K81/12,J94))</f>
        <v>1070922.3845565068</v>
      </c>
      <c r="M94" s="1483"/>
      <c r="N94" s="1484"/>
    </row>
    <row r="95" spans="1:14" ht="13.15" customHeight="1">
      <c r="A95" s="564" t="s">
        <v>3418</v>
      </c>
      <c r="B95" s="1587" t="str">
        <f>IF('Part III-Sources of Funds'!$H$33="","",-FV('Part III-Sources of Funds'!$J$33/12,12,B82/12,K66))</f>
        <v/>
      </c>
      <c r="C95" s="1587" t="str">
        <f>IF('Part III-Sources of Funds'!$H$33="","",-FV('Part III-Sources of Funds'!$J$33/12,12,C82/12,B95))</f>
        <v/>
      </c>
      <c r="D95" s="1587" t="str">
        <f>IF('Part III-Sources of Funds'!$H$33="","",-FV('Part III-Sources of Funds'!$J$33/12,12,D82/12,C95))</f>
        <v/>
      </c>
      <c r="E95" s="1587" t="str">
        <f>IF('Part III-Sources of Funds'!$H$33="","",-FV('Part III-Sources of Funds'!$J$33/12,12,E82/12,D95))</f>
        <v/>
      </c>
      <c r="F95" s="1587" t="str">
        <f>IF('Part III-Sources of Funds'!$H$33="","",-FV('Part III-Sources of Funds'!$J$33/12,12,F82/12,E95))</f>
        <v/>
      </c>
      <c r="G95" s="1587" t="str">
        <f>IF('Part III-Sources of Funds'!$H$33="","",-FV('Part III-Sources of Funds'!$J$33/12,12,G82/12,F95))</f>
        <v/>
      </c>
      <c r="H95" s="1587" t="str">
        <f>IF('Part III-Sources of Funds'!$H$33="","",-FV('Part III-Sources of Funds'!$J$33/12,12,H82/12,G95))</f>
        <v/>
      </c>
      <c r="I95" s="1587" t="str">
        <f>IF('Part III-Sources of Funds'!$H$33="","",-FV('Part III-Sources of Funds'!$J$33/12,12,I82/12,H95))</f>
        <v/>
      </c>
      <c r="J95" s="1587" t="str">
        <f>IF('Part III-Sources of Funds'!$H$33="","",-FV('Part III-Sources of Funds'!$J$33/12,12,J82/12,I95))</f>
        <v/>
      </c>
      <c r="K95" s="1587" t="str">
        <f>IF('Part III-Sources of Funds'!$H$33="","",-FV('Part III-Sources of Funds'!$J$33/12,12,K82/12,J95))</f>
        <v/>
      </c>
      <c r="M95" s="1483"/>
      <c r="N95" s="1484"/>
    </row>
    <row r="96" spans="1:14" ht="13.15" customHeight="1">
      <c r="A96" s="564" t="s">
        <v>3419</v>
      </c>
      <c r="B96" s="1587" t="str">
        <f>IF('Part III-Sources of Funds'!$H$34="","",-FV('Part III-Sources of Funds'!$J$34/12,12,B83/12,K67))</f>
        <v/>
      </c>
      <c r="C96" s="1587" t="str">
        <f>IF('Part III-Sources of Funds'!$H$34="","",-FV('Part III-Sources of Funds'!$J$34/12,12,C83/12,B96))</f>
        <v/>
      </c>
      <c r="D96" s="1587" t="str">
        <f>IF('Part III-Sources of Funds'!$H$34="","",-FV('Part III-Sources of Funds'!$J$34/12,12,D83/12,C96))</f>
        <v/>
      </c>
      <c r="E96" s="1587" t="str">
        <f>IF('Part III-Sources of Funds'!$H$34="","",-FV('Part III-Sources of Funds'!$J$34/12,12,E83/12,D96))</f>
        <v/>
      </c>
      <c r="F96" s="1587" t="str">
        <f>IF('Part III-Sources of Funds'!$H$34="","",-FV('Part III-Sources of Funds'!$J$34/12,12,F83/12,E96))</f>
        <v/>
      </c>
      <c r="G96" s="1587" t="str">
        <f>IF('Part III-Sources of Funds'!$H$34="","",-FV('Part III-Sources of Funds'!$J$34/12,12,G83/12,F96))</f>
        <v/>
      </c>
      <c r="H96" s="1587" t="str">
        <f>IF('Part III-Sources of Funds'!$H$34="","",-FV('Part III-Sources of Funds'!$J$34/12,12,H83/12,G96))</f>
        <v/>
      </c>
      <c r="I96" s="1587" t="str">
        <f>IF('Part III-Sources of Funds'!$H$34="","",-FV('Part III-Sources of Funds'!$J$34/12,12,I83/12,H96))</f>
        <v/>
      </c>
      <c r="J96" s="1587" t="str">
        <f>IF('Part III-Sources of Funds'!$H$34="","",-FV('Part III-Sources of Funds'!$J$34/12,12,J83/12,I96))</f>
        <v/>
      </c>
      <c r="K96" s="1587" t="str">
        <f>IF('Part III-Sources of Funds'!$H$34="","",-FV('Part III-Sources of Funds'!$J$34/12,12,K83/12,J96))</f>
        <v/>
      </c>
      <c r="M96" s="1483"/>
      <c r="N96" s="1484"/>
    </row>
    <row r="97" spans="1:14" ht="13.15" customHeight="1">
      <c r="A97" s="24" t="s">
        <v>1176</v>
      </c>
      <c r="B97" s="1587" t="str">
        <f>IF('Part III-Sources of Funds'!$H$35="","",-FV('Part III-Sources of Funds'!$J$35/12,12,B84/12,K68))</f>
        <v/>
      </c>
      <c r="C97" s="1587" t="str">
        <f>IF('Part III-Sources of Funds'!$H$35="","",-FV('Part III-Sources of Funds'!$J$35/12,12,C84/12,B97))</f>
        <v/>
      </c>
      <c r="D97" s="1587" t="str">
        <f>IF('Part III-Sources of Funds'!$H$35="","",-FV('Part III-Sources of Funds'!$J$35/12,12,D84/12,C97))</f>
        <v/>
      </c>
      <c r="E97" s="1587" t="str">
        <f>IF('Part III-Sources of Funds'!$H$35="","",-FV('Part III-Sources of Funds'!$J$35/12,12,E84/12,D97))</f>
        <v/>
      </c>
      <c r="F97" s="1587" t="str">
        <f>IF('Part III-Sources of Funds'!$H$35="","",-FV('Part III-Sources of Funds'!$J$35/12,12,F84/12,E97))</f>
        <v/>
      </c>
      <c r="G97" s="1587" t="str">
        <f>IF('Part III-Sources of Funds'!$H$35="","",-FV('Part III-Sources of Funds'!$J$35/12,12,G84/12,F97))</f>
        <v/>
      </c>
      <c r="H97" s="1587" t="str">
        <f>IF('Part III-Sources of Funds'!$H$35="","",-FV('Part III-Sources of Funds'!$J$35/12,12,H84/12,G97))</f>
        <v/>
      </c>
      <c r="I97" s="1587" t="str">
        <f>IF('Part III-Sources of Funds'!$H$35="","",-FV('Part III-Sources of Funds'!$J$35/12,12,I84/12,H97))</f>
        <v/>
      </c>
      <c r="J97" s="1587" t="str">
        <f>IF('Part III-Sources of Funds'!$H$35="","",-FV('Part III-Sources of Funds'!$J$35/12,12,J84/12,I97))</f>
        <v/>
      </c>
      <c r="K97" s="1587" t="str">
        <f>IF('Part III-Sources of Funds'!$H$35="","",-FV('Part III-Sources of Funds'!$J$35/12,12,K84/12,J97))</f>
        <v/>
      </c>
      <c r="M97" s="1483"/>
      <c r="N97" s="1484"/>
    </row>
    <row r="98" spans="1:14" ht="13.15" customHeight="1">
      <c r="A98" s="29" t="s">
        <v>1659</v>
      </c>
      <c r="B98" s="1589">
        <f>IF('Part III-Sources of Funds'!$H$37="","",-FV('Part III-Sources of Funds'!$J$37/12,12,B87/12,K69))</f>
        <v>0</v>
      </c>
      <c r="C98" s="1589">
        <f>IF('Part III-Sources of Funds'!$H$37="","",-FV('Part III-Sources of Funds'!$J$37/12,12,C87/12,B98))</f>
        <v>0</v>
      </c>
      <c r="D98" s="1589">
        <f>IF('Part III-Sources of Funds'!$H$37="","",-FV('Part III-Sources of Funds'!$J$37/12,12,D87/12,C98))</f>
        <v>0</v>
      </c>
      <c r="E98" s="1589">
        <f>IF('Part III-Sources of Funds'!$H$37="","",-FV('Part III-Sources of Funds'!$J$37/12,12,E87/12,D98))</f>
        <v>0</v>
      </c>
      <c r="F98" s="1589">
        <f>IF('Part III-Sources of Funds'!$H$37="","",-FV('Part III-Sources of Funds'!$J$37/12,12,F87/12,E98))</f>
        <v>0</v>
      </c>
      <c r="G98" s="1589">
        <f>IF('Part III-Sources of Funds'!$H$37="","",-FV('Part III-Sources of Funds'!$J$37/12,12,G87/12,F98))</f>
        <v>0</v>
      </c>
      <c r="H98" s="1589">
        <f>IF('Part III-Sources of Funds'!$H$37="","",-FV('Part III-Sources of Funds'!$J$37/12,12,H87/12,G98))</f>
        <v>0</v>
      </c>
      <c r="I98" s="1589">
        <f>IF('Part III-Sources of Funds'!$H$37="","",-FV('Part III-Sources of Funds'!$J$37/12,12,I87/12,H98))</f>
        <v>0</v>
      </c>
      <c r="J98" s="1589">
        <f>IF('Part III-Sources of Funds'!$H$37="","",-FV('Part III-Sources of Funds'!$J$37/12,12,J87/12,I98))</f>
        <v>0</v>
      </c>
      <c r="K98" s="1589">
        <f>IF('Part III-Sources of Funds'!$H$37="","",-FV('Part III-Sources of Funds'!$J$37/12,12,K87/12,J98))</f>
        <v>0</v>
      </c>
      <c r="M98" s="1486"/>
      <c r="N98" s="1487"/>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c r="B103" s="1591"/>
      <c r="C103" s="1591"/>
      <c r="D103" s="1591"/>
      <c r="E103" s="1591"/>
      <c r="F103" s="1592"/>
      <c r="G103" s="1377"/>
      <c r="H103" s="1591"/>
      <c r="I103" s="1591"/>
      <c r="J103" s="1591"/>
      <c r="K103" s="1592"/>
      <c r="M103" s="914" t="s">
        <v>3596</v>
      </c>
      <c r="N103" s="91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rintOptions horizontalCentered="1"/>
  <pageMargins left="0.2" right="0.2" top="0.5" bottom="0.5" header="0.3" footer="0.3"/>
  <pageSetup scale="97" fitToHeight="0" orientation="landscape" r:id="rId1"/>
  <headerFooter>
    <oddHeader>&amp;LGeorgia Department of Community Affairs&amp;RHousing  Finance and Development Division</oddHeader>
    <oddFooter>&amp;C&amp;9&amp;P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18" t="str">
        <f>CONCATENATE("PART EIGHT - THRESHOLD CRITERIA","  -  ",'Part I-Project Information'!$O$4," ",'Part I-Project Information'!$F$23,", ",'Part I-Project Information'!F26,", ",'Part I-Project Information'!J27," County")</f>
        <v>PART EIGHT - THRESHOLD CRITERIA  -  2013-001 Forest Mill Apartments, West Point, Troup County</v>
      </c>
      <c r="B1" s="919"/>
      <c r="C1" s="919"/>
      <c r="D1" s="919"/>
      <c r="E1" s="919"/>
      <c r="F1" s="919"/>
      <c r="G1" s="919"/>
      <c r="H1" s="919"/>
      <c r="I1" s="919"/>
      <c r="J1" s="919"/>
      <c r="K1" s="919"/>
      <c r="L1" s="919"/>
      <c r="M1" s="919"/>
      <c r="N1" s="919"/>
      <c r="O1" s="919"/>
      <c r="P1" s="919"/>
      <c r="Q1" s="919"/>
    </row>
    <row r="2" spans="1:32" s="31" customFormat="1" ht="3" customHeight="1">
      <c r="S2" s="43"/>
      <c r="T2" s="43"/>
      <c r="AE2" s="142"/>
      <c r="AF2" s="142"/>
    </row>
    <row r="3" spans="1:32" ht="13.5" customHeight="1">
      <c r="A3" s="1110"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110"/>
      <c r="C3" s="1110"/>
      <c r="D3" s="1110"/>
      <c r="E3" s="1110"/>
      <c r="F3" s="1110"/>
      <c r="G3" s="1110"/>
      <c r="H3" s="1110"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110"/>
      <c r="J3" s="1110"/>
      <c r="K3" s="1110"/>
      <c r="L3" s="1110"/>
      <c r="M3" s="1110"/>
      <c r="N3" s="1111"/>
      <c r="O3" s="1112" t="s">
        <v>1331</v>
      </c>
      <c r="P3" s="1113"/>
      <c r="Q3" s="274" t="s">
        <v>2543</v>
      </c>
    </row>
    <row r="4" spans="1:32" ht="3" customHeight="1">
      <c r="A4" s="801"/>
      <c r="B4" s="1104"/>
      <c r="C4" s="1104"/>
      <c r="D4" s="1104"/>
      <c r="E4" s="801"/>
      <c r="F4" s="801"/>
      <c r="G4" s="801"/>
      <c r="H4" s="801"/>
      <c r="I4" s="801"/>
      <c r="J4" s="801"/>
      <c r="K4" s="801"/>
      <c r="L4" s="801"/>
      <c r="M4" s="801"/>
      <c r="N4" s="801"/>
      <c r="P4" s="801"/>
      <c r="Q4" s="801"/>
    </row>
    <row r="5" spans="1:32" ht="10.9" hidden="1" customHeight="1">
      <c r="A5" s="801"/>
      <c r="B5" s="801"/>
      <c r="C5" s="801"/>
      <c r="D5" s="801"/>
      <c r="E5" s="801"/>
      <c r="F5" s="801"/>
      <c r="G5" s="801"/>
      <c r="H5" s="801"/>
      <c r="I5" s="801"/>
      <c r="J5" s="801"/>
      <c r="K5" s="801"/>
      <c r="L5" s="801"/>
      <c r="M5" s="801"/>
      <c r="N5" s="801"/>
      <c r="P5" s="801"/>
      <c r="Q5" s="801"/>
    </row>
    <row r="6" spans="1:32" ht="15" customHeight="1">
      <c r="A6" s="156" t="s">
        <v>735</v>
      </c>
      <c r="J6" s="801"/>
      <c r="K6" s="801"/>
      <c r="L6" s="801"/>
      <c r="M6" s="801"/>
      <c r="N6" s="801"/>
      <c r="P6" s="1105"/>
      <c r="Q6" s="1106"/>
    </row>
    <row r="7" spans="1:32" ht="12.6" customHeight="1">
      <c r="A7" s="157" t="s">
        <v>304</v>
      </c>
      <c r="C7" s="158"/>
      <c r="D7" s="158"/>
      <c r="J7" s="801"/>
      <c r="K7" s="801"/>
      <c r="L7" s="801"/>
      <c r="M7" s="801"/>
      <c r="N7" s="801"/>
    </row>
    <row r="8" spans="1:32" ht="24.6" customHeight="1">
      <c r="A8" s="1107" t="s">
        <v>1848</v>
      </c>
      <c r="B8" s="1108"/>
      <c r="C8" s="1108"/>
      <c r="D8" s="1108"/>
      <c r="E8" s="1108"/>
      <c r="F8" s="1108"/>
      <c r="G8" s="1108"/>
      <c r="H8" s="1108"/>
      <c r="I8" s="1108"/>
      <c r="J8" s="1108"/>
      <c r="K8" s="1108"/>
      <c r="L8" s="1108"/>
      <c r="M8" s="1108"/>
      <c r="N8" s="1108"/>
      <c r="O8" s="1108"/>
      <c r="P8" s="1108"/>
      <c r="Q8" s="1109"/>
      <c r="R8" s="1073" t="s">
        <v>2743</v>
      </c>
      <c r="S8" s="816"/>
    </row>
    <row r="9" spans="1:32" ht="24.6" customHeight="1">
      <c r="A9" s="1084" t="s">
        <v>247</v>
      </c>
      <c r="B9" s="1085"/>
      <c r="C9" s="1085"/>
      <c r="D9" s="1085"/>
      <c r="E9" s="1085"/>
      <c r="F9" s="1085"/>
      <c r="G9" s="1085"/>
      <c r="H9" s="1085"/>
      <c r="I9" s="1085"/>
      <c r="J9" s="1085"/>
      <c r="K9" s="1085"/>
      <c r="L9" s="1085"/>
      <c r="M9" s="1085"/>
      <c r="N9" s="1085"/>
      <c r="O9" s="1085"/>
      <c r="P9" s="1085"/>
      <c r="Q9" s="1086"/>
      <c r="R9" s="1073"/>
      <c r="S9" s="816"/>
    </row>
    <row r="10" spans="1:32" ht="24.6" customHeight="1">
      <c r="A10" s="1084" t="s">
        <v>1844</v>
      </c>
      <c r="B10" s="1085"/>
      <c r="C10" s="1085"/>
      <c r="D10" s="1085"/>
      <c r="E10" s="1085"/>
      <c r="F10" s="1085"/>
      <c r="G10" s="1085"/>
      <c r="H10" s="1085"/>
      <c r="I10" s="1085"/>
      <c r="J10" s="1085"/>
      <c r="K10" s="1085"/>
      <c r="L10" s="1085"/>
      <c r="M10" s="1085"/>
      <c r="N10" s="1085"/>
      <c r="O10" s="1085"/>
      <c r="P10" s="1085"/>
      <c r="Q10" s="1086"/>
      <c r="R10" s="1073"/>
      <c r="S10" s="816"/>
    </row>
    <row r="11" spans="1:32" ht="24.6" customHeight="1">
      <c r="A11" s="1084" t="s">
        <v>1845</v>
      </c>
      <c r="B11" s="1085"/>
      <c r="C11" s="1085"/>
      <c r="D11" s="1085"/>
      <c r="E11" s="1085"/>
      <c r="F11" s="1085"/>
      <c r="G11" s="1085"/>
      <c r="H11" s="1085"/>
      <c r="I11" s="1085"/>
      <c r="J11" s="1085"/>
      <c r="K11" s="1085"/>
      <c r="L11" s="1085"/>
      <c r="M11" s="1085"/>
      <c r="N11" s="1085"/>
      <c r="O11" s="1085"/>
      <c r="P11" s="1085"/>
      <c r="Q11" s="1086"/>
      <c r="R11" s="1073"/>
      <c r="S11" s="816"/>
    </row>
    <row r="12" spans="1:32" ht="24.6" customHeight="1">
      <c r="A12" s="1084" t="s">
        <v>1846</v>
      </c>
      <c r="B12" s="1085"/>
      <c r="C12" s="1085"/>
      <c r="D12" s="1085"/>
      <c r="E12" s="1085"/>
      <c r="F12" s="1085"/>
      <c r="G12" s="1085"/>
      <c r="H12" s="1085"/>
      <c r="I12" s="1085"/>
      <c r="J12" s="1085"/>
      <c r="K12" s="1085"/>
      <c r="L12" s="1085"/>
      <c r="M12" s="1085"/>
      <c r="N12" s="1085"/>
      <c r="O12" s="1085"/>
      <c r="P12" s="1085"/>
      <c r="Q12" s="1086"/>
      <c r="R12" s="777"/>
      <c r="S12" s="777"/>
    </row>
    <row r="13" spans="1:32" ht="24.6" customHeight="1">
      <c r="A13" s="1084" t="s">
        <v>1847</v>
      </c>
      <c r="B13" s="1085"/>
      <c r="C13" s="1085"/>
      <c r="D13" s="1085"/>
      <c r="E13" s="1085"/>
      <c r="F13" s="1085"/>
      <c r="G13" s="1085"/>
      <c r="H13" s="1085"/>
      <c r="I13" s="1085"/>
      <c r="J13" s="1085"/>
      <c r="K13" s="1085"/>
      <c r="L13" s="1085"/>
      <c r="M13" s="1085"/>
      <c r="N13" s="1085"/>
      <c r="O13" s="1085"/>
      <c r="P13" s="1085"/>
      <c r="Q13" s="1086"/>
      <c r="R13" s="777"/>
      <c r="S13" s="777"/>
    </row>
    <row r="14" spans="1:32" ht="24.6" customHeight="1">
      <c r="A14" s="1084" t="s">
        <v>1849</v>
      </c>
      <c r="B14" s="1085"/>
      <c r="C14" s="1085"/>
      <c r="D14" s="1085"/>
      <c r="E14" s="1085"/>
      <c r="F14" s="1085"/>
      <c r="G14" s="1085"/>
      <c r="H14" s="1085"/>
      <c r="I14" s="1085"/>
      <c r="J14" s="1085"/>
      <c r="K14" s="1085"/>
      <c r="L14" s="1085"/>
      <c r="M14" s="1085"/>
      <c r="N14" s="1085"/>
      <c r="O14" s="1085"/>
      <c r="P14" s="1085"/>
      <c r="Q14" s="1086"/>
    </row>
    <row r="15" spans="1:32" ht="24.6" customHeight="1">
      <c r="A15" s="1084" t="s">
        <v>2730</v>
      </c>
      <c r="B15" s="1085"/>
      <c r="C15" s="1085"/>
      <c r="D15" s="1085"/>
      <c r="E15" s="1085"/>
      <c r="F15" s="1085"/>
      <c r="G15" s="1085"/>
      <c r="H15" s="1085"/>
      <c r="I15" s="1085"/>
      <c r="J15" s="1085"/>
      <c r="K15" s="1085"/>
      <c r="L15" s="1085"/>
      <c r="M15" s="1085"/>
      <c r="N15" s="1085"/>
      <c r="O15" s="1085"/>
      <c r="P15" s="1085"/>
      <c r="Q15" s="1086"/>
      <c r="R15" s="816" t="s">
        <v>2743</v>
      </c>
      <c r="S15" s="816"/>
    </row>
    <row r="16" spans="1:32" ht="24.6" customHeight="1">
      <c r="A16" s="1084" t="s">
        <v>2731</v>
      </c>
      <c r="B16" s="1085"/>
      <c r="C16" s="1085"/>
      <c r="D16" s="1085"/>
      <c r="E16" s="1085"/>
      <c r="F16" s="1085"/>
      <c r="G16" s="1085"/>
      <c r="H16" s="1085"/>
      <c r="I16" s="1085"/>
      <c r="J16" s="1085"/>
      <c r="K16" s="1085"/>
      <c r="L16" s="1085"/>
      <c r="M16" s="1085"/>
      <c r="N16" s="1085"/>
      <c r="O16" s="1085"/>
      <c r="P16" s="1085"/>
      <c r="Q16" s="1086"/>
      <c r="R16" s="816"/>
      <c r="S16" s="816"/>
    </row>
    <row r="17" spans="1:19" ht="24.6" customHeight="1">
      <c r="A17" s="1084" t="s">
        <v>2732</v>
      </c>
      <c r="B17" s="1085"/>
      <c r="C17" s="1085"/>
      <c r="D17" s="1085"/>
      <c r="E17" s="1085"/>
      <c r="F17" s="1085"/>
      <c r="G17" s="1085"/>
      <c r="H17" s="1085"/>
      <c r="I17" s="1085"/>
      <c r="J17" s="1085"/>
      <c r="K17" s="1085"/>
      <c r="L17" s="1085"/>
      <c r="M17" s="1085"/>
      <c r="N17" s="1085"/>
      <c r="O17" s="1085"/>
      <c r="P17" s="1085"/>
      <c r="Q17" s="1086"/>
      <c r="R17" s="816"/>
      <c r="S17" s="816"/>
    </row>
    <row r="18" spans="1:19" ht="24.6" customHeight="1">
      <c r="A18" s="1084" t="s">
        <v>2733</v>
      </c>
      <c r="B18" s="1085"/>
      <c r="C18" s="1085"/>
      <c r="D18" s="1085"/>
      <c r="E18" s="1085"/>
      <c r="F18" s="1085"/>
      <c r="G18" s="1085"/>
      <c r="H18" s="1085"/>
      <c r="I18" s="1085"/>
      <c r="J18" s="1085"/>
      <c r="K18" s="1085"/>
      <c r="L18" s="1085"/>
      <c r="M18" s="1085"/>
      <c r="N18" s="1085"/>
      <c r="O18" s="1085"/>
      <c r="P18" s="1085"/>
      <c r="Q18" s="1086"/>
      <c r="R18" s="816"/>
      <c r="S18" s="816"/>
    </row>
    <row r="19" spans="1:19" ht="24.6" customHeight="1">
      <c r="A19" s="1084" t="s">
        <v>2734</v>
      </c>
      <c r="B19" s="1085"/>
      <c r="C19" s="1085"/>
      <c r="D19" s="1085"/>
      <c r="E19" s="1085"/>
      <c r="F19" s="1085"/>
      <c r="G19" s="1085"/>
      <c r="H19" s="1085"/>
      <c r="I19" s="1085"/>
      <c r="J19" s="1085"/>
      <c r="K19" s="1085"/>
      <c r="L19" s="1085"/>
      <c r="M19" s="1085"/>
      <c r="N19" s="1085"/>
      <c r="O19" s="1085"/>
      <c r="P19" s="1085"/>
      <c r="Q19" s="1086"/>
      <c r="R19" s="777"/>
      <c r="S19" s="777"/>
    </row>
    <row r="20" spans="1:19" ht="24.6" customHeight="1">
      <c r="A20" s="1084" t="s">
        <v>2735</v>
      </c>
      <c r="B20" s="1085"/>
      <c r="C20" s="1085"/>
      <c r="D20" s="1085"/>
      <c r="E20" s="1085"/>
      <c r="F20" s="1085"/>
      <c r="G20" s="1085"/>
      <c r="H20" s="1085"/>
      <c r="I20" s="1085"/>
      <c r="J20" s="1085"/>
      <c r="K20" s="1085"/>
      <c r="L20" s="1085"/>
      <c r="M20" s="1085"/>
      <c r="N20" s="1085"/>
      <c r="O20" s="1085"/>
      <c r="P20" s="1085"/>
      <c r="Q20" s="1086"/>
      <c r="R20" s="777"/>
      <c r="S20" s="777"/>
    </row>
    <row r="21" spans="1:19" ht="24.6" customHeight="1">
      <c r="A21" s="1084" t="s">
        <v>2736</v>
      </c>
      <c r="B21" s="1085"/>
      <c r="C21" s="1085"/>
      <c r="D21" s="1085"/>
      <c r="E21" s="1085"/>
      <c r="F21" s="1085"/>
      <c r="G21" s="1085"/>
      <c r="H21" s="1085"/>
      <c r="I21" s="1085"/>
      <c r="J21" s="1085"/>
      <c r="K21" s="1085"/>
      <c r="L21" s="1085"/>
      <c r="M21" s="1085"/>
      <c r="N21" s="1085"/>
      <c r="O21" s="1085"/>
      <c r="P21" s="1085"/>
      <c r="Q21" s="1086"/>
    </row>
    <row r="22" spans="1:19" ht="24.6" customHeight="1">
      <c r="A22" s="1084" t="s">
        <v>2737</v>
      </c>
      <c r="B22" s="1085"/>
      <c r="C22" s="1085"/>
      <c r="D22" s="1085"/>
      <c r="E22" s="1085"/>
      <c r="F22" s="1085"/>
      <c r="G22" s="1085"/>
      <c r="H22" s="1085"/>
      <c r="I22" s="1085"/>
      <c r="J22" s="1085"/>
      <c r="K22" s="1085"/>
      <c r="L22" s="1085"/>
      <c r="M22" s="1085"/>
      <c r="N22" s="1085"/>
      <c r="O22" s="1085"/>
      <c r="P22" s="1085"/>
      <c r="Q22" s="1086"/>
      <c r="R22" s="816" t="s">
        <v>2743</v>
      </c>
      <c r="S22" s="816"/>
    </row>
    <row r="23" spans="1:19" ht="24.6" customHeight="1">
      <c r="A23" s="1084" t="s">
        <v>2738</v>
      </c>
      <c r="B23" s="1085"/>
      <c r="C23" s="1085"/>
      <c r="D23" s="1085"/>
      <c r="E23" s="1085"/>
      <c r="F23" s="1085"/>
      <c r="G23" s="1085"/>
      <c r="H23" s="1085"/>
      <c r="I23" s="1085"/>
      <c r="J23" s="1085"/>
      <c r="K23" s="1085"/>
      <c r="L23" s="1085"/>
      <c r="M23" s="1085"/>
      <c r="N23" s="1085"/>
      <c r="O23" s="1085"/>
      <c r="P23" s="1085"/>
      <c r="Q23" s="1086"/>
      <c r="R23" s="816"/>
      <c r="S23" s="816"/>
    </row>
    <row r="24" spans="1:19" ht="24.6" customHeight="1">
      <c r="A24" s="1084" t="s">
        <v>2739</v>
      </c>
      <c r="B24" s="1085"/>
      <c r="C24" s="1085"/>
      <c r="D24" s="1085"/>
      <c r="E24" s="1085"/>
      <c r="F24" s="1085"/>
      <c r="G24" s="1085"/>
      <c r="H24" s="1085"/>
      <c r="I24" s="1085"/>
      <c r="J24" s="1085"/>
      <c r="K24" s="1085"/>
      <c r="L24" s="1085"/>
      <c r="M24" s="1085"/>
      <c r="N24" s="1085"/>
      <c r="O24" s="1085"/>
      <c r="P24" s="1085"/>
      <c r="Q24" s="1086"/>
      <c r="R24" s="816"/>
      <c r="S24" s="816"/>
    </row>
    <row r="25" spans="1:19" ht="24.6" customHeight="1">
      <c r="A25" s="1084" t="s">
        <v>2740</v>
      </c>
      <c r="B25" s="1085"/>
      <c r="C25" s="1085"/>
      <c r="D25" s="1085"/>
      <c r="E25" s="1085"/>
      <c r="F25" s="1085"/>
      <c r="G25" s="1085"/>
      <c r="H25" s="1085"/>
      <c r="I25" s="1085"/>
      <c r="J25" s="1085"/>
      <c r="K25" s="1085"/>
      <c r="L25" s="1085"/>
      <c r="M25" s="1085"/>
      <c r="N25" s="1085"/>
      <c r="O25" s="1085"/>
      <c r="P25" s="1085"/>
      <c r="Q25" s="1086"/>
      <c r="R25" s="816"/>
      <c r="S25" s="816"/>
    </row>
    <row r="26" spans="1:19" ht="24.6" customHeight="1">
      <c r="A26" s="1084" t="s">
        <v>2741</v>
      </c>
      <c r="B26" s="1085"/>
      <c r="C26" s="1085"/>
      <c r="D26" s="1085"/>
      <c r="E26" s="1085"/>
      <c r="F26" s="1085"/>
      <c r="G26" s="1085"/>
      <c r="H26" s="1085"/>
      <c r="I26" s="1085"/>
      <c r="J26" s="1085"/>
      <c r="K26" s="1085"/>
      <c r="L26" s="1085"/>
      <c r="M26" s="1085"/>
      <c r="N26" s="1085"/>
      <c r="O26" s="1085"/>
      <c r="P26" s="1085"/>
      <c r="Q26" s="1086"/>
      <c r="R26" s="777"/>
      <c r="S26" s="777"/>
    </row>
    <row r="27" spans="1:19" ht="24.6" customHeight="1">
      <c r="A27" s="1087" t="s">
        <v>2742</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3486</v>
      </c>
      <c r="C29" s="161"/>
      <c r="D29" s="104"/>
      <c r="E29" s="104"/>
      <c r="F29" s="104"/>
      <c r="G29" s="104"/>
      <c r="I29" s="162"/>
      <c r="J29" s="162"/>
      <c r="K29" s="162"/>
      <c r="L29" s="801"/>
      <c r="M29" s="801"/>
      <c r="O29" s="163" t="s">
        <v>2572</v>
      </c>
      <c r="P29" s="1050"/>
      <c r="Q29" s="1053"/>
    </row>
    <row r="30" spans="1:19" ht="3" customHeight="1"/>
    <row r="31" spans="1:19" ht="12" customHeight="1">
      <c r="B31" s="174" t="s">
        <v>2694</v>
      </c>
      <c r="C31" s="61" t="s">
        <v>3929</v>
      </c>
      <c r="E31" s="38"/>
      <c r="F31" s="38"/>
      <c r="G31" s="38"/>
      <c r="H31" s="38"/>
      <c r="I31" s="49"/>
      <c r="J31" s="40"/>
      <c r="K31" s="49"/>
      <c r="L31" s="40"/>
      <c r="M31" s="40"/>
      <c r="O31" s="78" t="s">
        <v>773</v>
      </c>
      <c r="P31" s="1593" t="s">
        <v>4103</v>
      </c>
      <c r="Q31" s="210"/>
    </row>
    <row r="32" spans="1:19" ht="12" customHeight="1">
      <c r="B32" s="54" t="s">
        <v>2697</v>
      </c>
      <c r="C32" s="61" t="s">
        <v>907</v>
      </c>
      <c r="E32" s="38"/>
      <c r="F32" s="38"/>
      <c r="G32" s="38"/>
      <c r="H32" s="38"/>
      <c r="J32" s="1594" t="s">
        <v>2875</v>
      </c>
      <c r="K32" s="1595"/>
      <c r="L32" s="1595"/>
      <c r="M32" s="1595"/>
      <c r="N32" s="1596"/>
      <c r="O32" s="78"/>
      <c r="P32" s="78"/>
      <c r="Q32" s="78"/>
    </row>
    <row r="33" spans="1:31" ht="11.25" customHeight="1">
      <c r="B33" s="79" t="s">
        <v>2570</v>
      </c>
      <c r="C33" s="79"/>
      <c r="D33" s="79"/>
      <c r="E33" s="79"/>
      <c r="F33" s="79"/>
      <c r="G33" s="162"/>
      <c r="H33" s="162"/>
      <c r="I33" s="162"/>
      <c r="J33" s="162"/>
      <c r="K33" s="801"/>
      <c r="L33" s="801"/>
      <c r="M33" s="801"/>
      <c r="N33" s="801"/>
      <c r="O33" s="801"/>
      <c r="P33" s="59"/>
      <c r="S33" s="195"/>
      <c r="T33" s="195"/>
    </row>
    <row r="34" spans="1:31" ht="12" customHeight="1">
      <c r="A34" s="1597" t="s">
        <v>4156</v>
      </c>
      <c r="B34" s="1598"/>
      <c r="C34" s="1598"/>
      <c r="D34" s="1598"/>
      <c r="E34" s="1598"/>
      <c r="F34" s="1598"/>
      <c r="G34" s="1598"/>
      <c r="H34" s="1598"/>
      <c r="I34" s="1598"/>
      <c r="J34" s="1598"/>
      <c r="K34" s="1598"/>
      <c r="L34" s="1598"/>
      <c r="M34" s="1598"/>
      <c r="N34" s="1598"/>
      <c r="O34" s="1598"/>
      <c r="P34" s="1598"/>
      <c r="Q34" s="1599"/>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081"/>
      <c r="B36" s="1082"/>
      <c r="C36" s="1082"/>
      <c r="D36" s="1082"/>
      <c r="E36" s="1082"/>
      <c r="F36" s="1082"/>
      <c r="G36" s="1082"/>
      <c r="H36" s="1082"/>
      <c r="I36" s="1082"/>
      <c r="J36" s="1082"/>
      <c r="K36" s="1082"/>
      <c r="L36" s="1082"/>
      <c r="M36" s="1082"/>
      <c r="N36" s="1082"/>
      <c r="O36" s="1082"/>
      <c r="P36" s="1082"/>
      <c r="Q36" s="1083"/>
      <c r="R36" s="614" t="s">
        <v>1677</v>
      </c>
      <c r="S36" s="615"/>
    </row>
    <row r="37" spans="1:31" ht="12" customHeight="1">
      <c r="A37" s="1094"/>
      <c r="B37" s="1095"/>
      <c r="C37" s="1095"/>
      <c r="D37" s="1095"/>
      <c r="E37" s="1095"/>
      <c r="F37" s="1095"/>
      <c r="G37" s="1095"/>
      <c r="H37" s="1095"/>
      <c r="I37" s="1095"/>
      <c r="J37" s="1095"/>
      <c r="K37" s="1095"/>
      <c r="L37" s="1095"/>
      <c r="M37" s="1095"/>
      <c r="N37" s="1095"/>
      <c r="O37" s="1095"/>
      <c r="P37" s="1095"/>
      <c r="Q37" s="1096"/>
    </row>
    <row r="38" spans="1:31" ht="12" customHeight="1">
      <c r="A38" s="1094"/>
      <c r="B38" s="1095"/>
      <c r="C38" s="1095"/>
      <c r="D38" s="1095"/>
      <c r="E38" s="1095"/>
      <c r="F38" s="1095"/>
      <c r="G38" s="1095"/>
      <c r="H38" s="1095"/>
      <c r="I38" s="1095"/>
      <c r="J38" s="1095"/>
      <c r="K38" s="1095"/>
      <c r="L38" s="1095"/>
      <c r="M38" s="1095"/>
      <c r="N38" s="1095"/>
      <c r="O38" s="1095"/>
      <c r="P38" s="1095"/>
      <c r="Q38" s="1096"/>
    </row>
    <row r="39" spans="1:31" ht="12" customHeight="1">
      <c r="A39" s="1078"/>
      <c r="B39" s="1079"/>
      <c r="C39" s="1079"/>
      <c r="D39" s="1079"/>
      <c r="E39" s="1079"/>
      <c r="F39" s="1079"/>
      <c r="G39" s="1079"/>
      <c r="H39" s="1079"/>
      <c r="I39" s="1079"/>
      <c r="J39" s="1079"/>
      <c r="K39" s="1079"/>
      <c r="L39" s="1079"/>
      <c r="M39" s="1079"/>
      <c r="N39" s="1079"/>
      <c r="O39" s="1079"/>
      <c r="P39" s="1079"/>
      <c r="Q39" s="1080"/>
    </row>
    <row r="40" spans="1:31" ht="3" customHeight="1">
      <c r="B40" s="162"/>
      <c r="C40" s="808"/>
      <c r="D40" s="808"/>
      <c r="E40" s="808"/>
      <c r="F40" s="808"/>
      <c r="G40" s="808"/>
      <c r="H40" s="808"/>
      <c r="I40" s="808"/>
      <c r="J40" s="808"/>
      <c r="K40" s="808"/>
      <c r="L40" s="808"/>
      <c r="M40" s="808"/>
      <c r="N40" s="808"/>
      <c r="O40" s="808"/>
      <c r="P40" s="808"/>
      <c r="Q40" s="801"/>
    </row>
    <row r="41" spans="1:31" ht="13.9" customHeight="1">
      <c r="A41" s="810">
        <v>2</v>
      </c>
      <c r="B41" s="5" t="s">
        <v>3642</v>
      </c>
      <c r="C41" s="5"/>
      <c r="D41" s="5"/>
      <c r="E41" s="808"/>
      <c r="F41" s="808"/>
      <c r="G41" s="808"/>
      <c r="H41" s="808"/>
      <c r="K41" s="808"/>
      <c r="L41" s="808"/>
      <c r="M41" s="808"/>
      <c r="O41" s="163" t="s">
        <v>2572</v>
      </c>
      <c r="P41" s="1050"/>
      <c r="Q41" s="1053"/>
    </row>
    <row r="42" spans="1:31" ht="3" customHeight="1">
      <c r="K42" s="808"/>
      <c r="L42" s="808"/>
    </row>
    <row r="43" spans="1:31" ht="12.75" customHeight="1">
      <c r="A43" s="1040" t="s">
        <v>3927</v>
      </c>
      <c r="B43" s="1040"/>
      <c r="C43" s="1040"/>
      <c r="D43" s="1040"/>
      <c r="E43" s="1040"/>
      <c r="F43" s="1600" t="s">
        <v>3649</v>
      </c>
      <c r="G43" s="1601"/>
      <c r="H43" s="1601"/>
      <c r="I43" s="1602"/>
      <c r="K43" s="1600" t="s">
        <v>3651</v>
      </c>
      <c r="L43" s="1601"/>
      <c r="M43" s="1601"/>
      <c r="N43" s="1602"/>
      <c r="P43" s="719" t="s">
        <v>3750</v>
      </c>
    </row>
    <row r="44" spans="1:31" ht="12.75" customHeight="1">
      <c r="A44" s="1040"/>
      <c r="B44" s="1040"/>
      <c r="C44" s="1040"/>
      <c r="D44" s="1040"/>
      <c r="E44" s="1040"/>
      <c r="F44" s="1603" t="s">
        <v>3650</v>
      </c>
      <c r="G44" s="1604"/>
      <c r="H44" s="1604"/>
      <c r="I44" s="1605"/>
      <c r="K44" s="1603" t="s">
        <v>3652</v>
      </c>
      <c r="L44" s="1604"/>
      <c r="M44" s="1604"/>
      <c r="N44" s="1605"/>
      <c r="P44" s="1593" t="s">
        <v>4104</v>
      </c>
    </row>
    <row r="45" spans="1:31" ht="10.5" customHeight="1">
      <c r="A45" s="1040"/>
      <c r="B45" s="1040"/>
      <c r="C45" s="1040"/>
      <c r="D45" s="1040"/>
      <c r="E45" s="1040"/>
      <c r="F45" s="1101" t="s">
        <v>3646</v>
      </c>
      <c r="G45" s="1102"/>
      <c r="H45" s="1102"/>
      <c r="I45" s="1103"/>
      <c r="K45" s="1606" t="s">
        <v>3648</v>
      </c>
      <c r="L45" s="1607"/>
      <c r="M45" s="1607"/>
      <c r="N45" s="1608"/>
      <c r="P45" s="1099" t="s">
        <v>3656</v>
      </c>
      <c r="Q45" s="1099"/>
    </row>
    <row r="46" spans="1:31" ht="22.5" customHeight="1">
      <c r="A46" s="1040"/>
      <c r="B46" s="1040"/>
      <c r="C46" s="1040"/>
      <c r="D46" s="1040"/>
      <c r="E46" s="1040"/>
      <c r="F46" s="1609" t="s">
        <v>3666</v>
      </c>
      <c r="G46" s="172"/>
      <c r="I46" s="1092" t="s">
        <v>3665</v>
      </c>
      <c r="K46" s="1609" t="s">
        <v>3666</v>
      </c>
      <c r="M46" s="808"/>
      <c r="N46" s="1092" t="s">
        <v>3665</v>
      </c>
      <c r="O46" s="808"/>
      <c r="P46" s="1099"/>
      <c r="Q46" s="1099"/>
    </row>
    <row r="47" spans="1:31" ht="12.75" customHeight="1">
      <c r="A47" s="171"/>
      <c r="D47" s="1610" t="s">
        <v>3645</v>
      </c>
      <c r="F47" s="1611"/>
      <c r="G47" s="1612" t="s">
        <v>3647</v>
      </c>
      <c r="I47" s="1093"/>
      <c r="K47" s="1611"/>
      <c r="L47" s="1612" t="s">
        <v>3647</v>
      </c>
      <c r="N47" s="1093"/>
      <c r="O47" s="808"/>
      <c r="P47" s="1100"/>
      <c r="Q47" s="1100"/>
    </row>
    <row r="48" spans="1:31" ht="11.45" customHeight="1">
      <c r="A48" s="171"/>
      <c r="D48" s="1613" t="s">
        <v>736</v>
      </c>
      <c r="F48" s="536">
        <f>'Part VI-Revenues &amp; Expenses'!H62-'Part VI-Revenues &amp; Expenses'!H82</f>
        <v>0</v>
      </c>
      <c r="G48" s="1614">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4">
        <f>'DCA Underwriting Assumptions'!$J$12</f>
        <v>121529</v>
      </c>
      <c r="M48" s="575" t="str">
        <f>CONCATENATE("x ", K48," units = ")</f>
        <v xml:space="preserve">x 0 units = </v>
      </c>
      <c r="N48" s="678">
        <f>K48*L48</f>
        <v>0</v>
      </c>
      <c r="O48" s="808"/>
      <c r="P48" s="1097">
        <f>IF(AND('Part I-Project Information'!I159="Yes",'Part I-Project Information'!O159&gt;1),'Part I-Project Information'!O159, IF(AND('Part IV-Uses of Funds'!$T$162="Yes",'Part IX A-Scoring Criteria'!$O$240&gt;0),I53+N53,I53))</f>
        <v>12967968</v>
      </c>
      <c r="Q48" s="1098"/>
    </row>
    <row r="49" spans="1:31" ht="11.45" customHeight="1">
      <c r="A49" s="171"/>
      <c r="D49" s="1613" t="s">
        <v>3643</v>
      </c>
      <c r="F49" s="536">
        <f>'Part VI-Revenues &amp; Expenses'!I62-'Part VI-Revenues &amp; Expenses'!I82</f>
        <v>16</v>
      </c>
      <c r="G49" s="1614">
        <f>'DCA Underwriting Assumptions'!$K$11</f>
        <v>126647</v>
      </c>
      <c r="H49" s="575" t="str">
        <f>CONCATENATE("x ", F49," units = ")</f>
        <v xml:space="preserve">x 16 units = </v>
      </c>
      <c r="I49" s="678">
        <f>F49*G49</f>
        <v>2026352</v>
      </c>
      <c r="K49" s="536">
        <f>IF(AND('Part IV-Uses of Funds'!$T$162 = "Yes", 'Part IX A-Scoring Criteria'!$O$240 &gt; 0),'Part VI-Revenues &amp; Expenses'!I$82,0)</f>
        <v>0</v>
      </c>
      <c r="L49" s="1614">
        <f>'DCA Underwriting Assumptions'!$K$12</f>
        <v>139312</v>
      </c>
      <c r="M49" s="575" t="str">
        <f>CONCATENATE("x ", K49," units = ")</f>
        <v xml:space="preserve">x 0 units = </v>
      </c>
      <c r="N49" s="678">
        <f>K49*L49</f>
        <v>0</v>
      </c>
      <c r="O49" s="808"/>
      <c r="P49" s="1045" t="s">
        <v>3733</v>
      </c>
      <c r="Q49" s="1045"/>
    </row>
    <row r="50" spans="1:31" ht="11.45" customHeight="1">
      <c r="A50" s="171"/>
      <c r="D50" s="1613" t="s">
        <v>3644</v>
      </c>
      <c r="F50" s="536">
        <f>'Part VI-Revenues &amp; Expenses'!J62-'Part VI-Revenues &amp; Expenses'!J82</f>
        <v>40</v>
      </c>
      <c r="G50" s="1614">
        <f>'DCA Underwriting Assumptions'!$L$11</f>
        <v>154003</v>
      </c>
      <c r="H50" s="575" t="str">
        <f>CONCATENATE("x ", F50," units = ")</f>
        <v xml:space="preserve">x 40 units = </v>
      </c>
      <c r="I50" s="678">
        <f>F50*G50</f>
        <v>6160120</v>
      </c>
      <c r="K50" s="536">
        <f>IF(AND('Part IV-Uses of Funds'!$T$162 = "Yes", 'Part IX A-Scoring Criteria'!$O$240 &gt; 0),'Part VI-Revenues &amp; Expenses'!J$82,0)</f>
        <v>0</v>
      </c>
      <c r="L50" s="1614">
        <f>'DCA Underwriting Assumptions'!$L$12</f>
        <v>169403</v>
      </c>
      <c r="M50" s="575" t="str">
        <f>CONCATENATE("x ", K50," units = ")</f>
        <v xml:space="preserve">x 0 units = </v>
      </c>
      <c r="N50" s="678">
        <f>K50*L50</f>
        <v>0</v>
      </c>
      <c r="O50" s="808"/>
      <c r="P50" s="1046"/>
      <c r="Q50" s="1046"/>
    </row>
    <row r="51" spans="1:31" ht="11.45" customHeight="1">
      <c r="A51" s="171"/>
      <c r="D51" s="1613" t="s">
        <v>3653</v>
      </c>
      <c r="F51" s="536">
        <f>'Part VI-Revenues &amp; Expenses'!K62-'Part VI-Revenues &amp; Expenses'!K82</f>
        <v>24</v>
      </c>
      <c r="G51" s="1614">
        <f>'DCA Underwriting Assumptions'!$M$11</f>
        <v>199229</v>
      </c>
      <c r="H51" s="575" t="str">
        <f>CONCATENATE("x ", F51," units = ")</f>
        <v xml:space="preserve">x 24 units = </v>
      </c>
      <c r="I51" s="678">
        <f>F51*G51</f>
        <v>4781496</v>
      </c>
      <c r="K51" s="536">
        <f>IF(AND('Part IV-Uses of Funds'!$T$162 = "Yes", 'Part IX A-Scoring Criteria'!$O$240 &gt; 0),'Part VI-Revenues &amp; Expenses'!K$82,0)</f>
        <v>0</v>
      </c>
      <c r="L51" s="1614">
        <f>'DCA Underwriting Assumptions'!$M$12</f>
        <v>219152</v>
      </c>
      <c r="M51" s="575" t="str">
        <f>CONCATENATE("x ", K51," units = ")</f>
        <v xml:space="preserve">x 0 units = </v>
      </c>
      <c r="N51" s="678">
        <f>K51*L51</f>
        <v>0</v>
      </c>
      <c r="O51" s="808"/>
      <c r="P51" s="1046"/>
      <c r="Q51" s="1046"/>
    </row>
    <row r="52" spans="1:31" ht="11.45" customHeight="1">
      <c r="A52" s="171"/>
      <c r="D52" s="1615" t="s">
        <v>3654</v>
      </c>
      <c r="F52" s="536">
        <f>'Part VI-Revenues &amp; Expenses'!L62-'Part VI-Revenues &amp; Expenses'!L82</f>
        <v>0</v>
      </c>
      <c r="G52" s="1614">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4">
        <f>'DCA Underwriting Assumptions'!$N$12</f>
        <v>219152</v>
      </c>
      <c r="M52" s="575" t="str">
        <f>CONCATENATE("x ", K52," units = ")</f>
        <v xml:space="preserve">x 0 units = </v>
      </c>
      <c r="N52" s="678">
        <f>K52*L52</f>
        <v>0</v>
      </c>
      <c r="O52" s="808"/>
      <c r="P52" s="1046"/>
      <c r="Q52" s="1046"/>
    </row>
    <row r="53" spans="1:31" ht="11.45" customHeight="1">
      <c r="A53" s="171"/>
      <c r="C53" s="172"/>
      <c r="D53" s="676" t="s">
        <v>3655</v>
      </c>
      <c r="F53" s="675">
        <f>SUM(F48:F52)</f>
        <v>80</v>
      </c>
      <c r="G53" s="1616"/>
      <c r="H53" s="536"/>
      <c r="I53" s="677">
        <f>SUM(I48:I52)</f>
        <v>12967968</v>
      </c>
      <c r="K53" s="675">
        <f>SUM(K48:K52)</f>
        <v>0</v>
      </c>
      <c r="M53" s="536"/>
      <c r="N53" s="677">
        <f>SUM(N48:N52)</f>
        <v>0</v>
      </c>
      <c r="O53" s="808"/>
      <c r="P53" s="1046"/>
      <c r="Q53" s="1046"/>
    </row>
    <row r="54" spans="1:31" ht="3.75" customHeight="1">
      <c r="A54" s="171"/>
      <c r="C54" s="172"/>
      <c r="E54" s="64"/>
      <c r="F54" s="1616"/>
      <c r="G54" s="64"/>
      <c r="I54" s="64"/>
      <c r="J54" s="64"/>
      <c r="K54" s="808"/>
      <c r="L54" s="1617"/>
      <c r="M54" s="808"/>
      <c r="N54" s="808"/>
      <c r="O54" s="808"/>
      <c r="P54" s="808"/>
      <c r="Q54" s="808"/>
    </row>
    <row r="55" spans="1:31" ht="11.25" customHeight="1">
      <c r="B55" s="116" t="s">
        <v>2570</v>
      </c>
      <c r="D55" s="116"/>
      <c r="E55" s="116"/>
      <c r="F55" s="116"/>
      <c r="G55" s="116"/>
      <c r="H55" s="812"/>
      <c r="I55" s="162"/>
      <c r="J55" s="162"/>
      <c r="K55" s="169" t="s">
        <v>2571</v>
      </c>
      <c r="L55" s="801"/>
      <c r="M55" s="801"/>
      <c r="N55" s="801"/>
      <c r="O55" s="801"/>
      <c r="P55" s="801"/>
      <c r="Q55" s="59"/>
    </row>
    <row r="56" spans="1:31" ht="11.45" customHeight="1">
      <c r="A56" s="1597" t="s">
        <v>4181</v>
      </c>
      <c r="B56" s="1598"/>
      <c r="C56" s="1598"/>
      <c r="D56" s="1598"/>
      <c r="E56" s="1598"/>
      <c r="F56" s="1598"/>
      <c r="G56" s="1598"/>
      <c r="H56" s="1598"/>
      <c r="I56" s="1598"/>
      <c r="J56" s="1599"/>
      <c r="K56" s="1047"/>
      <c r="L56" s="1048"/>
      <c r="M56" s="1048"/>
      <c r="N56" s="1048"/>
      <c r="O56" s="1048"/>
      <c r="P56" s="1048"/>
      <c r="Q56" s="1049"/>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1"/>
    </row>
    <row r="58" spans="1:31" ht="13.9" customHeight="1">
      <c r="A58" s="810">
        <v>3</v>
      </c>
      <c r="B58" s="5" t="s">
        <v>1606</v>
      </c>
      <c r="C58" s="5"/>
      <c r="D58" s="5"/>
      <c r="E58" s="808"/>
      <c r="F58" s="808"/>
      <c r="G58" s="808"/>
      <c r="H58" s="808"/>
      <c r="M58" s="808"/>
      <c r="O58" s="163" t="s">
        <v>2572</v>
      </c>
      <c r="P58" s="1050"/>
      <c r="Q58" s="1053"/>
    </row>
    <row r="59" spans="1:31" ht="3" customHeight="1"/>
    <row r="60" spans="1:31" ht="11.45" customHeight="1">
      <c r="A60" s="171"/>
      <c r="C60" s="172" t="s">
        <v>105</v>
      </c>
      <c r="D60" s="172"/>
      <c r="E60" s="172"/>
      <c r="F60" s="172"/>
      <c r="G60" s="172"/>
      <c r="H60" s="172"/>
      <c r="K60" s="1618" t="str">
        <f>'Part I-Project Information'!$H$65</f>
        <v>Family</v>
      </c>
      <c r="L60" s="1619"/>
      <c r="M60" s="1620"/>
      <c r="N60" s="808"/>
    </row>
    <row r="61" spans="1:31" ht="11.25" customHeight="1">
      <c r="B61" s="116" t="s">
        <v>2570</v>
      </c>
      <c r="D61" s="116"/>
      <c r="E61" s="116"/>
      <c r="F61" s="116"/>
      <c r="G61" s="116"/>
      <c r="H61" s="812"/>
      <c r="I61" s="162"/>
      <c r="J61" s="162"/>
      <c r="K61" s="169" t="s">
        <v>2571</v>
      </c>
      <c r="L61" s="801"/>
      <c r="M61" s="801"/>
      <c r="N61" s="801"/>
      <c r="O61" s="801"/>
      <c r="P61" s="801"/>
      <c r="Q61" s="59"/>
    </row>
    <row r="62" spans="1:31" ht="11.45" customHeight="1">
      <c r="A62" s="1597" t="s">
        <v>4157</v>
      </c>
      <c r="B62" s="1598"/>
      <c r="C62" s="1598"/>
      <c r="D62" s="1598"/>
      <c r="E62" s="1598"/>
      <c r="F62" s="1598"/>
      <c r="G62" s="1598"/>
      <c r="H62" s="1598"/>
      <c r="I62" s="1598"/>
      <c r="J62" s="1599"/>
      <c r="K62" s="1047"/>
      <c r="L62" s="1048"/>
      <c r="M62" s="1048"/>
      <c r="N62" s="1048"/>
      <c r="O62" s="1048"/>
      <c r="P62" s="1048"/>
      <c r="Q62" s="1049"/>
      <c r="U62" s="168"/>
      <c r="V62" s="168"/>
      <c r="W62" s="168"/>
      <c r="X62" s="168"/>
      <c r="Y62" s="168"/>
      <c r="Z62" s="168"/>
      <c r="AA62" s="168"/>
      <c r="AB62" s="168"/>
      <c r="AC62" s="168"/>
      <c r="AD62" s="168"/>
      <c r="AE62" s="656"/>
    </row>
    <row r="63" spans="1:31" ht="3" customHeight="1">
      <c r="A63" s="801"/>
      <c r="B63" s="162"/>
      <c r="C63" s="808"/>
      <c r="D63" s="808"/>
      <c r="E63" s="808"/>
      <c r="F63" s="808"/>
      <c r="G63" s="808"/>
      <c r="H63" s="808"/>
      <c r="I63" s="808"/>
      <c r="J63" s="808"/>
      <c r="K63" s="808"/>
      <c r="L63" s="808"/>
      <c r="M63" s="808"/>
      <c r="N63" s="808"/>
      <c r="O63" s="808"/>
      <c r="P63" s="808"/>
      <c r="Q63" s="801"/>
    </row>
    <row r="64" spans="1:31" ht="13.9" customHeight="1">
      <c r="A64" s="810">
        <v>4</v>
      </c>
      <c r="B64" s="810" t="s">
        <v>3487</v>
      </c>
      <c r="C64" s="136"/>
      <c r="D64" s="808"/>
      <c r="E64" s="808"/>
      <c r="F64" s="808"/>
      <c r="G64" s="808"/>
      <c r="H64" s="808"/>
      <c r="I64" s="808"/>
      <c r="J64" s="808"/>
      <c r="K64" s="808"/>
      <c r="L64" s="808"/>
      <c r="M64" s="808"/>
      <c r="O64" s="163" t="s">
        <v>2572</v>
      </c>
      <c r="P64" s="1050"/>
      <c r="Q64" s="1053"/>
    </row>
    <row r="65" spans="1:31" ht="3" customHeight="1"/>
    <row r="66" spans="1:31" ht="12.6" customHeight="1">
      <c r="B66" s="174" t="s">
        <v>2694</v>
      </c>
      <c r="C66" s="1090" t="s">
        <v>336</v>
      </c>
      <c r="D66" s="1091"/>
      <c r="E66" s="1091"/>
      <c r="F66" s="1091"/>
      <c r="G66" s="1091"/>
      <c r="H66" s="1091"/>
      <c r="I66" s="1091"/>
      <c r="J66" s="1091"/>
      <c r="K66" s="1091"/>
      <c r="L66" s="1091"/>
      <c r="M66" s="1091"/>
      <c r="O66" s="175"/>
      <c r="P66" s="1593" t="s">
        <v>4139</v>
      </c>
    </row>
    <row r="67" spans="1:31" ht="12" customHeight="1">
      <c r="B67" s="54" t="s">
        <v>2697</v>
      </c>
      <c r="C67" s="38" t="s">
        <v>3667</v>
      </c>
      <c r="D67" s="38"/>
      <c r="E67" s="38"/>
      <c r="F67" s="38"/>
      <c r="G67" s="38"/>
      <c r="H67" s="38"/>
      <c r="I67" s="38"/>
      <c r="J67" s="38"/>
      <c r="K67" s="38"/>
      <c r="L67" s="38"/>
      <c r="M67" s="38"/>
      <c r="O67" s="38"/>
      <c r="P67" s="38"/>
      <c r="Q67" s="38"/>
    </row>
    <row r="68" spans="1:31" ht="10.9" customHeight="1">
      <c r="A68" s="176"/>
      <c r="B68" s="49"/>
      <c r="C68" s="78" t="s">
        <v>2430</v>
      </c>
      <c r="D68" s="38" t="s">
        <v>747</v>
      </c>
      <c r="E68" s="806"/>
      <c r="F68" s="806"/>
      <c r="G68" s="806"/>
      <c r="H68" s="40"/>
      <c r="I68" s="49"/>
      <c r="J68" s="44" t="s">
        <v>3622</v>
      </c>
      <c r="K68" s="1621" t="s">
        <v>4140</v>
      </c>
      <c r="L68" s="1622"/>
      <c r="M68" s="1622"/>
      <c r="N68" s="1622"/>
      <c r="O68" s="1622"/>
      <c r="P68" s="1623"/>
      <c r="Q68" s="38"/>
    </row>
    <row r="69" spans="1:31" ht="10.9" customHeight="1">
      <c r="A69" s="176"/>
      <c r="B69" s="49"/>
      <c r="C69" s="78" t="s">
        <v>2431</v>
      </c>
      <c r="D69" s="38" t="s">
        <v>2507</v>
      </c>
      <c r="E69" s="806"/>
      <c r="F69" s="806"/>
      <c r="G69" s="806"/>
      <c r="H69" s="40"/>
      <c r="I69" s="49"/>
      <c r="J69" s="44" t="s">
        <v>3622</v>
      </c>
      <c r="K69" s="1624"/>
      <c r="L69" s="1625"/>
      <c r="M69" s="1625"/>
      <c r="N69" s="1625"/>
      <c r="O69" s="1625"/>
      <c r="P69" s="1626"/>
      <c r="Q69" s="38"/>
    </row>
    <row r="70" spans="1:31" ht="10.9" customHeight="1">
      <c r="A70" s="176"/>
      <c r="B70" s="49"/>
      <c r="C70" s="78" t="s">
        <v>2432</v>
      </c>
      <c r="D70" s="38" t="s">
        <v>337</v>
      </c>
      <c r="E70" s="806"/>
      <c r="J70" s="44" t="s">
        <v>3622</v>
      </c>
      <c r="K70" s="1627"/>
      <c r="L70" s="1628"/>
      <c r="M70" s="1628"/>
      <c r="N70" s="1628"/>
      <c r="O70" s="1628"/>
      <c r="P70" s="1629"/>
      <c r="Q70" s="38"/>
    </row>
    <row r="71" spans="1:31" ht="11.25" customHeight="1">
      <c r="B71" s="116" t="s">
        <v>2570</v>
      </c>
      <c r="D71" s="116"/>
      <c r="E71" s="116"/>
      <c r="F71" s="116"/>
      <c r="G71" s="116"/>
      <c r="H71" s="812"/>
      <c r="I71" s="162"/>
      <c r="J71" s="162"/>
      <c r="K71" s="162"/>
      <c r="L71" s="801"/>
      <c r="M71" s="801"/>
      <c r="N71" s="801"/>
      <c r="O71" s="801"/>
      <c r="P71" s="801"/>
      <c r="Q71" s="59"/>
    </row>
    <row r="72" spans="1:31" ht="12" customHeight="1">
      <c r="A72" s="1597" t="s">
        <v>4158</v>
      </c>
      <c r="B72" s="1598"/>
      <c r="C72" s="1598"/>
      <c r="D72" s="1598"/>
      <c r="E72" s="1598"/>
      <c r="F72" s="1598"/>
      <c r="G72" s="1598"/>
      <c r="H72" s="1598"/>
      <c r="I72" s="1598"/>
      <c r="J72" s="1598"/>
      <c r="K72" s="1598"/>
      <c r="L72" s="1598"/>
      <c r="M72" s="1598"/>
      <c r="N72" s="1598"/>
      <c r="O72" s="1598"/>
      <c r="P72" s="1598"/>
      <c r="Q72" s="1599"/>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047"/>
      <c r="B74" s="1048"/>
      <c r="C74" s="1048"/>
      <c r="D74" s="1048"/>
      <c r="E74" s="1048"/>
      <c r="F74" s="1048"/>
      <c r="G74" s="1048"/>
      <c r="H74" s="1048"/>
      <c r="I74" s="1048"/>
      <c r="J74" s="1048"/>
      <c r="K74" s="1048"/>
      <c r="L74" s="1048"/>
      <c r="M74" s="1048"/>
      <c r="N74" s="1048"/>
      <c r="O74" s="1048"/>
      <c r="P74" s="1048"/>
      <c r="Q74" s="1049"/>
    </row>
    <row r="75" spans="1:31" ht="4.9000000000000004" customHeight="1">
      <c r="A75" s="801"/>
      <c r="B75" s="162"/>
      <c r="C75" s="808"/>
      <c r="D75" s="808"/>
      <c r="E75" s="808"/>
      <c r="F75" s="808"/>
      <c r="G75" s="808"/>
      <c r="H75" s="808"/>
      <c r="I75" s="808"/>
      <c r="J75" s="808"/>
      <c r="K75" s="808"/>
      <c r="L75" s="808"/>
      <c r="M75" s="808"/>
      <c r="N75" s="808"/>
      <c r="O75" s="808"/>
      <c r="P75" s="808"/>
      <c r="Q75" s="801"/>
    </row>
    <row r="76" spans="1:31" ht="13.9" customHeight="1">
      <c r="A76" s="810">
        <v>5</v>
      </c>
      <c r="B76" s="810" t="s">
        <v>3488</v>
      </c>
      <c r="C76" s="810"/>
      <c r="D76" s="808"/>
      <c r="E76" s="808"/>
      <c r="F76" s="808"/>
      <c r="G76" s="808"/>
      <c r="H76" s="808"/>
      <c r="I76" s="808"/>
      <c r="J76" s="808"/>
      <c r="K76" s="808"/>
      <c r="O76" s="163" t="s">
        <v>2572</v>
      </c>
      <c r="P76" s="1050"/>
      <c r="Q76" s="1053"/>
    </row>
    <row r="77" spans="1:31" ht="3" customHeight="1"/>
    <row r="78" spans="1:31" ht="12" customHeight="1">
      <c r="B78" s="54" t="s">
        <v>2694</v>
      </c>
      <c r="C78" s="177" t="s">
        <v>3239</v>
      </c>
      <c r="D78" s="165"/>
      <c r="E78" s="165"/>
      <c r="F78" s="165"/>
      <c r="G78" s="165"/>
      <c r="H78" s="165"/>
      <c r="I78" s="49"/>
      <c r="J78" s="49"/>
      <c r="K78" s="49"/>
      <c r="L78" s="654" t="s">
        <v>2694</v>
      </c>
      <c r="M78" s="1621" t="s">
        <v>4141</v>
      </c>
      <c r="N78" s="1622"/>
      <c r="O78" s="1622"/>
      <c r="P78" s="1630"/>
      <c r="Q78" s="210"/>
    </row>
    <row r="79" spans="1:31" ht="12" customHeight="1">
      <c r="B79" s="54" t="s">
        <v>2697</v>
      </c>
      <c r="C79" s="61" t="s">
        <v>2749</v>
      </c>
      <c r="D79" s="165"/>
      <c r="E79" s="165"/>
      <c r="F79" s="165"/>
      <c r="L79" s="654" t="s">
        <v>2697</v>
      </c>
      <c r="M79" s="1624" t="s">
        <v>4183</v>
      </c>
      <c r="N79" s="1625"/>
      <c r="O79" s="1625"/>
      <c r="P79" s="1631"/>
      <c r="Q79" s="210"/>
    </row>
    <row r="80" spans="1:31" ht="12" customHeight="1">
      <c r="B80" s="54" t="s">
        <v>1054</v>
      </c>
      <c r="C80" s="61" t="s">
        <v>3240</v>
      </c>
      <c r="D80" s="165"/>
      <c r="E80" s="165"/>
      <c r="F80" s="165"/>
      <c r="L80" s="654" t="s">
        <v>1054</v>
      </c>
      <c r="M80" s="1624" t="s">
        <v>4184</v>
      </c>
      <c r="N80" s="1625"/>
      <c r="O80" s="1625"/>
      <c r="P80" s="1631"/>
      <c r="Q80" s="321"/>
    </row>
    <row r="81" spans="1:31" ht="12" customHeight="1">
      <c r="B81" s="54" t="s">
        <v>2830</v>
      </c>
      <c r="C81" s="61" t="s">
        <v>3241</v>
      </c>
      <c r="D81" s="165"/>
      <c r="E81" s="165"/>
      <c r="F81" s="165"/>
      <c r="L81" s="654" t="s">
        <v>2830</v>
      </c>
      <c r="M81" s="1632">
        <v>0.112</v>
      </c>
      <c r="N81" s="1628"/>
      <c r="O81" s="1628"/>
      <c r="P81" s="1633"/>
      <c r="Q81" s="210"/>
    </row>
    <row r="82" spans="1:31" ht="22.15" customHeight="1">
      <c r="B82" s="174" t="s">
        <v>2428</v>
      </c>
      <c r="C82" s="1044" t="s">
        <v>3635</v>
      </c>
      <c r="D82" s="1044"/>
      <c r="E82" s="1044"/>
      <c r="F82" s="1044"/>
      <c r="G82" s="1044"/>
      <c r="H82" s="1044"/>
      <c r="I82" s="1044"/>
      <c r="J82" s="1044"/>
      <c r="K82" s="1044"/>
      <c r="L82" s="1044"/>
      <c r="M82" s="1044"/>
      <c r="N82" s="1044"/>
      <c r="O82" s="1044"/>
      <c r="P82" s="1044"/>
      <c r="Q82" s="1044"/>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1634"/>
      <c r="E84" s="1635" t="s">
        <v>4106</v>
      </c>
      <c r="F84" s="1635"/>
      <c r="G84" s="1635"/>
      <c r="H84" s="61">
        <v>3</v>
      </c>
      <c r="I84" s="1634"/>
      <c r="J84" s="1635"/>
      <c r="K84" s="1635"/>
      <c r="L84" s="1635"/>
      <c r="M84" s="61">
        <v>5</v>
      </c>
      <c r="N84" s="1634"/>
      <c r="O84" s="1635"/>
      <c r="P84" s="1635"/>
      <c r="Q84" s="1635"/>
    </row>
    <row r="85" spans="1:31" ht="12" customHeight="1">
      <c r="B85" s="54"/>
      <c r="C85" s="61">
        <v>2</v>
      </c>
      <c r="D85" s="1636"/>
      <c r="E85" s="1637"/>
      <c r="F85" s="1637"/>
      <c r="G85" s="1637"/>
      <c r="H85" s="61">
        <v>4</v>
      </c>
      <c r="I85" s="1636"/>
      <c r="J85" s="1637"/>
      <c r="K85" s="1637"/>
      <c r="L85" s="1637"/>
      <c r="M85" s="61">
        <v>6</v>
      </c>
      <c r="N85" s="1636"/>
      <c r="O85" s="1637"/>
      <c r="P85" s="1637"/>
      <c r="Q85" s="1637"/>
    </row>
    <row r="86" spans="1:31" ht="12" customHeight="1">
      <c r="B86" s="54" t="s">
        <v>2429</v>
      </c>
      <c r="C86" s="61" t="s">
        <v>0</v>
      </c>
      <c r="D86" s="165"/>
      <c r="E86" s="165"/>
      <c r="F86" s="165"/>
      <c r="G86" s="165"/>
      <c r="H86" s="165"/>
      <c r="I86" s="49"/>
      <c r="J86" s="49"/>
      <c r="K86" s="165"/>
      <c r="L86" s="806"/>
      <c r="M86" s="806"/>
      <c r="O86" s="654" t="s">
        <v>2429</v>
      </c>
      <c r="P86" s="1638" t="s">
        <v>4104</v>
      </c>
      <c r="Q86" s="321"/>
    </row>
    <row r="87" spans="1:31" ht="11.25" customHeight="1">
      <c r="B87" s="173" t="s">
        <v>2570</v>
      </c>
      <c r="D87" s="173"/>
      <c r="E87" s="173"/>
      <c r="F87" s="173"/>
      <c r="G87" s="173"/>
      <c r="H87" s="812"/>
      <c r="I87" s="162"/>
      <c r="J87" s="162"/>
      <c r="K87" s="162"/>
      <c r="L87" s="801"/>
      <c r="M87" s="801"/>
      <c r="N87" s="801"/>
      <c r="O87" s="801"/>
      <c r="P87" s="801"/>
      <c r="Q87" s="59"/>
    </row>
    <row r="88" spans="1:31" ht="22.9" customHeight="1">
      <c r="A88" s="1597" t="s">
        <v>4193</v>
      </c>
      <c r="B88" s="1598"/>
      <c r="C88" s="1598"/>
      <c r="D88" s="1598"/>
      <c r="E88" s="1598"/>
      <c r="F88" s="1598"/>
      <c r="G88" s="1598"/>
      <c r="H88" s="1598"/>
      <c r="I88" s="1598"/>
      <c r="J88" s="1598"/>
      <c r="K88" s="1598"/>
      <c r="L88" s="1598"/>
      <c r="M88" s="1598"/>
      <c r="N88" s="1598"/>
      <c r="O88" s="1598"/>
      <c r="P88" s="1598"/>
      <c r="Q88" s="1599"/>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047"/>
      <c r="B90" s="1048"/>
      <c r="C90" s="1048"/>
      <c r="D90" s="1048"/>
      <c r="E90" s="1048"/>
      <c r="F90" s="1048"/>
      <c r="G90" s="1048"/>
      <c r="H90" s="1048"/>
      <c r="I90" s="1048"/>
      <c r="J90" s="1048"/>
      <c r="K90" s="1048"/>
      <c r="L90" s="1048"/>
      <c r="M90" s="1048"/>
      <c r="N90" s="1048"/>
      <c r="O90" s="1048"/>
      <c r="P90" s="1048"/>
      <c r="Q90" s="1049"/>
    </row>
    <row r="91" spans="1:31" ht="13.9" customHeight="1">
      <c r="A91" s="810">
        <v>6</v>
      </c>
      <c r="B91" s="810" t="s">
        <v>3489</v>
      </c>
      <c r="C91" s="810"/>
      <c r="D91" s="808"/>
      <c r="E91" s="808"/>
      <c r="F91" s="808"/>
      <c r="G91" s="808"/>
      <c r="H91" s="808"/>
      <c r="I91" s="808"/>
      <c r="J91" s="808"/>
      <c r="K91" s="808"/>
      <c r="L91" s="808"/>
      <c r="M91" s="808"/>
      <c r="O91" s="163" t="s">
        <v>2572</v>
      </c>
      <c r="P91" s="1050"/>
      <c r="Q91" s="1053"/>
    </row>
    <row r="92" spans="1:31" ht="3" customHeight="1"/>
    <row r="93" spans="1:31" ht="12" customHeight="1">
      <c r="B93" s="54" t="s">
        <v>2694</v>
      </c>
      <c r="C93" s="61" t="s">
        <v>628</v>
      </c>
      <c r="D93" s="61"/>
      <c r="E93" s="61"/>
      <c r="F93" s="61"/>
      <c r="G93" s="61"/>
      <c r="H93" s="61"/>
      <c r="I93" s="61"/>
      <c r="J93" s="61"/>
      <c r="K93" s="61"/>
      <c r="L93" s="61"/>
      <c r="M93" s="61"/>
      <c r="O93" s="654" t="s">
        <v>2694</v>
      </c>
      <c r="P93" s="1593" t="s">
        <v>4103</v>
      </c>
      <c r="Q93" s="210"/>
    </row>
    <row r="94" spans="1:31" ht="12" customHeight="1">
      <c r="B94" s="54" t="s">
        <v>2697</v>
      </c>
      <c r="C94" s="61" t="s">
        <v>1738</v>
      </c>
      <c r="D94" s="61"/>
      <c r="E94" s="61"/>
      <c r="F94" s="61"/>
      <c r="G94" s="61"/>
      <c r="H94" s="61"/>
      <c r="I94" s="61"/>
      <c r="J94" s="61"/>
      <c r="K94" s="61"/>
      <c r="L94" s="38"/>
      <c r="M94" s="38"/>
      <c r="O94" s="654" t="s">
        <v>2697</v>
      </c>
      <c r="P94" s="1593" t="s">
        <v>4103</v>
      </c>
      <c r="Q94" s="210"/>
    </row>
    <row r="95" spans="1:31" ht="12" customHeight="1">
      <c r="A95" s="164"/>
      <c r="B95" s="44"/>
      <c r="D95" s="47" t="s">
        <v>721</v>
      </c>
      <c r="E95" s="49"/>
      <c r="F95" s="49"/>
      <c r="G95" s="49"/>
      <c r="H95" s="49"/>
      <c r="I95" s="49"/>
      <c r="L95" s="78" t="s">
        <v>722</v>
      </c>
      <c r="M95" s="1639"/>
      <c r="N95" s="1640"/>
      <c r="O95" s="1640"/>
      <c r="P95" s="1641"/>
      <c r="Q95" s="210"/>
    </row>
    <row r="96" spans="1:31" ht="22.9" customHeight="1">
      <c r="A96" s="176"/>
      <c r="B96" s="162"/>
      <c r="C96" s="183" t="s">
        <v>2430</v>
      </c>
      <c r="D96" s="1026" t="s">
        <v>591</v>
      </c>
      <c r="E96" s="1642"/>
      <c r="F96" s="1642"/>
      <c r="G96" s="1642"/>
      <c r="H96" s="1642"/>
      <c r="I96" s="1642"/>
      <c r="J96" s="1642"/>
      <c r="K96" s="1642"/>
      <c r="L96" s="1642"/>
      <c r="M96" s="1642"/>
      <c r="N96" s="1642"/>
      <c r="O96" s="183" t="s">
        <v>2430</v>
      </c>
      <c r="P96" s="1593"/>
      <c r="Q96" s="210"/>
    </row>
    <row r="97" spans="1:32" ht="12" customHeight="1">
      <c r="A97" s="176"/>
      <c r="B97" s="162"/>
      <c r="C97" s="78" t="s">
        <v>2431</v>
      </c>
      <c r="D97" s="61" t="s">
        <v>153</v>
      </c>
      <c r="E97" s="61"/>
      <c r="F97" s="61"/>
      <c r="G97" s="61"/>
      <c r="H97" s="61"/>
      <c r="I97" s="61"/>
      <c r="J97" s="61"/>
      <c r="K97" s="61"/>
      <c r="L97" s="61"/>
      <c r="M97" s="61"/>
      <c r="O97" s="78" t="s">
        <v>2431</v>
      </c>
      <c r="P97" s="1593"/>
      <c r="Q97" s="210"/>
    </row>
    <row r="98" spans="1:32" s="164" customFormat="1" ht="24.75" customHeight="1">
      <c r="A98" s="176"/>
      <c r="B98" s="592"/>
      <c r="C98" s="183" t="s">
        <v>2432</v>
      </c>
      <c r="D98" s="1044" t="s">
        <v>3584</v>
      </c>
      <c r="E98" s="1044"/>
      <c r="F98" s="1044"/>
      <c r="G98" s="1044"/>
      <c r="H98" s="1044"/>
      <c r="I98" s="1044"/>
      <c r="J98" s="1044"/>
      <c r="K98" s="1044"/>
      <c r="L98" s="1044"/>
      <c r="M98" s="1044"/>
      <c r="N98" s="1044"/>
      <c r="O98" s="183" t="s">
        <v>2432</v>
      </c>
      <c r="P98" s="1643"/>
      <c r="Q98" s="323"/>
      <c r="AE98" s="657"/>
      <c r="AF98" s="657"/>
    </row>
    <row r="99" spans="1:32" ht="12" customHeight="1">
      <c r="B99" s="54" t="s">
        <v>1054</v>
      </c>
      <c r="C99" s="61" t="s">
        <v>154</v>
      </c>
      <c r="D99" s="61"/>
      <c r="E99" s="61"/>
      <c r="F99" s="61"/>
      <c r="G99" s="61"/>
      <c r="H99" s="61"/>
      <c r="I99" s="61"/>
      <c r="J99" s="61"/>
      <c r="K99" s="61"/>
      <c r="L99" s="61"/>
      <c r="M99" s="61"/>
      <c r="O99" s="654" t="s">
        <v>1054</v>
      </c>
      <c r="P99" s="1593"/>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3" t="s">
        <v>4103</v>
      </c>
      <c r="Q101" s="210"/>
    </row>
    <row r="102" spans="1:32" ht="12" customHeight="1">
      <c r="B102" s="54"/>
      <c r="C102" s="78" t="s">
        <v>2431</v>
      </c>
      <c r="D102" s="61" t="s">
        <v>1873</v>
      </c>
      <c r="E102" s="61"/>
      <c r="F102" s="61"/>
      <c r="G102" s="61"/>
      <c r="H102" s="61"/>
      <c r="I102" s="61"/>
      <c r="J102" s="61"/>
      <c r="K102" s="61"/>
      <c r="L102" s="38"/>
      <c r="M102" s="38"/>
      <c r="O102" s="78" t="s">
        <v>2431</v>
      </c>
      <c r="P102" s="1593" t="s">
        <v>4103</v>
      </c>
      <c r="Q102" s="210"/>
    </row>
    <row r="103" spans="1:32" ht="12" customHeight="1">
      <c r="B103" s="54"/>
      <c r="C103" s="78" t="s">
        <v>2432</v>
      </c>
      <c r="D103" s="61" t="s">
        <v>1874</v>
      </c>
      <c r="E103" s="61"/>
      <c r="F103" s="61"/>
      <c r="G103" s="61"/>
      <c r="H103" s="61"/>
      <c r="I103" s="61"/>
      <c r="J103" s="61"/>
      <c r="K103" s="61"/>
      <c r="L103" s="38"/>
      <c r="M103" s="38"/>
      <c r="O103" s="78" t="s">
        <v>2432</v>
      </c>
      <c r="P103" s="1593" t="s">
        <v>4103</v>
      </c>
      <c r="Q103" s="210"/>
    </row>
    <row r="104" spans="1:32" ht="11.25" customHeight="1">
      <c r="B104" s="173" t="s">
        <v>2570</v>
      </c>
      <c r="D104" s="173"/>
      <c r="E104" s="173"/>
      <c r="F104" s="173"/>
      <c r="G104" s="173"/>
      <c r="H104" s="812"/>
      <c r="I104" s="162"/>
      <c r="J104" s="162"/>
      <c r="K104" s="162"/>
      <c r="L104" s="801"/>
      <c r="M104" s="801"/>
      <c r="N104" s="801"/>
      <c r="O104" s="801"/>
      <c r="P104" s="801"/>
      <c r="Q104" s="59"/>
    </row>
    <row r="105" spans="1:32" ht="13.15" customHeight="1">
      <c r="A105" s="1597" t="s">
        <v>4194</v>
      </c>
      <c r="B105" s="1598"/>
      <c r="C105" s="1598"/>
      <c r="D105" s="1598"/>
      <c r="E105" s="1598"/>
      <c r="F105" s="1598"/>
      <c r="G105" s="1598"/>
      <c r="H105" s="1598"/>
      <c r="I105" s="1598"/>
      <c r="J105" s="1598"/>
      <c r="K105" s="1598"/>
      <c r="L105" s="1598"/>
      <c r="M105" s="1598"/>
      <c r="N105" s="1598"/>
      <c r="O105" s="1598"/>
      <c r="P105" s="1598"/>
      <c r="Q105" s="1599"/>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047"/>
      <c r="B107" s="1048"/>
      <c r="C107" s="1048"/>
      <c r="D107" s="1048"/>
      <c r="E107" s="1048"/>
      <c r="F107" s="1048"/>
      <c r="G107" s="1048"/>
      <c r="H107" s="1048"/>
      <c r="I107" s="1048"/>
      <c r="J107" s="1048"/>
      <c r="K107" s="1048"/>
      <c r="L107" s="1048"/>
      <c r="M107" s="1048"/>
      <c r="N107" s="1048"/>
      <c r="O107" s="1048"/>
      <c r="P107" s="1048"/>
      <c r="Q107" s="1049"/>
    </row>
    <row r="108" spans="1:32" ht="4.9000000000000004" customHeight="1">
      <c r="A108" s="801"/>
      <c r="B108" s="162"/>
      <c r="C108" s="808"/>
      <c r="D108" s="808"/>
      <c r="E108" s="808"/>
      <c r="F108" s="808"/>
      <c r="G108" s="808"/>
      <c r="H108" s="808"/>
      <c r="I108" s="808"/>
      <c r="J108" s="808"/>
      <c r="K108" s="808"/>
      <c r="L108" s="808"/>
      <c r="M108" s="808"/>
      <c r="N108" s="808"/>
      <c r="O108" s="808"/>
      <c r="P108" s="808"/>
      <c r="Q108" s="801"/>
    </row>
    <row r="109" spans="1:32" ht="13.9" customHeight="1">
      <c r="A109" s="810">
        <v>7</v>
      </c>
      <c r="B109" s="810" t="s">
        <v>3490</v>
      </c>
      <c r="C109" s="812"/>
      <c r="D109" s="808"/>
      <c r="E109" s="808"/>
      <c r="F109" s="808"/>
      <c r="G109" s="808"/>
      <c r="H109" s="808"/>
      <c r="I109" s="808"/>
      <c r="J109" s="808"/>
      <c r="K109" s="808"/>
      <c r="L109" s="808"/>
      <c r="M109" s="808"/>
      <c r="O109" s="163" t="s">
        <v>2572</v>
      </c>
      <c r="P109" s="1050"/>
      <c r="Q109" s="1053"/>
    </row>
    <row r="110" spans="1:32" ht="6.6" customHeight="1"/>
    <row r="111" spans="1:32" ht="12" customHeight="1">
      <c r="B111" s="54" t="s">
        <v>2694</v>
      </c>
      <c r="C111" s="61" t="s">
        <v>3581</v>
      </c>
      <c r="D111" s="165"/>
      <c r="E111" s="165"/>
      <c r="F111" s="165"/>
      <c r="G111" s="165"/>
      <c r="H111" s="165"/>
      <c r="I111" s="49"/>
      <c r="J111" s="49"/>
      <c r="K111" s="49"/>
      <c r="L111" s="654" t="s">
        <v>2694</v>
      </c>
      <c r="M111" s="1644" t="s">
        <v>4147</v>
      </c>
      <c r="N111" s="1645"/>
      <c r="O111" s="1645"/>
      <c r="P111" s="1646"/>
      <c r="Q111" s="210"/>
    </row>
    <row r="112" spans="1:32" ht="12" customHeight="1">
      <c r="B112" s="54" t="s">
        <v>2697</v>
      </c>
      <c r="C112" s="61" t="s">
        <v>1997</v>
      </c>
      <c r="D112" s="165"/>
      <c r="E112" s="165"/>
      <c r="F112" s="165"/>
      <c r="G112" s="165"/>
      <c r="H112" s="165"/>
      <c r="I112" s="49"/>
      <c r="J112" s="49"/>
      <c r="K112" s="165"/>
      <c r="L112" s="165"/>
      <c r="M112" s="806"/>
      <c r="O112" s="654" t="s">
        <v>2697</v>
      </c>
      <c r="P112" s="1593" t="s">
        <v>4103</v>
      </c>
      <c r="Q112" s="321"/>
    </row>
    <row r="113" spans="2:17" ht="12" customHeight="1">
      <c r="B113" s="54" t="s">
        <v>1054</v>
      </c>
      <c r="C113" s="61" t="s">
        <v>165</v>
      </c>
      <c r="D113" s="165"/>
      <c r="E113" s="165"/>
      <c r="F113" s="165"/>
      <c r="G113" s="165"/>
      <c r="H113" s="165"/>
      <c r="I113" s="49"/>
      <c r="J113" s="49"/>
      <c r="K113" s="165"/>
      <c r="L113" s="806"/>
      <c r="M113" s="806"/>
      <c r="O113" s="654" t="s">
        <v>1054</v>
      </c>
      <c r="P113" s="1593" t="s">
        <v>4104</v>
      </c>
      <c r="Q113" s="210"/>
    </row>
    <row r="114" spans="2:17" ht="12" customHeight="1">
      <c r="B114" s="54"/>
      <c r="C114" s="77" t="s">
        <v>2430</v>
      </c>
      <c r="D114" s="61" t="s">
        <v>3582</v>
      </c>
      <c r="E114" s="165"/>
      <c r="F114" s="165"/>
      <c r="G114" s="165"/>
      <c r="H114" s="165"/>
      <c r="I114" s="49"/>
      <c r="J114" s="49"/>
      <c r="K114" s="165"/>
      <c r="L114" s="78" t="s">
        <v>2430</v>
      </c>
      <c r="M114" s="1644" t="s">
        <v>4148</v>
      </c>
      <c r="N114" s="1645"/>
      <c r="O114" s="1645"/>
      <c r="P114" s="1646"/>
      <c r="Q114" s="321"/>
    </row>
    <row r="115" spans="2:17" ht="12" customHeight="1">
      <c r="B115" s="171"/>
      <c r="C115" s="78" t="s">
        <v>2431</v>
      </c>
      <c r="D115" s="44" t="s">
        <v>3402</v>
      </c>
      <c r="E115" s="49"/>
      <c r="F115" s="49"/>
      <c r="G115" s="49"/>
      <c r="H115" s="61"/>
      <c r="I115" s="49"/>
      <c r="J115" s="49"/>
      <c r="K115" s="165"/>
      <c r="L115" s="806"/>
      <c r="M115" s="806"/>
      <c r="O115" s="654" t="s">
        <v>2431</v>
      </c>
      <c r="P115" s="1638" t="s">
        <v>4145</v>
      </c>
      <c r="Q115" s="321"/>
    </row>
    <row r="116" spans="2:17" ht="12" customHeight="1">
      <c r="B116" s="171"/>
      <c r="C116" s="654" t="s">
        <v>2432</v>
      </c>
      <c r="D116" s="61" t="s">
        <v>1819</v>
      </c>
      <c r="E116" s="49"/>
      <c r="F116" s="49"/>
      <c r="G116" s="49"/>
      <c r="H116" s="61"/>
      <c r="I116" s="49"/>
      <c r="J116" s="49"/>
      <c r="K116" s="165"/>
      <c r="L116" s="806"/>
      <c r="M116" s="806"/>
      <c r="N116" s="806"/>
      <c r="O116" s="806"/>
    </row>
    <row r="117" spans="2:17" ht="11.45" customHeight="1">
      <c r="B117" s="801"/>
      <c r="C117" s="78"/>
      <c r="D117" s="1647" t="s">
        <v>4146</v>
      </c>
      <c r="E117" s="1648"/>
      <c r="F117" s="1648"/>
      <c r="G117" s="1648"/>
      <c r="H117" s="1648"/>
      <c r="I117" s="1648"/>
      <c r="J117" s="1648"/>
      <c r="K117" s="1648"/>
      <c r="L117" s="1648"/>
      <c r="M117" s="1648"/>
      <c r="N117" s="1648"/>
      <c r="O117" s="1648"/>
      <c r="P117" s="1648"/>
      <c r="Q117" s="1649"/>
    </row>
    <row r="118" spans="2:17" ht="12" customHeight="1">
      <c r="B118" s="54" t="s">
        <v>2830</v>
      </c>
      <c r="C118" s="61" t="s">
        <v>1685</v>
      </c>
      <c r="D118" s="165"/>
      <c r="E118" s="165"/>
      <c r="F118" s="165"/>
      <c r="G118" s="165"/>
      <c r="H118" s="165"/>
      <c r="I118" s="49"/>
      <c r="J118" s="49"/>
      <c r="K118" s="165"/>
      <c r="L118" s="806"/>
      <c r="M118" s="806"/>
      <c r="N118" s="806"/>
      <c r="O118" s="654" t="s">
        <v>2830</v>
      </c>
    </row>
    <row r="119" spans="2:17" ht="12" customHeight="1">
      <c r="B119" s="54"/>
      <c r="C119" s="78" t="s">
        <v>2430</v>
      </c>
      <c r="D119" s="61" t="s">
        <v>163</v>
      </c>
      <c r="E119" s="165"/>
      <c r="F119" s="165"/>
      <c r="G119" s="165"/>
      <c r="H119" s="165"/>
      <c r="I119" s="49"/>
      <c r="J119" s="49"/>
      <c r="K119" s="165"/>
      <c r="L119" s="806"/>
      <c r="M119" s="806"/>
      <c r="O119" s="78" t="s">
        <v>2430</v>
      </c>
      <c r="P119" s="1593" t="s">
        <v>4103</v>
      </c>
      <c r="Q119" s="210"/>
    </row>
    <row r="120" spans="2:17" ht="12" customHeight="1">
      <c r="B120" s="54"/>
      <c r="C120" s="78" t="s">
        <v>2431</v>
      </c>
      <c r="D120" s="61" t="s">
        <v>1686</v>
      </c>
      <c r="E120" s="165"/>
      <c r="F120" s="165"/>
      <c r="G120" s="165"/>
      <c r="H120" s="49"/>
      <c r="I120" s="49"/>
      <c r="J120" s="49"/>
      <c r="K120" s="165"/>
      <c r="L120" s="806"/>
      <c r="M120" s="806"/>
      <c r="O120" s="78" t="s">
        <v>2431</v>
      </c>
      <c r="P120" s="1638" t="s">
        <v>4103</v>
      </c>
      <c r="Q120" s="321"/>
    </row>
    <row r="121" spans="2:17" ht="12" customHeight="1">
      <c r="B121" s="54"/>
      <c r="C121" s="78"/>
      <c r="D121" s="61" t="s">
        <v>3465</v>
      </c>
      <c r="E121" s="608" t="s">
        <v>3202</v>
      </c>
      <c r="F121" s="61" t="s">
        <v>3466</v>
      </c>
      <c r="G121" s="49"/>
      <c r="H121" s="61"/>
      <c r="I121" s="49"/>
      <c r="J121" s="49"/>
      <c r="K121" s="165"/>
      <c r="L121" s="806"/>
      <c r="M121" s="806"/>
      <c r="O121" s="608" t="s">
        <v>3202</v>
      </c>
      <c r="P121" s="1650"/>
      <c r="Q121" s="385"/>
    </row>
    <row r="122" spans="2:17" ht="12" customHeight="1">
      <c r="B122" s="54"/>
      <c r="C122" s="78"/>
      <c r="E122" s="608" t="s">
        <v>3203</v>
      </c>
      <c r="F122" s="61" t="s">
        <v>3467</v>
      </c>
      <c r="G122" s="49"/>
      <c r="H122" s="61"/>
      <c r="I122" s="49"/>
      <c r="J122" s="49"/>
      <c r="K122" s="165"/>
      <c r="L122" s="806"/>
      <c r="M122" s="806"/>
      <c r="O122" s="608" t="s">
        <v>3203</v>
      </c>
      <c r="P122" s="1638"/>
      <c r="Q122" s="321"/>
    </row>
    <row r="123" spans="2:17" ht="12" customHeight="1">
      <c r="B123" s="54"/>
      <c r="C123" s="78"/>
      <c r="E123" s="608" t="s">
        <v>3204</v>
      </c>
      <c r="F123" s="61" t="s">
        <v>3468</v>
      </c>
      <c r="G123" s="49"/>
      <c r="H123" s="61"/>
      <c r="I123" s="49"/>
      <c r="J123" s="49"/>
      <c r="K123" s="165"/>
      <c r="L123" s="806"/>
      <c r="M123" s="806"/>
      <c r="O123" s="608" t="s">
        <v>3204</v>
      </c>
      <c r="P123" s="1638"/>
      <c r="Q123" s="321"/>
    </row>
    <row r="124" spans="2:17" ht="12" customHeight="1">
      <c r="B124" s="54"/>
      <c r="C124" s="78" t="s">
        <v>2432</v>
      </c>
      <c r="D124" s="61" t="s">
        <v>1687</v>
      </c>
      <c r="E124" s="165"/>
      <c r="F124" s="165"/>
      <c r="G124" s="165"/>
      <c r="H124" s="61"/>
      <c r="I124" s="49"/>
      <c r="J124" s="49"/>
      <c r="K124" s="165"/>
      <c r="L124" s="806"/>
      <c r="M124" s="806"/>
      <c r="O124" s="78" t="s">
        <v>2432</v>
      </c>
      <c r="P124" s="1593" t="s">
        <v>4104</v>
      </c>
      <c r="Q124" s="210"/>
    </row>
    <row r="125" spans="2:17" ht="12" customHeight="1">
      <c r="B125" s="54"/>
      <c r="C125" s="78"/>
      <c r="D125" s="61" t="s">
        <v>3465</v>
      </c>
      <c r="E125" s="608" t="s">
        <v>3202</v>
      </c>
      <c r="F125" s="61" t="s">
        <v>3469</v>
      </c>
      <c r="G125" s="49"/>
      <c r="H125" s="61"/>
      <c r="I125" s="49"/>
      <c r="J125" s="49"/>
      <c r="K125" s="165"/>
      <c r="L125" s="806"/>
      <c r="O125" s="608" t="s">
        <v>3202</v>
      </c>
      <c r="P125" s="1650" t="s">
        <v>4201</v>
      </c>
      <c r="Q125" s="322"/>
    </row>
    <row r="126" spans="2:17" ht="12" customHeight="1">
      <c r="B126" s="54"/>
      <c r="C126" s="78"/>
      <c r="E126" s="608" t="s">
        <v>3203</v>
      </c>
      <c r="F126" s="61" t="s">
        <v>3470</v>
      </c>
      <c r="G126" s="49"/>
      <c r="H126" s="61"/>
      <c r="I126" s="49"/>
      <c r="J126" s="49"/>
      <c r="K126" s="165"/>
      <c r="L126" s="806"/>
      <c r="O126" s="608" t="s">
        <v>3203</v>
      </c>
      <c r="P126" s="1638" t="s">
        <v>4103</v>
      </c>
      <c r="Q126" s="321"/>
    </row>
    <row r="127" spans="2:17" ht="12" customHeight="1">
      <c r="B127" s="54"/>
      <c r="C127" s="78"/>
      <c r="E127" s="608" t="s">
        <v>3204</v>
      </c>
      <c r="F127" s="61" t="s">
        <v>3468</v>
      </c>
      <c r="G127" s="49"/>
      <c r="H127" s="61"/>
      <c r="I127" s="49"/>
      <c r="J127" s="49"/>
      <c r="K127" s="165"/>
      <c r="L127" s="806"/>
      <c r="O127" s="608" t="s">
        <v>3204</v>
      </c>
      <c r="P127" s="1638" t="s">
        <v>4104</v>
      </c>
      <c r="Q127" s="321"/>
    </row>
    <row r="128" spans="2:17" ht="12" customHeight="1">
      <c r="B128" s="44"/>
      <c r="C128" s="78" t="s">
        <v>3120</v>
      </c>
      <c r="D128" s="61" t="s">
        <v>3471</v>
      </c>
      <c r="E128" s="165"/>
      <c r="F128" s="165"/>
      <c r="G128" s="165"/>
      <c r="H128" s="165"/>
      <c r="I128" s="49"/>
      <c r="J128" s="49"/>
      <c r="K128" s="165"/>
      <c r="L128" s="806"/>
      <c r="M128" s="806"/>
      <c r="O128" s="78" t="s">
        <v>3120</v>
      </c>
      <c r="P128" s="1593" t="s">
        <v>4104</v>
      </c>
      <c r="Q128" s="210"/>
    </row>
    <row r="129" spans="1:31" ht="12" customHeight="1">
      <c r="B129" s="54" t="s">
        <v>2428</v>
      </c>
      <c r="C129" s="178" t="s">
        <v>3179</v>
      </c>
      <c r="D129" s="165"/>
      <c r="E129" s="165"/>
      <c r="F129" s="165"/>
      <c r="G129" s="165"/>
      <c r="H129" s="165"/>
      <c r="I129" s="49"/>
      <c r="J129" s="49"/>
      <c r="K129" s="165"/>
      <c r="L129" s="806"/>
      <c r="M129" s="806"/>
      <c r="N129" s="806"/>
      <c r="O129" s="806"/>
      <c r="P129" s="806"/>
      <c r="Q129" s="806"/>
    </row>
    <row r="130" spans="1:31" ht="12" customHeight="1">
      <c r="B130" s="54"/>
      <c r="C130" s="78" t="s">
        <v>2430</v>
      </c>
      <c r="D130" s="61" t="s">
        <v>3180</v>
      </c>
      <c r="E130" s="165"/>
      <c r="F130" s="1651" t="s">
        <v>4103</v>
      </c>
      <c r="G130" s="324"/>
      <c r="H130" s="78" t="s">
        <v>3120</v>
      </c>
      <c r="I130" s="61" t="s">
        <v>2012</v>
      </c>
      <c r="J130" s="1651" t="s">
        <v>4103</v>
      </c>
      <c r="K130" s="324"/>
      <c r="L130" s="654" t="s">
        <v>104</v>
      </c>
      <c r="M130" s="61" t="s">
        <v>2013</v>
      </c>
      <c r="O130" s="1651" t="s">
        <v>4103</v>
      </c>
      <c r="P130" s="324"/>
    </row>
    <row r="131" spans="1:31" ht="12" customHeight="1">
      <c r="B131" s="44"/>
      <c r="C131" s="78" t="s">
        <v>2431</v>
      </c>
      <c r="D131" s="61" t="s">
        <v>3277</v>
      </c>
      <c r="E131" s="165"/>
      <c r="F131" s="1652" t="s">
        <v>4103</v>
      </c>
      <c r="G131" s="473"/>
      <c r="H131" s="78" t="s">
        <v>2009</v>
      </c>
      <c r="I131" s="61" t="s">
        <v>3668</v>
      </c>
      <c r="J131" s="1652" t="s">
        <v>4103</v>
      </c>
      <c r="K131" s="473"/>
      <c r="L131" s="654" t="s">
        <v>678</v>
      </c>
      <c r="M131" s="64" t="s">
        <v>3473</v>
      </c>
      <c r="O131" s="1652" t="s">
        <v>4103</v>
      </c>
      <c r="P131" s="473"/>
    </row>
    <row r="132" spans="1:31" ht="12" customHeight="1">
      <c r="B132" s="44"/>
      <c r="C132" s="78" t="s">
        <v>2432</v>
      </c>
      <c r="D132" s="61" t="s">
        <v>3472</v>
      </c>
      <c r="E132" s="165"/>
      <c r="F132" s="1653" t="s">
        <v>4103</v>
      </c>
      <c r="G132" s="325"/>
      <c r="H132" s="78" t="s">
        <v>2010</v>
      </c>
      <c r="I132" s="61" t="s">
        <v>2011</v>
      </c>
      <c r="J132" s="1653" t="s">
        <v>4103</v>
      </c>
      <c r="K132" s="325"/>
      <c r="L132" s="654" t="s">
        <v>679</v>
      </c>
      <c r="M132" s="64" t="s">
        <v>3474</v>
      </c>
      <c r="O132" s="1653" t="s">
        <v>4103</v>
      </c>
      <c r="P132" s="325"/>
    </row>
    <row r="133" spans="1:31" ht="12" customHeight="1">
      <c r="B133" s="44"/>
      <c r="C133" s="654" t="s">
        <v>680</v>
      </c>
      <c r="D133" s="61" t="s">
        <v>3962</v>
      </c>
      <c r="E133" s="165"/>
      <c r="F133" s="165"/>
      <c r="G133" s="165"/>
      <c r="H133" s="165"/>
      <c r="J133" s="1644" t="s">
        <v>4142</v>
      </c>
      <c r="K133" s="1645"/>
      <c r="L133" s="1645"/>
      <c r="M133" s="1645"/>
      <c r="N133" s="1645"/>
      <c r="O133" s="1645"/>
      <c r="P133" s="1646"/>
      <c r="Q133" s="210"/>
    </row>
    <row r="134" spans="1:31" ht="12" customHeight="1">
      <c r="B134" s="54" t="s">
        <v>2429</v>
      </c>
      <c r="C134" s="61" t="s">
        <v>1718</v>
      </c>
      <c r="D134" s="165"/>
      <c r="E134" s="165"/>
      <c r="F134" s="165"/>
      <c r="G134" s="165"/>
      <c r="H134" s="165"/>
      <c r="I134" s="49"/>
      <c r="J134" s="49"/>
      <c r="K134" s="165"/>
      <c r="L134" s="165"/>
      <c r="M134" s="806"/>
      <c r="O134" s="654" t="s">
        <v>2429</v>
      </c>
      <c r="P134" s="1593" t="s">
        <v>4104</v>
      </c>
      <c r="Q134" s="210"/>
    </row>
    <row r="135" spans="1:31" ht="12" customHeight="1">
      <c r="A135" s="176"/>
      <c r="B135" s="49"/>
      <c r="C135" s="78" t="s">
        <v>2430</v>
      </c>
      <c r="D135" s="61" t="s">
        <v>908</v>
      </c>
      <c r="E135" s="165"/>
      <c r="F135" s="165"/>
      <c r="G135" s="165"/>
      <c r="H135" s="165"/>
      <c r="O135" s="78" t="s">
        <v>2430</v>
      </c>
      <c r="P135" s="1593" t="s">
        <v>4103</v>
      </c>
      <c r="Q135" s="210"/>
    </row>
    <row r="136" spans="1:31" ht="12" customHeight="1">
      <c r="A136" s="176"/>
      <c r="B136" s="162"/>
      <c r="C136" s="78" t="s">
        <v>2431</v>
      </c>
      <c r="D136" s="61" t="s">
        <v>625</v>
      </c>
      <c r="E136" s="61"/>
      <c r="F136" s="61"/>
      <c r="G136" s="61"/>
      <c r="H136" s="61"/>
      <c r="I136" s="49"/>
      <c r="J136" s="49"/>
      <c r="K136" s="61"/>
      <c r="L136" s="61"/>
      <c r="M136" s="61"/>
      <c r="O136" s="78" t="s">
        <v>2431</v>
      </c>
      <c r="P136" s="1593" t="s">
        <v>4104</v>
      </c>
      <c r="Q136" s="210"/>
    </row>
    <row r="137" spans="1:31" ht="12" customHeight="1">
      <c r="A137" s="176"/>
      <c r="B137" s="162"/>
      <c r="C137" s="78" t="s">
        <v>2432</v>
      </c>
      <c r="D137" s="61" t="s">
        <v>867</v>
      </c>
      <c r="E137" s="61"/>
      <c r="F137" s="61"/>
      <c r="G137" s="61"/>
      <c r="H137" s="61"/>
      <c r="I137" s="49"/>
      <c r="J137" s="49"/>
      <c r="K137" s="61"/>
      <c r="L137" s="61"/>
      <c r="M137" s="61"/>
      <c r="O137" s="78" t="s">
        <v>2432</v>
      </c>
      <c r="P137" s="1593" t="s">
        <v>4104</v>
      </c>
      <c r="Q137" s="210"/>
    </row>
    <row r="138" spans="1:31" ht="12" customHeight="1">
      <c r="B138" s="54" t="s">
        <v>2657</v>
      </c>
      <c r="C138" s="61" t="s">
        <v>2447</v>
      </c>
      <c r="D138" s="165"/>
      <c r="E138" s="165"/>
      <c r="F138" s="165"/>
      <c r="G138" s="165"/>
      <c r="H138" s="165"/>
      <c r="I138" s="49"/>
      <c r="J138" s="49"/>
      <c r="K138" s="165"/>
      <c r="L138" s="165"/>
      <c r="M138" s="806"/>
      <c r="O138" s="654" t="s">
        <v>2657</v>
      </c>
      <c r="P138" s="1593" t="s">
        <v>1369</v>
      </c>
      <c r="Q138" s="210"/>
    </row>
    <row r="139" spans="1:31" ht="4.9000000000000004" customHeight="1"/>
    <row r="140" spans="1:31" ht="11.25" customHeight="1">
      <c r="B140" s="173" t="s">
        <v>2570</v>
      </c>
      <c r="D140" s="173"/>
      <c r="E140" s="173"/>
      <c r="F140" s="173"/>
      <c r="G140" s="173"/>
      <c r="H140" s="812"/>
      <c r="I140" s="162"/>
      <c r="J140" s="162"/>
      <c r="K140" s="162"/>
      <c r="L140" s="801"/>
      <c r="M140" s="801"/>
      <c r="N140" s="801"/>
      <c r="O140" s="801"/>
      <c r="P140" s="801"/>
      <c r="Q140" s="59"/>
    </row>
    <row r="141" spans="1:31" ht="23.25" customHeight="1">
      <c r="A141" s="1597" t="s">
        <v>4202</v>
      </c>
      <c r="B141" s="1598"/>
      <c r="C141" s="1598"/>
      <c r="D141" s="1598"/>
      <c r="E141" s="1598"/>
      <c r="F141" s="1598"/>
      <c r="G141" s="1598"/>
      <c r="H141" s="1598"/>
      <c r="I141" s="1598"/>
      <c r="J141" s="1598"/>
      <c r="K141" s="1598"/>
      <c r="L141" s="1598"/>
      <c r="M141" s="1598"/>
      <c r="N141" s="1598"/>
      <c r="O141" s="1598"/>
      <c r="P141" s="1598"/>
      <c r="Q141" s="1599"/>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047"/>
      <c r="B143" s="1048"/>
      <c r="C143" s="1048"/>
      <c r="D143" s="1048"/>
      <c r="E143" s="1048"/>
      <c r="F143" s="1048"/>
      <c r="G143" s="1048"/>
      <c r="H143" s="1048"/>
      <c r="I143" s="1048"/>
      <c r="J143" s="1048"/>
      <c r="K143" s="1048"/>
      <c r="L143" s="1048"/>
      <c r="M143" s="1048"/>
      <c r="N143" s="1048"/>
      <c r="O143" s="1048"/>
      <c r="P143" s="1048"/>
      <c r="Q143" s="1049"/>
      <c r="R143" s="614" t="s">
        <v>1677</v>
      </c>
      <c r="S143" s="615"/>
    </row>
    <row r="144" spans="1:31" ht="8.4499999999999993" customHeight="1">
      <c r="A144" s="801"/>
      <c r="B144" s="162"/>
      <c r="C144" s="808"/>
      <c r="D144" s="808"/>
      <c r="E144" s="808"/>
      <c r="F144" s="808"/>
      <c r="G144" s="808"/>
      <c r="H144" s="808"/>
      <c r="I144" s="808"/>
      <c r="J144" s="808"/>
      <c r="K144" s="808"/>
      <c r="L144" s="808"/>
      <c r="M144" s="808"/>
      <c r="N144" s="808"/>
      <c r="O144" s="808"/>
      <c r="P144" s="808"/>
      <c r="Q144" s="801"/>
    </row>
    <row r="145" spans="1:31" ht="13.9" customHeight="1">
      <c r="A145" s="810">
        <v>8</v>
      </c>
      <c r="B145" s="810" t="s">
        <v>3491</v>
      </c>
      <c r="C145" s="810"/>
      <c r="D145" s="808"/>
      <c r="E145" s="808"/>
      <c r="F145" s="808"/>
      <c r="G145" s="808"/>
      <c r="H145" s="808"/>
      <c r="I145" s="808"/>
      <c r="J145" s="808"/>
      <c r="K145" s="808"/>
      <c r="O145" s="163" t="s">
        <v>2572</v>
      </c>
      <c r="P145" s="1050"/>
      <c r="Q145" s="1053"/>
    </row>
    <row r="146" spans="1:31" ht="12" customHeight="1">
      <c r="B146" s="54" t="s">
        <v>2694</v>
      </c>
      <c r="C146" s="61" t="s">
        <v>3633</v>
      </c>
      <c r="D146" s="61"/>
      <c r="E146" s="61"/>
      <c r="F146" s="61"/>
      <c r="G146" s="61"/>
      <c r="I146" s="61" t="s">
        <v>3632</v>
      </c>
      <c r="K146" s="1654">
        <v>41639</v>
      </c>
      <c r="L146" s="1655"/>
      <c r="N146" s="61"/>
      <c r="O146" s="654" t="s">
        <v>2694</v>
      </c>
      <c r="P146" s="1593" t="s">
        <v>4104</v>
      </c>
      <c r="Q146" s="210"/>
    </row>
    <row r="147" spans="1:31" ht="12" customHeight="1">
      <c r="A147" s="171"/>
      <c r="B147" s="54" t="s">
        <v>2697</v>
      </c>
      <c r="C147" s="172" t="s">
        <v>164</v>
      </c>
      <c r="D147" s="172"/>
      <c r="E147" s="172"/>
      <c r="F147" s="172"/>
      <c r="G147" s="172"/>
      <c r="H147" s="172"/>
      <c r="M147" s="654" t="s">
        <v>2697</v>
      </c>
      <c r="N147" s="1656" t="s">
        <v>4143</v>
      </c>
      <c r="O147" s="1657"/>
      <c r="P147" s="1074"/>
      <c r="Q147" s="1075"/>
    </row>
    <row r="148" spans="1:31" ht="12" customHeight="1">
      <c r="A148" s="171"/>
      <c r="B148" s="54" t="s">
        <v>1054</v>
      </c>
      <c r="C148" s="172" t="s">
        <v>868</v>
      </c>
      <c r="D148" s="172"/>
      <c r="E148" s="172"/>
      <c r="F148" s="172"/>
      <c r="G148" s="172"/>
      <c r="H148" s="172"/>
      <c r="J148" s="654" t="s">
        <v>1054</v>
      </c>
      <c r="K148" s="1658" t="s">
        <v>4144</v>
      </c>
      <c r="L148" s="1659"/>
      <c r="M148" s="1659"/>
      <c r="N148" s="1659"/>
      <c r="O148" s="1659"/>
      <c r="P148" s="1660"/>
      <c r="Q148" s="210"/>
    </row>
    <row r="149" spans="1:31" ht="12" customHeight="1">
      <c r="B149" s="173" t="s">
        <v>2570</v>
      </c>
      <c r="D149" s="173"/>
      <c r="E149" s="173"/>
      <c r="F149" s="173"/>
      <c r="G149" s="173"/>
      <c r="H149" s="812"/>
      <c r="I149" s="162"/>
      <c r="J149" s="162"/>
      <c r="K149" s="162"/>
      <c r="L149" s="801"/>
      <c r="M149" s="801"/>
      <c r="N149" s="801"/>
      <c r="O149" s="801"/>
      <c r="P149" s="801"/>
      <c r="Q149" s="59"/>
    </row>
    <row r="150" spans="1:31" ht="11.45" customHeight="1">
      <c r="A150" s="1597" t="s">
        <v>4188</v>
      </c>
      <c r="B150" s="1598"/>
      <c r="C150" s="1598"/>
      <c r="D150" s="1598"/>
      <c r="E150" s="1598"/>
      <c r="F150" s="1598"/>
      <c r="G150" s="1598"/>
      <c r="H150" s="1598"/>
      <c r="I150" s="1598"/>
      <c r="J150" s="1598"/>
      <c r="K150" s="1598"/>
      <c r="L150" s="1598"/>
      <c r="M150" s="1598"/>
      <c r="N150" s="1598"/>
      <c r="O150" s="1598"/>
      <c r="P150" s="1598"/>
      <c r="Q150" s="1599"/>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047"/>
      <c r="B152" s="1048"/>
      <c r="C152" s="1048"/>
      <c r="D152" s="1048"/>
      <c r="E152" s="1048"/>
      <c r="F152" s="1048"/>
      <c r="G152" s="1048"/>
      <c r="H152" s="1048"/>
      <c r="I152" s="1048"/>
      <c r="J152" s="1048"/>
      <c r="K152" s="1048"/>
      <c r="L152" s="1048"/>
      <c r="M152" s="1048"/>
      <c r="N152" s="1048"/>
      <c r="O152" s="1048"/>
      <c r="P152" s="1048"/>
      <c r="Q152" s="1049"/>
    </row>
    <row r="153" spans="1:31" ht="3" customHeight="1">
      <c r="A153" s="801"/>
      <c r="B153" s="162"/>
      <c r="C153" s="808"/>
      <c r="D153" s="808"/>
      <c r="E153" s="808"/>
      <c r="F153" s="808"/>
      <c r="G153" s="808"/>
      <c r="H153" s="808"/>
      <c r="I153" s="808"/>
      <c r="J153" s="808"/>
      <c r="K153" s="808"/>
      <c r="L153" s="808"/>
      <c r="M153" s="808"/>
      <c r="Q153" s="801"/>
    </row>
    <row r="154" spans="1:31" ht="13.9" customHeight="1">
      <c r="A154" s="810">
        <v>9</v>
      </c>
      <c r="B154" s="810" t="s">
        <v>3492</v>
      </c>
      <c r="C154" s="810"/>
      <c r="D154" s="808"/>
      <c r="E154" s="808"/>
      <c r="F154" s="808"/>
      <c r="G154" s="808"/>
      <c r="H154" s="808"/>
      <c r="I154" s="808"/>
      <c r="J154" s="808"/>
      <c r="K154" s="808"/>
      <c r="L154" s="808"/>
      <c r="M154" s="808"/>
      <c r="O154" s="163" t="s">
        <v>2572</v>
      </c>
      <c r="P154" s="1050"/>
      <c r="Q154" s="1053"/>
    </row>
    <row r="155" spans="1:31" ht="12" customHeight="1">
      <c r="B155" s="174" t="s">
        <v>2694</v>
      </c>
      <c r="C155" s="172" t="s">
        <v>102</v>
      </c>
      <c r="D155" s="172"/>
      <c r="E155" s="172"/>
      <c r="F155" s="172"/>
      <c r="G155" s="172"/>
      <c r="H155" s="172"/>
      <c r="I155" s="172"/>
      <c r="J155" s="172"/>
      <c r="K155" s="172"/>
      <c r="L155" s="179"/>
      <c r="M155" s="179"/>
      <c r="N155" s="179"/>
      <c r="O155" s="199" t="s">
        <v>2694</v>
      </c>
      <c r="P155" s="1593" t="s">
        <v>4104</v>
      </c>
      <c r="Q155" s="210"/>
    </row>
    <row r="156" spans="1:31" ht="22.15" customHeight="1">
      <c r="B156" s="174" t="s">
        <v>2697</v>
      </c>
      <c r="C156" s="1044" t="s">
        <v>3293</v>
      </c>
      <c r="D156" s="1044"/>
      <c r="E156" s="1044"/>
      <c r="F156" s="1044"/>
      <c r="G156" s="1044"/>
      <c r="H156" s="1044"/>
      <c r="I156" s="1044"/>
      <c r="J156" s="1044"/>
      <c r="K156" s="1044"/>
      <c r="L156" s="1044"/>
      <c r="M156" s="1044"/>
      <c r="N156" s="1044"/>
      <c r="O156" s="199" t="s">
        <v>2697</v>
      </c>
      <c r="P156" s="1593" t="s">
        <v>4104</v>
      </c>
      <c r="Q156" s="210"/>
    </row>
    <row r="157" spans="1:31" ht="21.75" customHeight="1">
      <c r="B157" s="174" t="s">
        <v>1054</v>
      </c>
      <c r="C157" s="1044" t="s">
        <v>3475</v>
      </c>
      <c r="D157" s="1044"/>
      <c r="E157" s="1044"/>
      <c r="F157" s="1044"/>
      <c r="G157" s="1044"/>
      <c r="H157" s="1044"/>
      <c r="I157" s="1044"/>
      <c r="J157" s="1044"/>
      <c r="K157" s="1044"/>
      <c r="L157" s="1044"/>
      <c r="M157" s="1044"/>
      <c r="N157" s="1044"/>
      <c r="O157" s="199" t="s">
        <v>1054</v>
      </c>
      <c r="P157" s="1593"/>
      <c r="Q157" s="210"/>
    </row>
    <row r="158" spans="1:31" ht="12" customHeight="1">
      <c r="B158" s="173" t="s">
        <v>2570</v>
      </c>
      <c r="D158" s="173"/>
      <c r="E158" s="173"/>
      <c r="F158" s="173"/>
      <c r="G158" s="173"/>
      <c r="H158" s="812"/>
      <c r="I158" s="162"/>
      <c r="J158" s="162"/>
      <c r="K158" s="162"/>
      <c r="L158" s="801"/>
      <c r="M158" s="801"/>
      <c r="N158" s="801"/>
      <c r="O158" s="801"/>
      <c r="P158" s="801"/>
      <c r="Q158" s="59"/>
    </row>
    <row r="159" spans="1:31" ht="25.5" customHeight="1">
      <c r="A159" s="1597" t="s">
        <v>4195</v>
      </c>
      <c r="B159" s="1598"/>
      <c r="C159" s="1598"/>
      <c r="D159" s="1598"/>
      <c r="E159" s="1598"/>
      <c r="F159" s="1598"/>
      <c r="G159" s="1598"/>
      <c r="H159" s="1598"/>
      <c r="I159" s="1598"/>
      <c r="J159" s="1598"/>
      <c r="K159" s="1598"/>
      <c r="L159" s="1598"/>
      <c r="M159" s="1598"/>
      <c r="N159" s="1598"/>
      <c r="O159" s="1598"/>
      <c r="P159" s="1598"/>
      <c r="Q159" s="1599"/>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047"/>
      <c r="B161" s="1048"/>
      <c r="C161" s="1048"/>
      <c r="D161" s="1048"/>
      <c r="E161" s="1048"/>
      <c r="F161" s="1048"/>
      <c r="G161" s="1048"/>
      <c r="H161" s="1048"/>
      <c r="I161" s="1048"/>
      <c r="J161" s="1048"/>
      <c r="K161" s="1048"/>
      <c r="L161" s="1048"/>
      <c r="M161" s="1048"/>
      <c r="N161" s="1048"/>
      <c r="O161" s="1048"/>
      <c r="P161" s="1048"/>
      <c r="Q161" s="1049"/>
    </row>
    <row r="162" spans="1:32" ht="3" customHeight="1">
      <c r="B162" s="162"/>
      <c r="C162" s="808"/>
      <c r="D162" s="808"/>
      <c r="E162" s="808"/>
      <c r="F162" s="808"/>
      <c r="G162" s="808"/>
      <c r="H162" s="808"/>
      <c r="I162" s="808"/>
      <c r="J162" s="808"/>
      <c r="K162" s="808"/>
      <c r="L162" s="808"/>
      <c r="M162" s="808"/>
      <c r="N162" s="808"/>
      <c r="O162" s="808"/>
      <c r="P162" s="808"/>
      <c r="Q162" s="801"/>
    </row>
    <row r="163" spans="1:32" ht="13.9" customHeight="1">
      <c r="A163" s="784">
        <v>10</v>
      </c>
      <c r="B163" s="1072" t="s">
        <v>3493</v>
      </c>
      <c r="C163" s="1072"/>
      <c r="D163" s="1072"/>
      <c r="O163" s="163" t="s">
        <v>2572</v>
      </c>
      <c r="P163" s="1050"/>
      <c r="Q163" s="1053"/>
    </row>
    <row r="164" spans="1:32" ht="12" customHeight="1">
      <c r="B164" s="174" t="s">
        <v>2694</v>
      </c>
      <c r="C164" s="179" t="s">
        <v>600</v>
      </c>
      <c r="D164" s="179"/>
      <c r="E164" s="179"/>
      <c r="F164" s="179"/>
      <c r="G164" s="179"/>
      <c r="H164" s="179"/>
      <c r="I164" s="179"/>
      <c r="J164" s="179"/>
      <c r="K164" s="179"/>
      <c r="L164" s="179"/>
      <c r="M164" s="179"/>
      <c r="O164" s="199" t="s">
        <v>2694</v>
      </c>
      <c r="P164" s="1593" t="s">
        <v>4104</v>
      </c>
      <c r="Q164" s="210"/>
    </row>
    <row r="165" spans="1:32" ht="12" customHeight="1">
      <c r="B165" s="174" t="s">
        <v>2697</v>
      </c>
      <c r="C165" s="179" t="s">
        <v>3476</v>
      </c>
      <c r="D165" s="179"/>
      <c r="E165" s="179"/>
      <c r="F165" s="179"/>
      <c r="G165" s="179"/>
      <c r="H165" s="179"/>
      <c r="I165" s="179"/>
      <c r="J165" s="179"/>
      <c r="K165" s="179"/>
      <c r="L165" s="179"/>
      <c r="M165" s="179"/>
      <c r="O165" s="199" t="s">
        <v>2697</v>
      </c>
      <c r="P165" s="1593" t="s">
        <v>4104</v>
      </c>
      <c r="Q165" s="210"/>
    </row>
    <row r="166" spans="1:32" ht="12" customHeight="1">
      <c r="B166" s="174" t="s">
        <v>1054</v>
      </c>
      <c r="C166" s="179" t="s">
        <v>3477</v>
      </c>
      <c r="D166" s="179"/>
      <c r="E166" s="179"/>
      <c r="F166" s="179"/>
      <c r="G166" s="179"/>
      <c r="H166" s="179"/>
      <c r="I166" s="179"/>
      <c r="J166" s="179"/>
      <c r="K166" s="179"/>
      <c r="L166" s="179"/>
      <c r="M166" s="179"/>
      <c r="O166" s="199" t="s">
        <v>1054</v>
      </c>
      <c r="P166" s="1593" t="s">
        <v>4104</v>
      </c>
      <c r="Q166" s="210"/>
    </row>
    <row r="167" spans="1:32" ht="12" customHeight="1">
      <c r="B167" s="174"/>
      <c r="C167" s="179" t="s">
        <v>3465</v>
      </c>
      <c r="D167" s="179"/>
      <c r="E167" s="608" t="s">
        <v>2430</v>
      </c>
      <c r="F167" s="179" t="s">
        <v>3478</v>
      </c>
      <c r="G167" s="179"/>
      <c r="H167" s="179"/>
      <c r="I167" s="179"/>
      <c r="J167" s="179"/>
      <c r="K167" s="179"/>
      <c r="L167" s="179"/>
      <c r="M167" s="179"/>
      <c r="O167" s="608" t="s">
        <v>2430</v>
      </c>
      <c r="P167" s="1593" t="s">
        <v>4104</v>
      </c>
      <c r="Q167" s="210"/>
    </row>
    <row r="168" spans="1:32" ht="12" customHeight="1">
      <c r="B168" s="174"/>
      <c r="C168" s="179"/>
      <c r="D168" s="179"/>
      <c r="E168" s="608" t="s">
        <v>2431</v>
      </c>
      <c r="F168" s="179" t="s">
        <v>3479</v>
      </c>
      <c r="G168" s="179"/>
      <c r="H168" s="179"/>
      <c r="I168" s="179"/>
      <c r="J168" s="179"/>
      <c r="K168" s="179"/>
      <c r="L168" s="179"/>
      <c r="M168" s="179"/>
      <c r="O168" s="608" t="s">
        <v>2431</v>
      </c>
      <c r="P168" s="1593" t="s">
        <v>4104</v>
      </c>
      <c r="Q168" s="210"/>
    </row>
    <row r="169" spans="1:32" s="164" customFormat="1" ht="21.75" customHeight="1">
      <c r="B169" s="174"/>
      <c r="C169" s="179"/>
      <c r="D169" s="179"/>
      <c r="E169" s="199" t="s">
        <v>2432</v>
      </c>
      <c r="F169" s="1044" t="s">
        <v>3480</v>
      </c>
      <c r="G169" s="1044"/>
      <c r="H169" s="1044"/>
      <c r="I169" s="1044"/>
      <c r="J169" s="1044"/>
      <c r="K169" s="1044"/>
      <c r="L169" s="1044"/>
      <c r="M169" s="1044"/>
      <c r="N169" s="1044"/>
      <c r="O169" s="199" t="s">
        <v>2432</v>
      </c>
      <c r="P169" s="1643" t="s">
        <v>4104</v>
      </c>
      <c r="Q169" s="323"/>
      <c r="AE169" s="657"/>
      <c r="AF169" s="657"/>
    </row>
    <row r="170" spans="1:32" ht="12" customHeight="1">
      <c r="B170" s="174"/>
      <c r="C170" s="179"/>
      <c r="D170" s="179"/>
      <c r="E170" s="608" t="s">
        <v>3120</v>
      </c>
      <c r="F170" s="179" t="s">
        <v>3481</v>
      </c>
      <c r="G170" s="179"/>
      <c r="H170" s="179"/>
      <c r="I170" s="179"/>
      <c r="J170" s="179"/>
      <c r="K170" s="179"/>
      <c r="L170" s="179"/>
      <c r="M170" s="179"/>
      <c r="O170" s="608" t="s">
        <v>3120</v>
      </c>
      <c r="P170" s="1593" t="s">
        <v>4104</v>
      </c>
      <c r="Q170" s="210"/>
    </row>
    <row r="171" spans="1:32" s="164" customFormat="1" ht="21.75" customHeight="1">
      <c r="B171" s="174"/>
      <c r="C171" s="179"/>
      <c r="D171" s="179"/>
      <c r="E171" s="199" t="s">
        <v>2009</v>
      </c>
      <c r="F171" s="1044" t="s">
        <v>3482</v>
      </c>
      <c r="G171" s="1044"/>
      <c r="H171" s="1044"/>
      <c r="I171" s="1044"/>
      <c r="J171" s="1044"/>
      <c r="K171" s="1044"/>
      <c r="L171" s="1044"/>
      <c r="M171" s="1044"/>
      <c r="N171" s="1044"/>
      <c r="O171" s="199" t="s">
        <v>2009</v>
      </c>
      <c r="P171" s="1643" t="s">
        <v>4104</v>
      </c>
      <c r="Q171" s="323"/>
      <c r="AE171" s="657"/>
      <c r="AF171" s="657"/>
    </row>
    <row r="172" spans="1:32" ht="21.75" customHeight="1">
      <c r="B172" s="174" t="s">
        <v>2830</v>
      </c>
      <c r="C172" s="1044" t="s">
        <v>3483</v>
      </c>
      <c r="D172" s="1044"/>
      <c r="E172" s="1044"/>
      <c r="F172" s="1044"/>
      <c r="G172" s="1044"/>
      <c r="H172" s="1044"/>
      <c r="I172" s="1044"/>
      <c r="J172" s="1044"/>
      <c r="K172" s="1044"/>
      <c r="L172" s="1044"/>
      <c r="M172" s="1044"/>
      <c r="N172" s="1044"/>
      <c r="O172" s="199" t="s">
        <v>2830</v>
      </c>
      <c r="P172" s="1593" t="s">
        <v>4104</v>
      </c>
      <c r="Q172" s="210"/>
    </row>
    <row r="173" spans="1:32" ht="12" customHeight="1">
      <c r="B173" s="174" t="s">
        <v>2428</v>
      </c>
      <c r="C173" s="179" t="s">
        <v>3136</v>
      </c>
      <c r="D173" s="179"/>
      <c r="E173" s="179"/>
      <c r="F173" s="179"/>
      <c r="G173" s="179"/>
      <c r="H173" s="179"/>
      <c r="I173" s="179"/>
      <c r="J173" s="179"/>
      <c r="K173" s="179"/>
      <c r="L173" s="179"/>
      <c r="M173" s="179"/>
      <c r="O173" s="199" t="s">
        <v>2428</v>
      </c>
      <c r="P173" s="1593" t="s">
        <v>4104</v>
      </c>
      <c r="Q173" s="210"/>
    </row>
    <row r="174" spans="1:32" ht="12" customHeight="1">
      <c r="B174" s="173" t="s">
        <v>2570</v>
      </c>
      <c r="D174" s="173"/>
      <c r="E174" s="173"/>
      <c r="F174" s="173"/>
      <c r="G174" s="173"/>
      <c r="H174" s="812"/>
      <c r="I174" s="162"/>
      <c r="J174" s="162"/>
      <c r="K174" s="162"/>
      <c r="L174" s="801"/>
      <c r="M174" s="801"/>
      <c r="N174" s="801"/>
      <c r="O174" s="801"/>
      <c r="P174" s="801"/>
      <c r="Q174" s="59"/>
    </row>
    <row r="175" spans="1:32" ht="11.45" customHeight="1">
      <c r="A175" s="1597" t="s">
        <v>4196</v>
      </c>
      <c r="B175" s="1598"/>
      <c r="C175" s="1598"/>
      <c r="D175" s="1598"/>
      <c r="E175" s="1598"/>
      <c r="F175" s="1598"/>
      <c r="G175" s="1598"/>
      <c r="H175" s="1598"/>
      <c r="I175" s="1598"/>
      <c r="J175" s="1598"/>
      <c r="K175" s="1598"/>
      <c r="L175" s="1598"/>
      <c r="M175" s="1598"/>
      <c r="N175" s="1598"/>
      <c r="O175" s="1598"/>
      <c r="P175" s="1598"/>
      <c r="Q175" s="1599"/>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047"/>
      <c r="B177" s="1048"/>
      <c r="C177" s="1048"/>
      <c r="D177" s="1048"/>
      <c r="E177" s="1048"/>
      <c r="F177" s="1048"/>
      <c r="G177" s="1048"/>
      <c r="H177" s="1048"/>
      <c r="I177" s="1048"/>
      <c r="J177" s="1048"/>
      <c r="K177" s="1048"/>
      <c r="L177" s="1048"/>
      <c r="M177" s="1048"/>
      <c r="N177" s="1048"/>
      <c r="O177" s="1048"/>
      <c r="P177" s="1048"/>
      <c r="Q177" s="1049"/>
    </row>
    <row r="178" spans="1:31" ht="3" customHeight="1">
      <c r="A178" s="801"/>
      <c r="B178" s="162"/>
      <c r="C178" s="808"/>
      <c r="D178" s="808"/>
      <c r="E178" s="808"/>
      <c r="F178" s="808"/>
      <c r="G178" s="808"/>
      <c r="H178" s="808"/>
      <c r="I178" s="808"/>
      <c r="J178" s="808"/>
      <c r="K178" s="808"/>
      <c r="L178" s="808"/>
      <c r="M178" s="808"/>
      <c r="N178" s="808"/>
      <c r="O178" s="808"/>
      <c r="P178" s="808"/>
      <c r="Q178" s="801"/>
    </row>
    <row r="179" spans="1:31" ht="13.9" customHeight="1">
      <c r="A179" s="810">
        <v>11</v>
      </c>
      <c r="B179" s="810" t="s">
        <v>3494</v>
      </c>
      <c r="C179" s="810"/>
      <c r="D179" s="808"/>
      <c r="E179" s="180"/>
      <c r="F179" s="180"/>
      <c r="G179" s="808"/>
      <c r="J179" s="607"/>
      <c r="K179" s="750"/>
      <c r="L179" s="750"/>
      <c r="M179" s="750"/>
      <c r="N179" s="750"/>
      <c r="O179" s="163" t="s">
        <v>2572</v>
      </c>
      <c r="P179" s="1050"/>
      <c r="Q179" s="1053"/>
    </row>
    <row r="180" spans="1:31" ht="12" customHeight="1">
      <c r="A180" s="171"/>
      <c r="B180" s="54" t="s">
        <v>2694</v>
      </c>
      <c r="C180" s="1044" t="s">
        <v>103</v>
      </c>
      <c r="D180" s="1044"/>
      <c r="E180" s="1044"/>
      <c r="F180" s="1044"/>
      <c r="G180" s="1044"/>
      <c r="H180" s="78" t="s">
        <v>2430</v>
      </c>
      <c r="I180" s="61" t="s">
        <v>166</v>
      </c>
      <c r="K180" s="1621"/>
      <c r="L180" s="1622"/>
      <c r="M180" s="1622"/>
      <c r="N180" s="1623"/>
      <c r="O180" s="78" t="s">
        <v>2430</v>
      </c>
      <c r="P180" s="1593"/>
      <c r="Q180" s="210"/>
    </row>
    <row r="181" spans="1:31" ht="12" customHeight="1">
      <c r="A181" s="171"/>
      <c r="B181" s="162"/>
      <c r="C181" s="125"/>
      <c r="D181" s="125"/>
      <c r="E181" s="125"/>
      <c r="F181" s="125"/>
      <c r="H181" s="78" t="s">
        <v>2431</v>
      </c>
      <c r="I181" s="61" t="s">
        <v>2060</v>
      </c>
      <c r="K181" s="1627" t="s">
        <v>4126</v>
      </c>
      <c r="L181" s="1628"/>
      <c r="M181" s="1628"/>
      <c r="N181" s="1629"/>
      <c r="O181" s="78" t="s">
        <v>2431</v>
      </c>
      <c r="P181" s="1593" t="s">
        <v>4104</v>
      </c>
      <c r="Q181" s="210"/>
    </row>
    <row r="182" spans="1:31" ht="12" customHeight="1">
      <c r="B182" s="173" t="s">
        <v>2570</v>
      </c>
      <c r="D182" s="173"/>
      <c r="E182" s="173"/>
      <c r="F182" s="173"/>
      <c r="G182" s="173"/>
      <c r="J182" s="162"/>
      <c r="K182" s="162"/>
      <c r="L182" s="801"/>
      <c r="M182" s="801"/>
      <c r="N182" s="801"/>
      <c r="O182" s="801"/>
      <c r="P182" s="801"/>
      <c r="Q182" s="59"/>
    </row>
    <row r="183" spans="1:31" ht="11.45" customHeight="1">
      <c r="A183" s="1597" t="s">
        <v>4180</v>
      </c>
      <c r="B183" s="1598"/>
      <c r="C183" s="1598"/>
      <c r="D183" s="1598"/>
      <c r="E183" s="1598"/>
      <c r="F183" s="1598"/>
      <c r="G183" s="1598"/>
      <c r="H183" s="1598"/>
      <c r="I183" s="1598"/>
      <c r="J183" s="1598"/>
      <c r="K183" s="1598"/>
      <c r="L183" s="1598"/>
      <c r="M183" s="1598"/>
      <c r="N183" s="1598"/>
      <c r="O183" s="1598"/>
      <c r="P183" s="1598"/>
      <c r="Q183" s="1599"/>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047"/>
      <c r="B185" s="1048"/>
      <c r="C185" s="1048"/>
      <c r="D185" s="1048"/>
      <c r="E185" s="1048"/>
      <c r="F185" s="1048"/>
      <c r="G185" s="1048"/>
      <c r="H185" s="1048"/>
      <c r="I185" s="1048"/>
      <c r="J185" s="1048"/>
      <c r="K185" s="1048"/>
      <c r="L185" s="1048"/>
      <c r="M185" s="1048"/>
      <c r="N185" s="1048"/>
      <c r="O185" s="1048"/>
      <c r="P185" s="1048"/>
      <c r="Q185" s="1049"/>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3495</v>
      </c>
      <c r="C187" s="5"/>
      <c r="D187" s="104"/>
      <c r="E187" s="104"/>
      <c r="F187" s="104"/>
      <c r="G187" s="808"/>
      <c r="H187" s="808"/>
      <c r="I187" s="808"/>
      <c r="J187" s="808"/>
      <c r="K187" s="808"/>
      <c r="L187" s="808"/>
      <c r="M187" s="808"/>
      <c r="O187" s="163" t="s">
        <v>2572</v>
      </c>
      <c r="P187" s="1050"/>
      <c r="Q187" s="1053"/>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593" t="s">
        <v>4103</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3" t="s">
        <v>4103</v>
      </c>
      <c r="Q190" s="210"/>
    </row>
    <row r="191" spans="1:31" ht="11.45" customHeight="1">
      <c r="A191" s="171"/>
      <c r="B191" s="174" t="s">
        <v>2697</v>
      </c>
      <c r="C191" s="1044" t="s">
        <v>2553</v>
      </c>
      <c r="D191" s="1044"/>
      <c r="E191" s="1044"/>
      <c r="F191" s="1044"/>
      <c r="G191" s="1044"/>
      <c r="H191" s="78" t="s">
        <v>2430</v>
      </c>
      <c r="I191" s="61" t="s">
        <v>815</v>
      </c>
      <c r="K191" s="1621" t="s">
        <v>4126</v>
      </c>
      <c r="L191" s="1622"/>
      <c r="M191" s="1622"/>
      <c r="N191" s="1623"/>
      <c r="O191" s="78" t="s">
        <v>1891</v>
      </c>
      <c r="P191" s="1593" t="s">
        <v>4104</v>
      </c>
      <c r="Q191" s="210"/>
    </row>
    <row r="192" spans="1:31" ht="11.45" customHeight="1">
      <c r="A192" s="171"/>
      <c r="B192" s="813"/>
      <c r="C192" s="1044"/>
      <c r="D192" s="1044"/>
      <c r="E192" s="1044"/>
      <c r="F192" s="1044"/>
      <c r="G192" s="1044"/>
      <c r="H192" s="78" t="s">
        <v>2431</v>
      </c>
      <c r="I192" s="61" t="s">
        <v>122</v>
      </c>
      <c r="K192" s="1627" t="s">
        <v>4126</v>
      </c>
      <c r="L192" s="1628"/>
      <c r="M192" s="1628"/>
      <c r="N192" s="1629"/>
      <c r="O192" s="78" t="s">
        <v>2431</v>
      </c>
      <c r="P192" s="1593" t="s">
        <v>4104</v>
      </c>
      <c r="Q192" s="210"/>
    </row>
    <row r="193" spans="1:32" ht="11.25" customHeight="1">
      <c r="B193" s="173" t="s">
        <v>2570</v>
      </c>
      <c r="D193" s="173"/>
      <c r="E193" s="173"/>
      <c r="F193" s="173"/>
      <c r="G193" s="173"/>
      <c r="H193" s="812"/>
      <c r="I193" s="162"/>
      <c r="J193" s="162"/>
      <c r="K193" s="162"/>
      <c r="L193" s="801"/>
      <c r="M193" s="801"/>
      <c r="N193" s="801"/>
      <c r="O193" s="801"/>
      <c r="P193" s="801"/>
      <c r="Q193" s="59"/>
    </row>
    <row r="194" spans="1:32" ht="11.45" customHeight="1">
      <c r="A194" s="1597" t="s">
        <v>4159</v>
      </c>
      <c r="B194" s="1598"/>
      <c r="C194" s="1598"/>
      <c r="D194" s="1598"/>
      <c r="E194" s="1598"/>
      <c r="F194" s="1598"/>
      <c r="G194" s="1598"/>
      <c r="H194" s="1598"/>
      <c r="I194" s="1598"/>
      <c r="J194" s="1598"/>
      <c r="K194" s="1598"/>
      <c r="L194" s="1598"/>
      <c r="M194" s="1598"/>
      <c r="N194" s="1598"/>
      <c r="O194" s="1598"/>
      <c r="P194" s="1598"/>
      <c r="Q194" s="1599"/>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047"/>
      <c r="B196" s="1048"/>
      <c r="C196" s="1048"/>
      <c r="D196" s="1048"/>
      <c r="E196" s="1048"/>
      <c r="F196" s="1048"/>
      <c r="G196" s="1048"/>
      <c r="H196" s="1048"/>
      <c r="I196" s="1048"/>
      <c r="J196" s="1048"/>
      <c r="K196" s="1048"/>
      <c r="L196" s="1048"/>
      <c r="M196" s="1048"/>
      <c r="N196" s="1048"/>
      <c r="O196" s="1048"/>
      <c r="P196" s="1048"/>
      <c r="Q196" s="1049"/>
    </row>
    <row r="197" spans="1:32" ht="3" customHeight="1">
      <c r="A197" s="801"/>
      <c r="B197" s="162"/>
      <c r="C197" s="808"/>
      <c r="D197" s="808"/>
      <c r="E197" s="808"/>
      <c r="F197" s="808"/>
      <c r="G197" s="808"/>
      <c r="H197" s="808"/>
      <c r="I197" s="808"/>
      <c r="J197" s="808"/>
      <c r="K197" s="808"/>
      <c r="L197" s="808"/>
      <c r="M197" s="808"/>
      <c r="Q197" s="801"/>
    </row>
    <row r="198" spans="1:32" ht="13.9" customHeight="1">
      <c r="A198" s="810">
        <v>13</v>
      </c>
      <c r="B198" s="5" t="s">
        <v>3496</v>
      </c>
      <c r="C198" s="5"/>
      <c r="D198" s="104"/>
      <c r="E198" s="104"/>
      <c r="F198" s="104"/>
      <c r="G198" s="104"/>
      <c r="H198" s="808"/>
      <c r="I198" s="808"/>
      <c r="J198" s="808"/>
      <c r="K198" s="808"/>
      <c r="L198" s="808"/>
      <c r="M198" s="808"/>
      <c r="O198" s="163" t="s">
        <v>2572</v>
      </c>
      <c r="P198" s="1050"/>
      <c r="Q198" s="1053"/>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593" t="s">
        <v>4104</v>
      </c>
      <c r="Q200" s="210"/>
    </row>
    <row r="201" spans="1:32" ht="11.45" customHeight="1">
      <c r="B201" s="54" t="s">
        <v>2697</v>
      </c>
      <c r="C201" s="61" t="s">
        <v>156</v>
      </c>
      <c r="D201" s="61"/>
      <c r="E201" s="61"/>
      <c r="F201" s="61"/>
      <c r="G201" s="61"/>
      <c r="H201" s="61"/>
      <c r="I201" s="49"/>
      <c r="J201" s="49"/>
      <c r="K201" s="49"/>
      <c r="L201" s="172"/>
      <c r="M201" s="172"/>
      <c r="O201" s="199" t="s">
        <v>2697</v>
      </c>
      <c r="P201" s="1593" t="s">
        <v>4104</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3" t="s">
        <v>4104</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593" t="s">
        <v>4104</v>
      </c>
      <c r="Q203" s="210"/>
      <c r="AE203" s="658"/>
      <c r="AF203" s="658"/>
    </row>
    <row r="204" spans="1:32" ht="11.25" customHeight="1">
      <c r="B204" s="173" t="s">
        <v>2570</v>
      </c>
      <c r="D204" s="173"/>
      <c r="E204" s="173"/>
      <c r="F204" s="173"/>
      <c r="G204" s="173"/>
      <c r="H204" s="812"/>
      <c r="I204" s="162"/>
      <c r="J204" s="162"/>
      <c r="K204" s="162"/>
      <c r="L204" s="801"/>
      <c r="M204" s="801"/>
      <c r="N204" s="801"/>
      <c r="O204" s="801"/>
      <c r="P204" s="801"/>
      <c r="Q204" s="59"/>
    </row>
    <row r="205" spans="1:32" ht="13.15" customHeight="1">
      <c r="A205" s="1597" t="s">
        <v>4197</v>
      </c>
      <c r="B205" s="1598"/>
      <c r="C205" s="1598"/>
      <c r="D205" s="1598"/>
      <c r="E205" s="1598"/>
      <c r="F205" s="1598"/>
      <c r="G205" s="1598"/>
      <c r="H205" s="1598"/>
      <c r="I205" s="1598"/>
      <c r="J205" s="1598"/>
      <c r="K205" s="1598"/>
      <c r="L205" s="1598"/>
      <c r="M205" s="1598"/>
      <c r="N205" s="1598"/>
      <c r="O205" s="1598"/>
      <c r="P205" s="1598"/>
      <c r="Q205" s="1599"/>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047"/>
      <c r="B208" s="1048"/>
      <c r="C208" s="1048"/>
      <c r="D208" s="1048"/>
      <c r="E208" s="1048"/>
      <c r="F208" s="1048"/>
      <c r="G208" s="1048"/>
      <c r="H208" s="1048"/>
      <c r="I208" s="1048"/>
      <c r="J208" s="1048"/>
      <c r="K208" s="1048"/>
      <c r="L208" s="1048"/>
      <c r="M208" s="1048"/>
      <c r="N208" s="1048"/>
      <c r="O208" s="1048"/>
      <c r="P208" s="1048"/>
      <c r="Q208" s="1049"/>
    </row>
    <row r="209" spans="1:32" ht="3" customHeight="1">
      <c r="A209" s="801"/>
      <c r="B209" s="162"/>
      <c r="C209" s="808"/>
      <c r="D209" s="808"/>
      <c r="E209" s="808"/>
      <c r="F209" s="808"/>
      <c r="G209" s="808"/>
      <c r="H209" s="808"/>
      <c r="I209" s="808"/>
      <c r="J209" s="808"/>
      <c r="K209" s="808"/>
      <c r="L209" s="808"/>
      <c r="M209" s="808"/>
      <c r="Q209" s="801"/>
    </row>
    <row r="210" spans="1:32" ht="13.9" customHeight="1">
      <c r="A210" s="810">
        <v>14</v>
      </c>
      <c r="B210" s="810" t="s">
        <v>3497</v>
      </c>
      <c r="C210" s="136"/>
      <c r="D210" s="808"/>
      <c r="E210" s="808"/>
      <c r="F210" s="808"/>
      <c r="G210" s="808"/>
      <c r="H210" s="808"/>
      <c r="I210" s="808"/>
      <c r="J210" s="808"/>
      <c r="K210" s="808"/>
      <c r="L210" s="808"/>
      <c r="M210" s="808"/>
      <c r="O210" s="163" t="s">
        <v>2572</v>
      </c>
      <c r="P210" s="1050"/>
      <c r="Q210" s="1053"/>
    </row>
    <row r="211" spans="1:32" s="31" customFormat="1" ht="11.45" customHeight="1">
      <c r="B211" s="177" t="s">
        <v>1608</v>
      </c>
      <c r="N211" s="148"/>
      <c r="P211" s="1593" t="s">
        <v>4103</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58" t="s">
        <v>699</v>
      </c>
      <c r="M213" s="1660"/>
      <c r="Q213" s="210"/>
    </row>
    <row r="214" spans="1:32" ht="11.45" customHeight="1">
      <c r="B214" s="54"/>
      <c r="C214" s="78" t="s">
        <v>2431</v>
      </c>
      <c r="D214" s="38" t="s">
        <v>3673</v>
      </c>
      <c r="E214" s="38"/>
      <c r="F214" s="38"/>
      <c r="G214" s="38"/>
      <c r="H214" s="38"/>
      <c r="I214" s="49"/>
      <c r="K214" s="78" t="s">
        <v>1939</v>
      </c>
      <c r="L214" s="1661" t="s">
        <v>4149</v>
      </c>
      <c r="M214" s="1662"/>
      <c r="N214" s="1663" t="s">
        <v>3674</v>
      </c>
      <c r="O214" s="1664"/>
      <c r="P214" s="1665"/>
      <c r="Q214" s="210"/>
    </row>
    <row r="215" spans="1:32" ht="11.45" customHeight="1">
      <c r="B215" s="54"/>
      <c r="C215" s="78" t="s">
        <v>2432</v>
      </c>
      <c r="D215" s="38" t="s">
        <v>726</v>
      </c>
      <c r="E215" s="38"/>
      <c r="F215" s="38"/>
      <c r="G215" s="38"/>
      <c r="H215" s="38"/>
      <c r="I215" s="49"/>
      <c r="K215" s="78" t="s">
        <v>1940</v>
      </c>
      <c r="L215" s="1658" t="s">
        <v>4150</v>
      </c>
      <c r="M215" s="1659"/>
      <c r="N215" s="1666"/>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3295</v>
      </c>
      <c r="D217" s="61"/>
      <c r="E217" s="61"/>
      <c r="F217" s="61"/>
      <c r="G217" s="61"/>
      <c r="H217" s="61"/>
      <c r="I217" s="61"/>
      <c r="J217" s="61"/>
      <c r="K217" s="49"/>
      <c r="L217" s="49"/>
      <c r="M217" s="49"/>
      <c r="N217" s="49"/>
      <c r="O217" s="654" t="s">
        <v>2697</v>
      </c>
      <c r="P217" s="1593" t="s">
        <v>4139</v>
      </c>
      <c r="Q217" s="210"/>
    </row>
    <row r="218" spans="1:32" ht="10.9" customHeight="1">
      <c r="B218" s="54"/>
      <c r="C218" s="61" t="s">
        <v>3294</v>
      </c>
      <c r="D218" s="61"/>
      <c r="E218" s="61"/>
      <c r="F218" s="61"/>
      <c r="G218" s="61"/>
      <c r="H218" s="61"/>
      <c r="I218" s="61"/>
      <c r="J218" s="61"/>
      <c r="K218" s="49"/>
      <c r="L218" s="49"/>
      <c r="M218" s="49"/>
      <c r="N218" s="49"/>
      <c r="O218" s="49"/>
      <c r="P218" s="1115" t="s">
        <v>3</v>
      </c>
      <c r="Q218" s="1115"/>
    </row>
    <row r="219" spans="1:32" ht="10.9" customHeight="1">
      <c r="B219" s="54"/>
      <c r="D219" s="61" t="s">
        <v>2</v>
      </c>
      <c r="E219" s="61"/>
      <c r="F219" s="61"/>
      <c r="G219" s="61"/>
      <c r="I219" s="381" t="s">
        <v>1162</v>
      </c>
      <c r="J219" s="382" t="s">
        <v>1163</v>
      </c>
      <c r="L219" s="61" t="s">
        <v>3675</v>
      </c>
      <c r="M219" s="49"/>
      <c r="N219" s="49"/>
      <c r="O219" s="381"/>
      <c r="P219" s="383" t="s">
        <v>1162</v>
      </c>
      <c r="Q219" s="382" t="s">
        <v>1163</v>
      </c>
    </row>
    <row r="220" spans="1:32" s="50" customFormat="1" ht="11.45" customHeight="1">
      <c r="A220" s="115"/>
      <c r="B220" s="60"/>
      <c r="C220" s="78" t="s">
        <v>2430</v>
      </c>
      <c r="D220" s="1667" t="s">
        <v>2820</v>
      </c>
      <c r="E220" s="1668"/>
      <c r="F220" s="1668"/>
      <c r="G220" s="1668"/>
      <c r="H220" s="1669"/>
      <c r="I220" s="384"/>
      <c r="J220" s="267"/>
      <c r="K220" s="78" t="s">
        <v>2432</v>
      </c>
      <c r="L220" s="1667"/>
      <c r="M220" s="1668"/>
      <c r="N220" s="1668"/>
      <c r="O220" s="1669"/>
      <c r="P220" s="324"/>
      <c r="Q220" s="267"/>
      <c r="AE220" s="63"/>
      <c r="AF220" s="63"/>
    </row>
    <row r="221" spans="1:32" s="50" customFormat="1" ht="11.45" customHeight="1">
      <c r="A221" s="115"/>
      <c r="B221" s="60"/>
      <c r="C221" s="78" t="s">
        <v>2431</v>
      </c>
      <c r="D221" s="1670" t="s">
        <v>4151</v>
      </c>
      <c r="E221" s="1671"/>
      <c r="F221" s="1671"/>
      <c r="G221" s="1671"/>
      <c r="H221" s="1672"/>
      <c r="I221" s="541"/>
      <c r="J221" s="268"/>
      <c r="K221" s="78" t="s">
        <v>3120</v>
      </c>
      <c r="L221" s="1670"/>
      <c r="M221" s="1671"/>
      <c r="N221" s="1671"/>
      <c r="O221" s="1672"/>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3" t="s">
        <v>4139</v>
      </c>
      <c r="Q223" s="210"/>
    </row>
    <row r="224" spans="1:32" ht="11.45" customHeight="1">
      <c r="B224" s="54"/>
      <c r="C224" s="78" t="s">
        <v>2430</v>
      </c>
      <c r="D224" s="61" t="s">
        <v>167</v>
      </c>
      <c r="E224" s="61"/>
      <c r="F224" s="61"/>
      <c r="G224" s="61"/>
      <c r="H224" s="61"/>
      <c r="I224" s="49"/>
      <c r="J224" s="40"/>
      <c r="K224" s="49"/>
      <c r="L224" s="40"/>
      <c r="M224" s="40"/>
      <c r="O224" s="78" t="s">
        <v>2430</v>
      </c>
      <c r="P224" s="1593" t="s">
        <v>4104</v>
      </c>
      <c r="Q224" s="210"/>
    </row>
    <row r="225" spans="1:31" ht="11.45" customHeight="1">
      <c r="C225" s="78" t="s">
        <v>2431</v>
      </c>
      <c r="D225" s="38" t="s">
        <v>2341</v>
      </c>
      <c r="E225" s="38"/>
      <c r="F225" s="38"/>
      <c r="G225" s="38"/>
      <c r="H225" s="38"/>
      <c r="I225" s="49"/>
      <c r="J225" s="40"/>
      <c r="K225" s="49"/>
      <c r="L225" s="40"/>
      <c r="M225" s="40"/>
      <c r="O225" s="78" t="s">
        <v>2431</v>
      </c>
      <c r="P225" s="1593" t="s">
        <v>4104</v>
      </c>
      <c r="Q225" s="210"/>
    </row>
    <row r="226" spans="1:31" ht="11.45" customHeight="1">
      <c r="C226" s="78" t="s">
        <v>2432</v>
      </c>
      <c r="D226" s="38" t="s">
        <v>1963</v>
      </c>
      <c r="E226" s="38"/>
      <c r="F226" s="38"/>
      <c r="G226" s="38"/>
      <c r="H226" s="38"/>
      <c r="I226" s="49"/>
      <c r="J226" s="40"/>
      <c r="K226" s="49"/>
      <c r="L226" s="40"/>
      <c r="M226" s="40"/>
      <c r="O226" s="78" t="s">
        <v>2432</v>
      </c>
      <c r="P226" s="1593" t="s">
        <v>4104</v>
      </c>
      <c r="Q226" s="210"/>
    </row>
    <row r="227" spans="1:31" ht="11.45" customHeight="1">
      <c r="B227" s="54"/>
      <c r="C227" s="78" t="s">
        <v>3120</v>
      </c>
      <c r="D227" s="38" t="s">
        <v>168</v>
      </c>
      <c r="E227" s="38"/>
      <c r="F227" s="38"/>
      <c r="G227" s="38"/>
      <c r="H227" s="38"/>
      <c r="I227" s="49"/>
      <c r="J227" s="40"/>
      <c r="K227" s="49"/>
      <c r="L227" s="40"/>
      <c r="M227" s="40"/>
      <c r="O227" s="78" t="s">
        <v>3120</v>
      </c>
      <c r="P227" s="1593" t="s">
        <v>4104</v>
      </c>
      <c r="Q227" s="210"/>
    </row>
    <row r="228" spans="1:31" ht="11.45" customHeight="1">
      <c r="B228" s="54"/>
      <c r="C228" s="78" t="s">
        <v>2009</v>
      </c>
      <c r="D228" s="61" t="s">
        <v>1164</v>
      </c>
      <c r="E228" s="61"/>
      <c r="F228" s="61"/>
      <c r="G228" s="61"/>
      <c r="H228" s="61"/>
      <c r="I228" s="49"/>
      <c r="J228" s="40"/>
      <c r="K228" s="49"/>
      <c r="L228" s="40"/>
      <c r="M228" s="40"/>
      <c r="O228" s="78" t="s">
        <v>1165</v>
      </c>
      <c r="P228" s="1593" t="s">
        <v>4104</v>
      </c>
      <c r="Q228" s="210"/>
    </row>
    <row r="229" spans="1:31" ht="11.45" customHeight="1">
      <c r="B229" s="54"/>
      <c r="C229" s="78"/>
      <c r="D229" s="61" t="s">
        <v>1941</v>
      </c>
      <c r="E229" s="61"/>
      <c r="F229" s="61"/>
      <c r="G229" s="61"/>
      <c r="H229" s="61"/>
      <c r="I229" s="49"/>
      <c r="J229" s="40"/>
      <c r="K229" s="49"/>
      <c r="L229" s="40"/>
      <c r="M229" s="40"/>
      <c r="O229" s="78" t="s">
        <v>1166</v>
      </c>
      <c r="P229" s="1593" t="s">
        <v>4103</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3550</v>
      </c>
      <c r="D231" s="61"/>
      <c r="E231" s="61"/>
      <c r="F231" s="61"/>
      <c r="G231" s="61"/>
      <c r="H231" s="61"/>
      <c r="I231" s="61"/>
      <c r="J231" s="61"/>
      <c r="K231" s="49"/>
      <c r="L231" s="61"/>
      <c r="M231" s="61"/>
      <c r="O231" s="654" t="s">
        <v>2830</v>
      </c>
      <c r="P231" s="1593"/>
      <c r="Q231" s="210"/>
    </row>
    <row r="232" spans="1:31" ht="11.45" customHeight="1">
      <c r="B232" s="54"/>
      <c r="C232" s="78" t="s">
        <v>2430</v>
      </c>
      <c r="D232" s="47" t="s">
        <v>1678</v>
      </c>
      <c r="E232" s="49"/>
      <c r="F232" s="49"/>
      <c r="G232" s="47"/>
      <c r="H232" s="38"/>
      <c r="I232" s="49"/>
      <c r="J232" s="38"/>
      <c r="K232" s="49"/>
      <c r="L232" s="38"/>
      <c r="M232" s="38"/>
      <c r="O232" s="78" t="s">
        <v>2430</v>
      </c>
      <c r="P232" s="1593"/>
      <c r="Q232" s="210"/>
    </row>
    <row r="233" spans="1:31" ht="11.45" customHeight="1">
      <c r="B233" s="54"/>
      <c r="C233" s="78" t="s">
        <v>2431</v>
      </c>
      <c r="D233" s="47" t="s">
        <v>160</v>
      </c>
      <c r="E233" s="49"/>
      <c r="F233" s="49"/>
      <c r="G233" s="38"/>
      <c r="H233" s="38"/>
      <c r="I233" s="49"/>
      <c r="J233" s="38"/>
      <c r="K233" s="49"/>
      <c r="L233" s="38"/>
      <c r="M233" s="38"/>
      <c r="O233" s="78" t="s">
        <v>2431</v>
      </c>
      <c r="P233" s="1593"/>
      <c r="Q233" s="210"/>
    </row>
    <row r="234" spans="1:31" ht="11.45" customHeight="1">
      <c r="B234" s="54"/>
      <c r="C234" s="78" t="s">
        <v>2432</v>
      </c>
      <c r="D234" s="38" t="s">
        <v>2319</v>
      </c>
      <c r="E234" s="49"/>
      <c r="F234" s="49"/>
      <c r="G234" s="38"/>
      <c r="H234" s="38"/>
      <c r="I234" s="49"/>
      <c r="J234" s="38"/>
      <c r="K234" s="49"/>
      <c r="L234" s="38"/>
      <c r="M234" s="38"/>
      <c r="O234" s="78" t="s">
        <v>3126</v>
      </c>
      <c r="P234" s="1593"/>
      <c r="Q234" s="210"/>
    </row>
    <row r="235" spans="1:31" ht="11.45" customHeight="1">
      <c r="B235" s="44"/>
      <c r="C235" s="49"/>
      <c r="D235" s="38" t="s">
        <v>1719</v>
      </c>
      <c r="E235" s="49"/>
      <c r="F235" s="49"/>
      <c r="G235" s="38"/>
      <c r="H235" s="38"/>
      <c r="I235" s="49"/>
      <c r="J235" s="38"/>
      <c r="K235" s="49"/>
      <c r="L235" s="38"/>
      <c r="M235" s="38"/>
      <c r="O235" s="78" t="s">
        <v>3127</v>
      </c>
      <c r="P235" s="1593"/>
      <c r="Q235" s="210"/>
    </row>
    <row r="236" spans="1:31" ht="11.25" customHeight="1">
      <c r="B236" s="173" t="s">
        <v>2570</v>
      </c>
      <c r="D236" s="173"/>
      <c r="E236" s="173"/>
      <c r="F236" s="173"/>
      <c r="G236" s="173"/>
      <c r="H236" s="812"/>
      <c r="I236" s="162"/>
      <c r="J236" s="162"/>
      <c r="K236" s="162"/>
      <c r="L236" s="801"/>
      <c r="M236" s="801"/>
      <c r="N236" s="801"/>
      <c r="O236" s="801"/>
      <c r="P236" s="801"/>
      <c r="Q236" s="59"/>
    </row>
    <row r="237" spans="1:31" ht="11.45" customHeight="1">
      <c r="A237" s="1597" t="s">
        <v>4160</v>
      </c>
      <c r="B237" s="1598"/>
      <c r="C237" s="1598"/>
      <c r="D237" s="1598"/>
      <c r="E237" s="1598"/>
      <c r="F237" s="1598"/>
      <c r="G237" s="1598"/>
      <c r="H237" s="1598"/>
      <c r="I237" s="1598"/>
      <c r="J237" s="1598"/>
      <c r="K237" s="1598"/>
      <c r="L237" s="1598"/>
      <c r="M237" s="1598"/>
      <c r="N237" s="1598"/>
      <c r="O237" s="1598"/>
      <c r="P237" s="1598"/>
      <c r="Q237" s="1599"/>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047"/>
      <c r="B239" s="1048"/>
      <c r="C239" s="1048"/>
      <c r="D239" s="1048"/>
      <c r="E239" s="1048"/>
      <c r="F239" s="1048"/>
      <c r="G239" s="1048"/>
      <c r="H239" s="1048"/>
      <c r="I239" s="1048"/>
      <c r="J239" s="1048"/>
      <c r="K239" s="1048"/>
      <c r="L239" s="1048"/>
      <c r="M239" s="1048"/>
      <c r="N239" s="1048"/>
      <c r="O239" s="1048"/>
      <c r="P239" s="1048"/>
      <c r="Q239" s="1049"/>
    </row>
    <row r="240" spans="1:31" ht="3" customHeight="1">
      <c r="A240" s="801"/>
      <c r="B240" s="162"/>
      <c r="C240" s="808"/>
      <c r="D240" s="808"/>
      <c r="E240" s="808"/>
      <c r="F240" s="808"/>
      <c r="G240" s="808"/>
      <c r="H240" s="808"/>
      <c r="I240" s="808"/>
      <c r="J240" s="808"/>
      <c r="K240" s="808"/>
      <c r="L240" s="808"/>
      <c r="M240" s="808"/>
      <c r="Q240" s="801"/>
    </row>
    <row r="241" spans="1:32" ht="13.9" customHeight="1">
      <c r="A241" s="810">
        <v>15</v>
      </c>
      <c r="B241" s="5" t="s">
        <v>3498</v>
      </c>
      <c r="C241" s="5"/>
      <c r="D241" s="104"/>
      <c r="E241" s="104"/>
      <c r="F241" s="104"/>
      <c r="G241" s="104"/>
      <c r="H241" s="808"/>
      <c r="I241" s="808"/>
      <c r="J241" s="808"/>
      <c r="K241" s="808"/>
      <c r="L241" s="808"/>
      <c r="M241" s="808"/>
      <c r="O241" s="163" t="s">
        <v>2572</v>
      </c>
      <c r="P241" s="1050"/>
      <c r="Q241" s="1053"/>
    </row>
    <row r="242" spans="1:32" ht="4.9000000000000004" customHeight="1"/>
    <row r="243" spans="1:32" ht="11.45" customHeight="1">
      <c r="B243" s="54" t="s">
        <v>2694</v>
      </c>
      <c r="C243" s="61" t="s">
        <v>1693</v>
      </c>
      <c r="D243" s="49"/>
      <c r="E243" s="61"/>
      <c r="F243" s="61"/>
      <c r="G243" s="61"/>
      <c r="H243" s="61"/>
      <c r="I243" s="49"/>
      <c r="J243" s="49"/>
      <c r="K243" s="49"/>
      <c r="L243" s="654" t="s">
        <v>2694</v>
      </c>
      <c r="M243" s="1644" t="s">
        <v>2466</v>
      </c>
      <c r="N243" s="1645"/>
      <c r="O243" s="1646"/>
      <c r="P243" s="1076" t="s">
        <v>2466</v>
      </c>
      <c r="Q243" s="1077"/>
    </row>
    <row r="244" spans="1:32" ht="11.45" customHeight="1">
      <c r="B244" s="54" t="s">
        <v>2697</v>
      </c>
      <c r="C244" s="61" t="s">
        <v>1666</v>
      </c>
      <c r="D244" s="61"/>
      <c r="E244" s="61"/>
      <c r="F244" s="61"/>
      <c r="G244" s="61"/>
      <c r="H244" s="61"/>
      <c r="I244" s="49"/>
      <c r="J244" s="49"/>
      <c r="K244" s="49"/>
      <c r="L244" s="654" t="s">
        <v>2697</v>
      </c>
      <c r="M244" s="1673"/>
      <c r="N244" s="1674"/>
      <c r="O244" s="1675"/>
      <c r="P244" s="1065"/>
      <c r="Q244" s="1066"/>
    </row>
    <row r="245" spans="1:32" s="181" customFormat="1" ht="11.45" customHeight="1">
      <c r="B245" s="54" t="s">
        <v>1054</v>
      </c>
      <c r="C245" s="61" t="s">
        <v>2655</v>
      </c>
      <c r="D245" s="61"/>
      <c r="E245" s="61"/>
      <c r="F245" s="61"/>
      <c r="G245" s="61"/>
      <c r="H245" s="61"/>
      <c r="I245" s="115"/>
      <c r="J245" s="115"/>
      <c r="K245" s="115"/>
      <c r="L245" s="654" t="s">
        <v>1054</v>
      </c>
      <c r="M245" s="1644"/>
      <c r="N245" s="1645"/>
      <c r="O245" s="1646"/>
      <c r="P245" s="1076"/>
      <c r="Q245" s="1077"/>
      <c r="AE245" s="658"/>
      <c r="AF245" s="658"/>
    </row>
    <row r="246" spans="1:32" s="181" customFormat="1" ht="11.45" customHeight="1">
      <c r="B246" s="54" t="s">
        <v>2830</v>
      </c>
      <c r="C246" s="61" t="s">
        <v>3341</v>
      </c>
      <c r="D246" s="61"/>
      <c r="E246" s="61"/>
      <c r="F246" s="61"/>
      <c r="G246" s="61"/>
      <c r="H246" s="61"/>
      <c r="I246" s="115"/>
      <c r="J246" s="115"/>
      <c r="K246" s="115"/>
      <c r="L246" s="115"/>
      <c r="M246" s="115"/>
      <c r="O246" s="654" t="s">
        <v>2830</v>
      </c>
      <c r="P246" s="1593"/>
      <c r="Q246" s="210"/>
      <c r="AE246" s="658"/>
      <c r="AF246" s="658"/>
    </row>
    <row r="247" spans="1:32" s="181" customFormat="1" ht="22.15" customHeight="1">
      <c r="B247" s="174" t="s">
        <v>2428</v>
      </c>
      <c r="C247" s="1044" t="s">
        <v>3761</v>
      </c>
      <c r="D247" s="1044"/>
      <c r="E247" s="1044"/>
      <c r="F247" s="1044"/>
      <c r="G247" s="1044"/>
      <c r="H247" s="1044"/>
      <c r="I247" s="1044"/>
      <c r="J247" s="1044"/>
      <c r="K247" s="1044"/>
      <c r="L247" s="1044"/>
      <c r="M247" s="1044"/>
      <c r="N247" s="1044"/>
      <c r="O247" s="199" t="s">
        <v>2428</v>
      </c>
      <c r="P247" s="1593"/>
      <c r="Q247" s="210"/>
      <c r="AE247" s="658"/>
      <c r="AF247" s="658"/>
    </row>
    <row r="248" spans="1:32" ht="11.25" customHeight="1">
      <c r="B248" s="173" t="s">
        <v>2570</v>
      </c>
      <c r="D248" s="173"/>
      <c r="E248" s="173"/>
      <c r="F248" s="173"/>
      <c r="G248" s="173"/>
      <c r="H248" s="812"/>
      <c r="I248" s="162"/>
      <c r="J248" s="162"/>
      <c r="K248" s="162"/>
      <c r="L248" s="801"/>
      <c r="M248" s="801"/>
      <c r="N248" s="801"/>
      <c r="O248" s="801"/>
      <c r="P248" s="801"/>
      <c r="Q248" s="59"/>
    </row>
    <row r="249" spans="1:32" ht="13.15" customHeight="1">
      <c r="A249" s="1597"/>
      <c r="B249" s="1598"/>
      <c r="C249" s="1598"/>
      <c r="D249" s="1598"/>
      <c r="E249" s="1598"/>
      <c r="F249" s="1598"/>
      <c r="G249" s="1598"/>
      <c r="H249" s="1598"/>
      <c r="I249" s="1598"/>
      <c r="J249" s="1598"/>
      <c r="K249" s="1598"/>
      <c r="L249" s="1598"/>
      <c r="M249" s="1598"/>
      <c r="N249" s="1598"/>
      <c r="O249" s="1598"/>
      <c r="P249" s="1598"/>
      <c r="Q249" s="1599"/>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047"/>
      <c r="B251" s="1048"/>
      <c r="C251" s="1048"/>
      <c r="D251" s="1048"/>
      <c r="E251" s="1048"/>
      <c r="F251" s="1048"/>
      <c r="G251" s="1048"/>
      <c r="H251" s="1048"/>
      <c r="I251" s="1048"/>
      <c r="J251" s="1048"/>
      <c r="K251" s="1048"/>
      <c r="L251" s="1048"/>
      <c r="M251" s="1048"/>
      <c r="N251" s="1048"/>
      <c r="O251" s="1048"/>
      <c r="P251" s="1048"/>
      <c r="Q251" s="1049"/>
    </row>
    <row r="252" spans="1:32" ht="3" customHeight="1">
      <c r="A252" s="801"/>
      <c r="B252" s="162"/>
      <c r="C252" s="808"/>
      <c r="D252" s="808"/>
      <c r="E252" s="808"/>
      <c r="F252" s="808"/>
      <c r="G252" s="808"/>
      <c r="H252" s="808"/>
      <c r="I252" s="808"/>
      <c r="J252" s="808"/>
      <c r="K252" s="808"/>
      <c r="L252" s="808"/>
      <c r="M252" s="808"/>
      <c r="Q252" s="801"/>
    </row>
    <row r="253" spans="1:32" ht="13.9" customHeight="1">
      <c r="A253" s="810">
        <v>16</v>
      </c>
      <c r="B253" s="5" t="s">
        <v>3499</v>
      </c>
      <c r="C253" s="5"/>
      <c r="D253" s="104"/>
      <c r="E253" s="104"/>
      <c r="F253" s="104"/>
      <c r="G253" s="104"/>
      <c r="H253" s="808"/>
      <c r="I253" s="808"/>
      <c r="J253" s="808"/>
      <c r="K253" s="808"/>
      <c r="L253" s="808"/>
      <c r="M253" s="808"/>
      <c r="O253" s="163" t="s">
        <v>2572</v>
      </c>
      <c r="P253" s="1050"/>
      <c r="Q253" s="1053"/>
    </row>
    <row r="254" spans="1:32" ht="3" customHeight="1"/>
    <row r="255" spans="1:32" s="550" customFormat="1" ht="11.25" customHeight="1">
      <c r="B255" s="174" t="s">
        <v>2694</v>
      </c>
      <c r="C255" s="1044" t="s">
        <v>3532</v>
      </c>
      <c r="D255" s="1044"/>
      <c r="E255" s="1044"/>
      <c r="F255" s="1044"/>
      <c r="G255" s="1044"/>
      <c r="H255" s="1044"/>
      <c r="I255" s="1044"/>
      <c r="J255" s="1044"/>
      <c r="K255" s="1044"/>
      <c r="L255" s="1044"/>
      <c r="M255" s="1044"/>
      <c r="N255" s="1044"/>
      <c r="O255" s="199" t="s">
        <v>2694</v>
      </c>
      <c r="P255" s="1643" t="s">
        <v>4104</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593" t="s">
        <v>4104</v>
      </c>
      <c r="Q256" s="210"/>
      <c r="AE256" s="658"/>
      <c r="AF256" s="658"/>
    </row>
    <row r="257" spans="1:32" ht="11.25" customHeight="1">
      <c r="B257" s="173" t="s">
        <v>2570</v>
      </c>
      <c r="D257" s="173"/>
      <c r="E257" s="173"/>
      <c r="F257" s="173"/>
      <c r="G257" s="173"/>
      <c r="H257" s="812"/>
      <c r="I257" s="162"/>
      <c r="J257" s="162"/>
      <c r="K257" s="162"/>
      <c r="L257" s="801"/>
      <c r="M257" s="801"/>
      <c r="N257" s="801"/>
      <c r="O257" s="801"/>
      <c r="P257" s="801"/>
      <c r="Q257" s="59"/>
    </row>
    <row r="258" spans="1:32" ht="13.15" customHeight="1">
      <c r="A258" s="1597" t="s">
        <v>4161</v>
      </c>
      <c r="B258" s="1598"/>
      <c r="C258" s="1598"/>
      <c r="D258" s="1598"/>
      <c r="E258" s="1598"/>
      <c r="F258" s="1598"/>
      <c r="G258" s="1598"/>
      <c r="H258" s="1598"/>
      <c r="I258" s="1598"/>
      <c r="J258" s="1598"/>
      <c r="K258" s="1598"/>
      <c r="L258" s="1598"/>
      <c r="M258" s="1598"/>
      <c r="N258" s="1598"/>
      <c r="O258" s="1598"/>
      <c r="P258" s="1598"/>
      <c r="Q258" s="1599"/>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047"/>
      <c r="B260" s="1048"/>
      <c r="C260" s="1048"/>
      <c r="D260" s="1048"/>
      <c r="E260" s="1048"/>
      <c r="F260" s="1048"/>
      <c r="G260" s="1048"/>
      <c r="H260" s="1048"/>
      <c r="I260" s="1048"/>
      <c r="J260" s="1048"/>
      <c r="K260" s="1048"/>
      <c r="L260" s="1048"/>
      <c r="M260" s="1048"/>
      <c r="N260" s="1048"/>
      <c r="O260" s="1048"/>
      <c r="P260" s="1048"/>
      <c r="Q260" s="1049"/>
    </row>
    <row r="261" spans="1:32" ht="3" customHeight="1">
      <c r="A261" s="801"/>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3500</v>
      </c>
      <c r="C262" s="810"/>
      <c r="D262" s="808"/>
      <c r="E262" s="808"/>
      <c r="F262" s="808"/>
      <c r="G262" s="808"/>
      <c r="H262" s="808"/>
      <c r="I262" s="808"/>
      <c r="J262" s="808"/>
      <c r="K262" s="808"/>
      <c r="L262" s="808"/>
      <c r="M262" s="808"/>
      <c r="O262" s="163" t="s">
        <v>2572</v>
      </c>
      <c r="P262" s="1050"/>
      <c r="Q262" s="1053"/>
    </row>
    <row r="263" spans="1:32" ht="3" customHeight="1"/>
    <row r="264" spans="1:32" s="550" customFormat="1" ht="24" customHeight="1">
      <c r="B264" s="174" t="s">
        <v>2694</v>
      </c>
      <c r="C264" s="1052" t="s">
        <v>3567</v>
      </c>
      <c r="D264" s="931"/>
      <c r="E264" s="931"/>
      <c r="F264" s="931"/>
      <c r="G264" s="931"/>
      <c r="H264" s="931"/>
      <c r="I264" s="931"/>
      <c r="J264" s="931"/>
      <c r="K264" s="931"/>
      <c r="L264" s="931"/>
      <c r="M264" s="931"/>
      <c r="N264" s="931"/>
      <c r="O264" s="199" t="s">
        <v>2694</v>
      </c>
      <c r="P264" s="1593" t="s">
        <v>4139</v>
      </c>
      <c r="Q264" s="210"/>
      <c r="AE264" s="659"/>
      <c r="AF264" s="659"/>
    </row>
    <row r="265" spans="1:32" s="550" customFormat="1" ht="24" customHeight="1">
      <c r="B265" s="174" t="s">
        <v>2697</v>
      </c>
      <c r="C265" s="1052" t="s">
        <v>3568</v>
      </c>
      <c r="D265" s="931"/>
      <c r="E265" s="931"/>
      <c r="F265" s="931"/>
      <c r="G265" s="931"/>
      <c r="H265" s="931"/>
      <c r="I265" s="931"/>
      <c r="J265" s="931"/>
      <c r="K265" s="931"/>
      <c r="L265" s="931"/>
      <c r="M265" s="931"/>
      <c r="N265" s="931"/>
      <c r="O265" s="199" t="s">
        <v>2697</v>
      </c>
      <c r="P265" s="1593" t="s">
        <v>4139</v>
      </c>
      <c r="Q265" s="210"/>
      <c r="AE265" s="659"/>
      <c r="AF265" s="659"/>
    </row>
    <row r="266" spans="1:32" ht="11.25" customHeight="1">
      <c r="B266" s="173" t="s">
        <v>2570</v>
      </c>
      <c r="D266" s="173"/>
      <c r="E266" s="173"/>
      <c r="F266" s="173"/>
      <c r="G266" s="173"/>
      <c r="H266" s="812"/>
      <c r="I266" s="162"/>
      <c r="J266" s="162"/>
      <c r="K266" s="162"/>
      <c r="L266" s="801"/>
      <c r="M266" s="801"/>
      <c r="N266" s="801"/>
      <c r="O266" s="801"/>
      <c r="P266" s="801"/>
      <c r="Q266" s="59"/>
    </row>
    <row r="267" spans="1:32" ht="13.15" customHeight="1">
      <c r="A267" s="1597" t="s">
        <v>4162</v>
      </c>
      <c r="B267" s="1598"/>
      <c r="C267" s="1598"/>
      <c r="D267" s="1598"/>
      <c r="E267" s="1598"/>
      <c r="F267" s="1598"/>
      <c r="G267" s="1598"/>
      <c r="H267" s="1598"/>
      <c r="I267" s="1598"/>
      <c r="J267" s="1598"/>
      <c r="K267" s="1598"/>
      <c r="L267" s="1598"/>
      <c r="M267" s="1598"/>
      <c r="N267" s="1598"/>
      <c r="O267" s="1598"/>
      <c r="P267" s="1598"/>
      <c r="Q267" s="1599"/>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047"/>
      <c r="B269" s="1048"/>
      <c r="C269" s="1048"/>
      <c r="D269" s="1048"/>
      <c r="E269" s="1048"/>
      <c r="F269" s="1048"/>
      <c r="G269" s="1048"/>
      <c r="H269" s="1048"/>
      <c r="I269" s="1048"/>
      <c r="J269" s="1048"/>
      <c r="K269" s="1048"/>
      <c r="L269" s="1048"/>
      <c r="M269" s="1048"/>
      <c r="N269" s="1048"/>
      <c r="O269" s="1048"/>
      <c r="P269" s="1048"/>
      <c r="Q269" s="1049"/>
    </row>
    <row r="270" spans="1:32" ht="5.45" customHeight="1">
      <c r="A270" s="801"/>
      <c r="B270" s="162"/>
      <c r="C270" s="808"/>
      <c r="D270" s="808"/>
      <c r="E270" s="808"/>
      <c r="F270" s="808"/>
      <c r="G270" s="808"/>
      <c r="H270" s="808"/>
      <c r="I270" s="808"/>
      <c r="J270" s="808"/>
      <c r="K270" s="808"/>
      <c r="L270" s="808"/>
      <c r="M270" s="808"/>
      <c r="Q270" s="801"/>
    </row>
    <row r="271" spans="1:32" ht="13.9" customHeight="1">
      <c r="A271" s="810">
        <v>18</v>
      </c>
      <c r="B271" s="810" t="s">
        <v>3501</v>
      </c>
      <c r="C271" s="182"/>
      <c r="D271" s="811"/>
      <c r="E271" s="808"/>
      <c r="F271" s="808"/>
      <c r="G271" s="808"/>
      <c r="H271" s="808"/>
      <c r="I271" s="808"/>
      <c r="J271" s="808"/>
      <c r="K271" s="808"/>
      <c r="L271" s="808"/>
      <c r="M271" s="808"/>
      <c r="O271" s="163" t="s">
        <v>2572</v>
      </c>
      <c r="P271" s="1050"/>
      <c r="Q271" s="1053"/>
    </row>
    <row r="272" spans="1:32" s="181" customFormat="1" ht="46.5" customHeight="1">
      <c r="B272" s="174" t="s">
        <v>2694</v>
      </c>
      <c r="C272" s="183" t="s">
        <v>2430</v>
      </c>
      <c r="D272" s="1052" t="s">
        <v>3676</v>
      </c>
      <c r="E272" s="1052"/>
      <c r="F272" s="1052"/>
      <c r="G272" s="1052"/>
      <c r="H272" s="1052"/>
      <c r="I272" s="1052"/>
      <c r="J272" s="1052"/>
      <c r="K272" s="1052"/>
      <c r="L272" s="1052"/>
      <c r="M272" s="1052"/>
      <c r="N272" s="1052"/>
      <c r="O272" s="199" t="s">
        <v>3679</v>
      </c>
      <c r="P272" s="1643" t="s">
        <v>4104</v>
      </c>
      <c r="Q272" s="210"/>
      <c r="AE272" s="658"/>
      <c r="AF272" s="658"/>
    </row>
    <row r="273" spans="1:256 1523:1523" s="115" customFormat="1" ht="12.75" customHeight="1">
      <c r="B273" s="54"/>
      <c r="C273" s="78" t="s">
        <v>2431</v>
      </c>
      <c r="D273" s="1114" t="s">
        <v>3634</v>
      </c>
      <c r="E273" s="1114"/>
      <c r="F273" s="1114"/>
      <c r="G273" s="1114"/>
      <c r="H273" s="1114"/>
      <c r="I273" s="1114"/>
      <c r="J273" s="1114"/>
      <c r="K273" s="1114"/>
      <c r="L273" s="1114"/>
      <c r="M273" s="1114"/>
      <c r="N273" s="1114"/>
      <c r="O273" s="78" t="s">
        <v>2431</v>
      </c>
      <c r="P273" s="1593" t="s">
        <v>4104</v>
      </c>
      <c r="Q273" s="210"/>
      <c r="AE273" s="660"/>
      <c r="AF273" s="660"/>
    </row>
    <row r="274" spans="1:256 1523:1523" s="115" customFormat="1" ht="22.5" customHeight="1">
      <c r="B274" s="174" t="s">
        <v>2697</v>
      </c>
      <c r="C274" s="183" t="s">
        <v>2430</v>
      </c>
      <c r="D274" s="1052" t="s">
        <v>3677</v>
      </c>
      <c r="E274" s="1052"/>
      <c r="F274" s="1052"/>
      <c r="G274" s="1052"/>
      <c r="H274" s="1052"/>
      <c r="I274" s="1052"/>
      <c r="J274" s="1052"/>
      <c r="K274" s="1052"/>
      <c r="L274" s="1052"/>
      <c r="M274" s="1052"/>
      <c r="N274" s="1052"/>
      <c r="O274" s="654" t="s">
        <v>3680</v>
      </c>
      <c r="P274" s="1593" t="s">
        <v>4104</v>
      </c>
      <c r="Q274" s="210"/>
      <c r="AE274" s="660"/>
      <c r="AF274" s="660"/>
    </row>
    <row r="275" spans="1:256 1523:1523" s="115" customFormat="1" ht="12" customHeight="1">
      <c r="B275" s="174"/>
      <c r="C275" s="183" t="s">
        <v>2431</v>
      </c>
      <c r="D275" s="1052" t="s">
        <v>3678</v>
      </c>
      <c r="E275" s="1052"/>
      <c r="F275" s="1052"/>
      <c r="G275" s="1052"/>
      <c r="H275" s="1052"/>
      <c r="I275" s="1052"/>
      <c r="J275" s="1052"/>
      <c r="K275" s="1052"/>
      <c r="L275" s="1052"/>
      <c r="M275" s="1052"/>
      <c r="N275" s="1052"/>
      <c r="O275" s="78" t="s">
        <v>2431</v>
      </c>
      <c r="P275" s="1676" t="s">
        <v>4104</v>
      </c>
      <c r="Q275" s="679"/>
      <c r="AE275" s="660"/>
      <c r="AF275" s="660"/>
    </row>
    <row r="276" spans="1:256 1523:1523" s="550" customFormat="1" ht="35.25" customHeight="1">
      <c r="B276" s="174" t="s">
        <v>1054</v>
      </c>
      <c r="C276" s="183"/>
      <c r="D276" s="1052" t="s">
        <v>3681</v>
      </c>
      <c r="E276" s="1052"/>
      <c r="F276" s="1052"/>
      <c r="G276" s="1052"/>
      <c r="H276" s="1052"/>
      <c r="I276" s="1052"/>
      <c r="J276" s="1052"/>
      <c r="K276" s="1052"/>
      <c r="L276" s="1052"/>
      <c r="M276" s="1052"/>
      <c r="N276" s="1052"/>
      <c r="O276" s="199" t="s">
        <v>1054</v>
      </c>
      <c r="P276" s="1643" t="s">
        <v>4104</v>
      </c>
      <c r="Q276" s="323"/>
      <c r="AE276" s="659"/>
      <c r="AF276" s="659"/>
    </row>
    <row r="277" spans="1:256 1523:1523" ht="11.25" customHeight="1">
      <c r="B277" s="173" t="s">
        <v>2570</v>
      </c>
      <c r="D277" s="173"/>
      <c r="E277" s="173"/>
      <c r="F277" s="173"/>
      <c r="G277" s="173"/>
      <c r="H277" s="812"/>
      <c r="I277" s="162"/>
      <c r="J277" s="162"/>
      <c r="K277" s="162"/>
      <c r="L277" s="801"/>
      <c r="M277" s="801"/>
      <c r="N277" s="801"/>
      <c r="O277" s="801"/>
      <c r="P277" s="801"/>
      <c r="Q277" s="59"/>
    </row>
    <row r="278" spans="1:256 1523:1523" ht="11.45" customHeight="1">
      <c r="A278" s="1597" t="s">
        <v>4163</v>
      </c>
      <c r="B278" s="1598"/>
      <c r="C278" s="1598"/>
      <c r="D278" s="1598"/>
      <c r="E278" s="1598"/>
      <c r="F278" s="1598"/>
      <c r="G278" s="1598"/>
      <c r="H278" s="1598"/>
      <c r="I278" s="1598"/>
      <c r="J278" s="1598"/>
      <c r="K278" s="1598"/>
      <c r="L278" s="1598"/>
      <c r="M278" s="1598"/>
      <c r="N278" s="1598"/>
      <c r="O278" s="1598"/>
      <c r="P278" s="1598"/>
      <c r="Q278" s="1599"/>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069"/>
      <c r="B280" s="1070"/>
      <c r="C280" s="1070"/>
      <c r="D280" s="1070"/>
      <c r="E280" s="1070"/>
      <c r="F280" s="1070"/>
      <c r="G280" s="1070"/>
      <c r="H280" s="1070"/>
      <c r="I280" s="1070"/>
      <c r="J280" s="1070"/>
      <c r="K280" s="1070"/>
      <c r="L280" s="1070"/>
      <c r="M280" s="1070"/>
      <c r="N280" s="1070"/>
      <c r="O280" s="1070"/>
      <c r="P280" s="1070"/>
      <c r="Q280" s="1071"/>
    </row>
    <row r="281" spans="1:256 1523:1523" ht="13.9" customHeight="1">
      <c r="A281" s="810">
        <v>19</v>
      </c>
      <c r="B281" s="11" t="s">
        <v>3502</v>
      </c>
      <c r="C281" s="11"/>
      <c r="D281" s="11"/>
      <c r="E281" s="11"/>
      <c r="F281" s="11"/>
      <c r="G281" s="11"/>
      <c r="H281" s="808"/>
      <c r="I281" s="808"/>
      <c r="J281" s="808"/>
      <c r="K281" s="808"/>
      <c r="L281" s="808"/>
      <c r="M281" s="808"/>
      <c r="O281" s="163" t="s">
        <v>2572</v>
      </c>
      <c r="P281" s="1067"/>
      <c r="Q281" s="1068"/>
    </row>
    <row r="282" spans="1:256 1523:1523" ht="11.45" customHeight="1">
      <c r="B282" s="177" t="s">
        <v>2980</v>
      </c>
      <c r="P282" s="1593" t="s">
        <v>4103</v>
      </c>
      <c r="Q282" s="210"/>
    </row>
    <row r="283" spans="1:256 1523:1523" ht="12" customHeight="1">
      <c r="B283" s="179" t="s">
        <v>2933</v>
      </c>
      <c r="C283" s="179"/>
      <c r="D283" s="179"/>
      <c r="E283" s="179"/>
      <c r="F283" s="179"/>
      <c r="G283" s="179"/>
      <c r="H283" s="179"/>
      <c r="I283" s="179"/>
      <c r="J283" s="179"/>
      <c r="K283" s="179"/>
      <c r="L283" s="179"/>
      <c r="P283" s="1593" t="s">
        <v>4104</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52" t="s">
        <v>3583</v>
      </c>
      <c r="D285" s="1052"/>
      <c r="E285" s="1052"/>
      <c r="F285" s="1052"/>
      <c r="G285" s="1052"/>
      <c r="H285" s="1052"/>
      <c r="I285" s="1052"/>
      <c r="J285" s="1052"/>
      <c r="K285" s="1052"/>
      <c r="L285" s="1052"/>
      <c r="M285" s="1052"/>
      <c r="N285" s="1052"/>
      <c r="O285" s="199" t="s">
        <v>2694</v>
      </c>
      <c r="P285" s="1643"/>
      <c r="Q285" s="323"/>
    </row>
    <row r="286" spans="1:256 1523:1523" ht="3" customHeight="1">
      <c r="A286" s="801"/>
      <c r="B286" s="801"/>
      <c r="C286" s="801"/>
      <c r="D286" s="801"/>
      <c r="E286" s="801"/>
      <c r="F286" s="801"/>
      <c r="G286" s="801"/>
      <c r="H286" s="801"/>
      <c r="I286" s="801"/>
      <c r="J286" s="801"/>
      <c r="K286" s="801"/>
      <c r="L286" s="801"/>
      <c r="M286" s="801"/>
      <c r="N286" s="801"/>
      <c r="O286" s="801"/>
      <c r="P286" s="801"/>
      <c r="Q286" s="801"/>
      <c r="R286" s="801"/>
      <c r="S286" s="801"/>
      <c r="T286" s="801"/>
      <c r="U286" s="801"/>
      <c r="V286" s="801"/>
      <c r="W286" s="801"/>
      <c r="X286" s="801"/>
      <c r="Y286" s="801"/>
      <c r="Z286" s="801"/>
      <c r="AA286" s="801"/>
      <c r="AB286" s="801"/>
      <c r="AC286" s="801"/>
      <c r="AD286" s="801"/>
      <c r="AE286" s="59"/>
      <c r="AF286" s="59"/>
      <c r="AG286" s="801"/>
      <c r="AH286" s="801"/>
      <c r="AI286" s="801"/>
      <c r="AJ286" s="801"/>
      <c r="AK286" s="801"/>
      <c r="AL286" s="801"/>
      <c r="AM286" s="801"/>
      <c r="AN286" s="801"/>
      <c r="AO286" s="801"/>
      <c r="AP286" s="801"/>
      <c r="AQ286" s="801"/>
      <c r="AR286" s="801"/>
      <c r="AS286" s="801"/>
      <c r="AT286" s="801"/>
      <c r="AU286" s="801"/>
      <c r="AV286" s="801"/>
      <c r="AW286" s="801"/>
      <c r="AX286" s="801"/>
      <c r="AY286" s="801"/>
      <c r="AZ286" s="801"/>
      <c r="BA286" s="801"/>
      <c r="BB286" s="801"/>
      <c r="BC286" s="801"/>
      <c r="BD286" s="801"/>
      <c r="BE286" s="801"/>
      <c r="BF286" s="801"/>
      <c r="BG286" s="801"/>
      <c r="BH286" s="801"/>
      <c r="BI286" s="801"/>
      <c r="BJ286" s="801"/>
      <c r="BK286" s="801"/>
      <c r="BL286" s="801"/>
      <c r="BM286" s="801"/>
      <c r="BN286" s="801"/>
      <c r="BO286" s="801"/>
      <c r="BP286" s="801"/>
      <c r="BQ286" s="801"/>
      <c r="BR286" s="801"/>
      <c r="BS286" s="801"/>
      <c r="BT286" s="801"/>
      <c r="BU286" s="801"/>
      <c r="BV286" s="801"/>
      <c r="BW286" s="801"/>
      <c r="BX286" s="801"/>
      <c r="BY286" s="801"/>
      <c r="BZ286" s="801"/>
      <c r="CA286" s="801"/>
      <c r="CB286" s="801"/>
      <c r="CC286" s="801"/>
      <c r="CD286" s="801"/>
      <c r="CE286" s="801"/>
      <c r="CF286" s="801"/>
      <c r="CG286" s="801"/>
      <c r="CH286" s="801"/>
      <c r="CI286" s="801"/>
      <c r="CJ286" s="801"/>
      <c r="CK286" s="801"/>
      <c r="CL286" s="801"/>
      <c r="CM286" s="801"/>
      <c r="CN286" s="801"/>
      <c r="CO286" s="801"/>
      <c r="CP286" s="801"/>
      <c r="CQ286" s="801"/>
      <c r="CR286" s="801"/>
      <c r="CS286" s="801"/>
      <c r="CT286" s="801"/>
      <c r="CU286" s="801"/>
      <c r="CV286" s="801"/>
      <c r="CW286" s="801"/>
      <c r="CX286" s="801"/>
      <c r="CY286" s="801"/>
      <c r="CZ286" s="801"/>
      <c r="DA286" s="801"/>
      <c r="DB286" s="801"/>
      <c r="DC286" s="801"/>
      <c r="DD286" s="801"/>
      <c r="DE286" s="801"/>
      <c r="DF286" s="801"/>
      <c r="DG286" s="801"/>
      <c r="DH286" s="801"/>
      <c r="DI286" s="801"/>
      <c r="DJ286" s="801"/>
      <c r="DK286" s="801"/>
      <c r="DL286" s="801"/>
      <c r="DM286" s="801"/>
      <c r="DN286" s="801"/>
      <c r="DO286" s="801"/>
      <c r="DP286" s="801"/>
      <c r="DQ286" s="801"/>
      <c r="DR286" s="801"/>
      <c r="DS286" s="801"/>
      <c r="DT286" s="801"/>
      <c r="DU286" s="801"/>
      <c r="DV286" s="801"/>
      <c r="DW286" s="801"/>
      <c r="DX286" s="801"/>
      <c r="DY286" s="801"/>
      <c r="DZ286" s="801"/>
      <c r="EA286" s="801"/>
      <c r="EB286" s="801"/>
      <c r="EC286" s="801"/>
      <c r="ED286" s="801"/>
      <c r="EE286" s="801"/>
      <c r="EF286" s="801"/>
      <c r="EG286" s="801"/>
      <c r="EH286" s="801"/>
      <c r="EI286" s="801"/>
      <c r="EJ286" s="801"/>
      <c r="EK286" s="801"/>
      <c r="EL286" s="801"/>
      <c r="EM286" s="801"/>
      <c r="EN286" s="801"/>
      <c r="EO286" s="801"/>
      <c r="EP286" s="801"/>
      <c r="EQ286" s="801"/>
      <c r="ER286" s="801"/>
      <c r="ES286" s="801"/>
      <c r="ET286" s="801"/>
      <c r="EU286" s="801"/>
      <c r="EV286" s="801"/>
      <c r="EW286" s="801"/>
      <c r="EX286" s="801"/>
      <c r="EY286" s="801"/>
      <c r="EZ286" s="801"/>
      <c r="FA286" s="801"/>
      <c r="FB286" s="801"/>
      <c r="FC286" s="801"/>
      <c r="FD286" s="801"/>
      <c r="FE286" s="801"/>
      <c r="FF286" s="801"/>
      <c r="FG286" s="801"/>
      <c r="FH286" s="801"/>
      <c r="FI286" s="801"/>
      <c r="FJ286" s="801"/>
      <c r="FK286" s="801"/>
      <c r="FL286" s="801"/>
      <c r="FM286" s="801"/>
      <c r="FN286" s="801"/>
      <c r="FO286" s="801"/>
      <c r="FP286" s="801"/>
      <c r="FQ286" s="801"/>
      <c r="FR286" s="801"/>
      <c r="FS286" s="801"/>
      <c r="FT286" s="801"/>
      <c r="FU286" s="801"/>
      <c r="FV286" s="801"/>
      <c r="FW286" s="801"/>
      <c r="FX286" s="801"/>
      <c r="FY286" s="801"/>
      <c r="FZ286" s="801"/>
      <c r="GA286" s="801"/>
      <c r="GB286" s="801"/>
      <c r="GC286" s="801"/>
      <c r="GD286" s="801"/>
      <c r="GE286" s="801"/>
      <c r="GF286" s="801"/>
      <c r="GG286" s="801"/>
      <c r="GH286" s="801"/>
      <c r="GI286" s="801"/>
      <c r="GJ286" s="801"/>
      <c r="GK286" s="801"/>
      <c r="GL286" s="801"/>
      <c r="GM286" s="801"/>
      <c r="GN286" s="801"/>
      <c r="GO286" s="801"/>
      <c r="GP286" s="801"/>
      <c r="GQ286" s="801"/>
      <c r="GR286" s="801"/>
      <c r="GS286" s="801"/>
      <c r="GT286" s="801"/>
      <c r="GU286" s="801"/>
      <c r="GV286" s="801"/>
      <c r="GW286" s="801"/>
      <c r="GX286" s="801"/>
      <c r="GY286" s="801"/>
      <c r="GZ286" s="801"/>
      <c r="HA286" s="801"/>
      <c r="HB286" s="801"/>
      <c r="HC286" s="801"/>
      <c r="HD286" s="801"/>
      <c r="HE286" s="801"/>
      <c r="HF286" s="801"/>
      <c r="HG286" s="801"/>
      <c r="HH286" s="801"/>
      <c r="HI286" s="801"/>
      <c r="HJ286" s="801"/>
      <c r="HK286" s="801"/>
      <c r="HL286" s="801"/>
      <c r="HM286" s="801"/>
      <c r="HN286" s="801"/>
      <c r="HO286" s="801"/>
      <c r="HP286" s="801"/>
      <c r="HQ286" s="801"/>
      <c r="HR286" s="801"/>
      <c r="HS286" s="801"/>
      <c r="HT286" s="801"/>
      <c r="HU286" s="801"/>
      <c r="HV286" s="801"/>
      <c r="HW286" s="801"/>
      <c r="HX286" s="801"/>
      <c r="HY286" s="801"/>
      <c r="HZ286" s="801"/>
      <c r="IA286" s="801"/>
      <c r="IB286" s="801"/>
      <c r="IC286" s="801"/>
      <c r="ID286" s="801"/>
      <c r="IE286" s="801"/>
      <c r="IF286" s="801"/>
      <c r="IG286" s="801"/>
      <c r="IH286" s="801"/>
      <c r="II286" s="801"/>
      <c r="IJ286" s="801"/>
      <c r="IK286" s="801"/>
      <c r="IL286" s="801"/>
      <c r="IM286" s="801"/>
      <c r="IN286" s="801"/>
      <c r="IO286" s="801"/>
      <c r="IP286" s="801"/>
      <c r="IQ286" s="801"/>
      <c r="IR286" s="801"/>
      <c r="IS286" s="801"/>
      <c r="IT286" s="801"/>
      <c r="IU286" s="801"/>
      <c r="IV286" s="801"/>
    </row>
    <row r="287" spans="1:256 1523:1523" ht="12.6" customHeight="1">
      <c r="B287" s="174" t="s">
        <v>2697</v>
      </c>
      <c r="C287" s="1059" t="s">
        <v>587</v>
      </c>
      <c r="D287" s="1059"/>
      <c r="E287" s="1059"/>
      <c r="F287" s="1059"/>
      <c r="G287" s="1059"/>
      <c r="H287" s="1059"/>
      <c r="I287" s="1059"/>
      <c r="J287" s="1059"/>
      <c r="K287" s="1059"/>
      <c r="L287" s="1059"/>
      <c r="M287" s="1059"/>
      <c r="O287" s="199" t="s">
        <v>2697</v>
      </c>
      <c r="P287" s="801"/>
      <c r="Q287" s="59"/>
    </row>
    <row r="288" spans="1:256 1523:1523" ht="23.25" customHeight="1">
      <c r="A288" s="176"/>
      <c r="C288" s="269" t="s">
        <v>2430</v>
      </c>
      <c r="D288" s="270" t="s">
        <v>1541</v>
      </c>
      <c r="E288" s="164"/>
      <c r="F288" s="164"/>
      <c r="G288" s="1677" t="s">
        <v>1888</v>
      </c>
      <c r="H288" s="1678"/>
      <c r="I288" s="1678"/>
      <c r="J288" s="1678"/>
      <c r="K288" s="1678"/>
      <c r="L288" s="1678"/>
      <c r="M288" s="1678"/>
      <c r="N288" s="1679"/>
      <c r="O288" s="273" t="s">
        <v>2430</v>
      </c>
      <c r="P288" s="1643" t="s">
        <v>4104</v>
      </c>
      <c r="Q288" s="323"/>
      <c r="BFO288" s="181" t="s">
        <v>3682</v>
      </c>
    </row>
    <row r="289" spans="1:256" ht="23.25" customHeight="1">
      <c r="A289" s="176"/>
      <c r="C289" s="269" t="s">
        <v>2431</v>
      </c>
      <c r="D289" s="1044" t="s">
        <v>1542</v>
      </c>
      <c r="E289" s="1060"/>
      <c r="F289" s="1061"/>
      <c r="G289" s="1670" t="s">
        <v>3485</v>
      </c>
      <c r="H289" s="1680"/>
      <c r="I289" s="1680"/>
      <c r="J289" s="1680"/>
      <c r="K289" s="1680"/>
      <c r="L289" s="1680"/>
      <c r="M289" s="1680"/>
      <c r="N289" s="1681"/>
      <c r="O289" s="273" t="s">
        <v>2431</v>
      </c>
      <c r="P289" s="1643" t="s">
        <v>4104</v>
      </c>
      <c r="Q289" s="323"/>
    </row>
    <row r="290" spans="1:256" ht="3" customHeight="1">
      <c r="A290" s="801"/>
      <c r="B290" s="801"/>
      <c r="C290" s="801"/>
      <c r="D290" s="801"/>
      <c r="E290" s="801"/>
      <c r="F290" s="801"/>
      <c r="G290" s="801"/>
      <c r="H290" s="801"/>
      <c r="I290" s="801"/>
      <c r="J290" s="801"/>
      <c r="K290" s="801"/>
      <c r="L290" s="801"/>
      <c r="M290" s="801"/>
      <c r="N290" s="801"/>
      <c r="O290" s="801"/>
      <c r="P290" s="801"/>
      <c r="Q290" s="801"/>
      <c r="R290" s="801"/>
      <c r="S290" s="801"/>
      <c r="T290" s="801"/>
      <c r="U290" s="801"/>
      <c r="V290" s="801"/>
      <c r="W290" s="801"/>
      <c r="X290" s="801"/>
      <c r="Y290" s="801"/>
      <c r="Z290" s="801"/>
      <c r="AA290" s="801"/>
      <c r="AB290" s="801"/>
      <c r="AC290" s="801"/>
      <c r="AD290" s="801"/>
      <c r="AE290" s="59"/>
      <c r="AF290" s="59"/>
      <c r="AG290" s="801"/>
      <c r="AH290" s="801"/>
      <c r="AI290" s="801"/>
      <c r="AJ290" s="801"/>
      <c r="AK290" s="801"/>
      <c r="AL290" s="801"/>
      <c r="AM290" s="801"/>
      <c r="AN290" s="801"/>
      <c r="AO290" s="801"/>
      <c r="AP290" s="801"/>
      <c r="AQ290" s="801"/>
      <c r="AR290" s="801"/>
      <c r="AS290" s="801"/>
      <c r="AT290" s="801"/>
      <c r="AU290" s="801"/>
      <c r="AV290" s="801"/>
      <c r="AW290" s="801"/>
      <c r="AX290" s="801"/>
      <c r="AY290" s="801"/>
      <c r="AZ290" s="801"/>
      <c r="BA290" s="801"/>
      <c r="BB290" s="801"/>
      <c r="BC290" s="801"/>
      <c r="BD290" s="801"/>
      <c r="BE290" s="801"/>
      <c r="BF290" s="801"/>
      <c r="BG290" s="801"/>
      <c r="BH290" s="801"/>
      <c r="BI290" s="801"/>
      <c r="BJ290" s="801"/>
      <c r="BK290" s="801"/>
      <c r="BL290" s="801"/>
      <c r="BM290" s="801"/>
      <c r="BN290" s="801"/>
      <c r="BO290" s="801"/>
      <c r="BP290" s="801"/>
      <c r="BQ290" s="801"/>
      <c r="BR290" s="801"/>
      <c r="BS290" s="801"/>
      <c r="BT290" s="801"/>
      <c r="BU290" s="801"/>
      <c r="BV290" s="801"/>
      <c r="BW290" s="801"/>
      <c r="BX290" s="801"/>
      <c r="BY290" s="801"/>
      <c r="BZ290" s="801"/>
      <c r="CA290" s="801"/>
      <c r="CB290" s="801"/>
      <c r="CC290" s="801"/>
      <c r="CD290" s="801"/>
      <c r="CE290" s="801"/>
      <c r="CF290" s="801"/>
      <c r="CG290" s="801"/>
      <c r="CH290" s="801"/>
      <c r="CI290" s="801"/>
      <c r="CJ290" s="801"/>
      <c r="CK290" s="801"/>
      <c r="CL290" s="801"/>
      <c r="CM290" s="801"/>
      <c r="CN290" s="801"/>
      <c r="CO290" s="801"/>
      <c r="CP290" s="801"/>
      <c r="CQ290" s="801"/>
      <c r="CR290" s="801"/>
      <c r="CS290" s="801"/>
      <c r="CT290" s="801"/>
      <c r="CU290" s="801"/>
      <c r="CV290" s="801"/>
      <c r="CW290" s="801"/>
      <c r="CX290" s="801"/>
      <c r="CY290" s="801"/>
      <c r="CZ290" s="801"/>
      <c r="DA290" s="801"/>
      <c r="DB290" s="801"/>
      <c r="DC290" s="801"/>
      <c r="DD290" s="801"/>
      <c r="DE290" s="801"/>
      <c r="DF290" s="801"/>
      <c r="DG290" s="801"/>
      <c r="DH290" s="801"/>
      <c r="DI290" s="801"/>
      <c r="DJ290" s="801"/>
      <c r="DK290" s="801"/>
      <c r="DL290" s="801"/>
      <c r="DM290" s="801"/>
      <c r="DN290" s="801"/>
      <c r="DO290" s="801"/>
      <c r="DP290" s="801"/>
      <c r="DQ290" s="801"/>
      <c r="DR290" s="801"/>
      <c r="DS290" s="801"/>
      <c r="DT290" s="801"/>
      <c r="DU290" s="801"/>
      <c r="DV290" s="801"/>
      <c r="DW290" s="801"/>
      <c r="DX290" s="801"/>
      <c r="DY290" s="801"/>
      <c r="DZ290" s="801"/>
      <c r="EA290" s="801"/>
      <c r="EB290" s="801"/>
      <c r="EC290" s="801"/>
      <c r="ED290" s="801"/>
      <c r="EE290" s="801"/>
      <c r="EF290" s="801"/>
      <c r="EG290" s="801"/>
      <c r="EH290" s="801"/>
      <c r="EI290" s="801"/>
      <c r="EJ290" s="801"/>
      <c r="EK290" s="801"/>
      <c r="EL290" s="801"/>
      <c r="EM290" s="801"/>
      <c r="EN290" s="801"/>
      <c r="EO290" s="801"/>
      <c r="EP290" s="801"/>
      <c r="EQ290" s="801"/>
      <c r="ER290" s="801"/>
      <c r="ES290" s="801"/>
      <c r="ET290" s="801"/>
      <c r="EU290" s="801"/>
      <c r="EV290" s="801"/>
      <c r="EW290" s="801"/>
      <c r="EX290" s="801"/>
      <c r="EY290" s="801"/>
      <c r="EZ290" s="801"/>
      <c r="FA290" s="801"/>
      <c r="FB290" s="801"/>
      <c r="FC290" s="801"/>
      <c r="FD290" s="801"/>
      <c r="FE290" s="801"/>
      <c r="FF290" s="801"/>
      <c r="FG290" s="801"/>
      <c r="FH290" s="801"/>
      <c r="FI290" s="801"/>
      <c r="FJ290" s="801"/>
      <c r="FK290" s="801"/>
      <c r="FL290" s="801"/>
      <c r="FM290" s="801"/>
      <c r="FN290" s="801"/>
      <c r="FO290" s="801"/>
      <c r="FP290" s="801"/>
      <c r="FQ290" s="801"/>
      <c r="FR290" s="801"/>
      <c r="FS290" s="801"/>
      <c r="FT290" s="801"/>
      <c r="FU290" s="801"/>
      <c r="FV290" s="801"/>
      <c r="FW290" s="801"/>
      <c r="FX290" s="801"/>
      <c r="FY290" s="801"/>
      <c r="FZ290" s="801"/>
      <c r="GA290" s="801"/>
      <c r="GB290" s="801"/>
      <c r="GC290" s="801"/>
      <c r="GD290" s="801"/>
      <c r="GE290" s="801"/>
      <c r="GF290" s="801"/>
      <c r="GG290" s="801"/>
      <c r="GH290" s="801"/>
      <c r="GI290" s="801"/>
      <c r="GJ290" s="801"/>
      <c r="GK290" s="801"/>
      <c r="GL290" s="801"/>
      <c r="GM290" s="801"/>
      <c r="GN290" s="801"/>
      <c r="GO290" s="801"/>
      <c r="GP290" s="801"/>
      <c r="GQ290" s="801"/>
      <c r="GR290" s="801"/>
      <c r="GS290" s="801"/>
      <c r="GT290" s="801"/>
      <c r="GU290" s="801"/>
      <c r="GV290" s="801"/>
      <c r="GW290" s="801"/>
      <c r="GX290" s="801"/>
      <c r="GY290" s="801"/>
      <c r="GZ290" s="801"/>
      <c r="HA290" s="801"/>
      <c r="HB290" s="801"/>
      <c r="HC290" s="801"/>
      <c r="HD290" s="801"/>
      <c r="HE290" s="801"/>
      <c r="HF290" s="801"/>
      <c r="HG290" s="801"/>
      <c r="HH290" s="801"/>
      <c r="HI290" s="801"/>
      <c r="HJ290" s="801"/>
      <c r="HK290" s="801"/>
      <c r="HL290" s="801"/>
      <c r="HM290" s="801"/>
      <c r="HN290" s="801"/>
      <c r="HO290" s="801"/>
      <c r="HP290" s="801"/>
      <c r="HQ290" s="801"/>
      <c r="HR290" s="801"/>
      <c r="HS290" s="801"/>
      <c r="HT290" s="801"/>
      <c r="HU290" s="801"/>
      <c r="HV290" s="801"/>
      <c r="HW290" s="801"/>
      <c r="HX290" s="801"/>
      <c r="HY290" s="801"/>
      <c r="HZ290" s="801"/>
      <c r="IA290" s="801"/>
      <c r="IB290" s="801"/>
      <c r="IC290" s="801"/>
      <c r="ID290" s="801"/>
      <c r="IE290" s="801"/>
      <c r="IF290" s="801"/>
      <c r="IG290" s="801"/>
      <c r="IH290" s="801"/>
      <c r="II290" s="801"/>
      <c r="IJ290" s="801"/>
      <c r="IK290" s="801"/>
      <c r="IL290" s="801"/>
      <c r="IM290" s="801"/>
      <c r="IN290" s="801"/>
      <c r="IO290" s="801"/>
      <c r="IP290" s="801"/>
      <c r="IQ290" s="801"/>
      <c r="IR290" s="801"/>
      <c r="IS290" s="801"/>
      <c r="IT290" s="801"/>
      <c r="IU290" s="801"/>
      <c r="IV290" s="801"/>
    </row>
    <row r="291" spans="1:256" s="164" customFormat="1" ht="23.25" customHeight="1">
      <c r="B291" s="174" t="s">
        <v>1054</v>
      </c>
      <c r="C291" s="1054" t="s">
        <v>3522</v>
      </c>
      <c r="D291" s="1054"/>
      <c r="E291" s="1054"/>
      <c r="F291" s="1054"/>
      <c r="G291" s="1054"/>
      <c r="H291" s="1054"/>
      <c r="I291" s="1054"/>
      <c r="J291" s="1054"/>
      <c r="K291" s="1054"/>
      <c r="L291" s="1054"/>
      <c r="M291" s="1054"/>
      <c r="N291" s="1054"/>
      <c r="O291" s="608" t="s">
        <v>1054</v>
      </c>
      <c r="P291" s="801"/>
      <c r="Q291" s="59"/>
      <c r="AE291" s="657"/>
      <c r="AF291" s="657"/>
    </row>
    <row r="292" spans="1:256" s="164" customFormat="1" ht="11.25" customHeight="1">
      <c r="A292" s="176"/>
      <c r="C292" s="269" t="s">
        <v>2430</v>
      </c>
      <c r="D292" s="1667"/>
      <c r="E292" s="1668"/>
      <c r="F292" s="1668"/>
      <c r="G292" s="1668"/>
      <c r="H292" s="1668"/>
      <c r="I292" s="1668"/>
      <c r="J292" s="1668"/>
      <c r="K292" s="1668"/>
      <c r="L292" s="1668"/>
      <c r="M292" s="1668"/>
      <c r="N292" s="1669"/>
      <c r="O292" s="273" t="s">
        <v>2430</v>
      </c>
      <c r="P292" s="1643"/>
      <c r="Q292" s="323"/>
      <c r="AE292" s="657"/>
      <c r="AF292" s="657"/>
    </row>
    <row r="293" spans="1:256" s="164" customFormat="1" ht="11.25" customHeight="1">
      <c r="A293" s="176"/>
      <c r="C293" s="269" t="s">
        <v>2431</v>
      </c>
      <c r="D293" s="1670"/>
      <c r="E293" s="1671"/>
      <c r="F293" s="1671"/>
      <c r="G293" s="1671"/>
      <c r="H293" s="1671"/>
      <c r="I293" s="1671"/>
      <c r="J293" s="1671"/>
      <c r="K293" s="1671"/>
      <c r="L293" s="1671"/>
      <c r="M293" s="1671"/>
      <c r="N293" s="1672"/>
      <c r="O293" s="273" t="s">
        <v>2431</v>
      </c>
      <c r="P293" s="1643"/>
      <c r="Q293" s="323"/>
      <c r="AE293" s="657"/>
      <c r="AF293" s="657"/>
    </row>
    <row r="294" spans="1:256" ht="3" customHeight="1">
      <c r="A294" s="801"/>
      <c r="B294" s="801"/>
      <c r="C294" s="801"/>
      <c r="D294" s="801"/>
      <c r="E294" s="801"/>
      <c r="F294" s="801"/>
      <c r="G294" s="801"/>
      <c r="H294" s="801"/>
      <c r="I294" s="801"/>
      <c r="J294" s="801"/>
      <c r="K294" s="801"/>
      <c r="L294" s="801"/>
      <c r="M294" s="801"/>
      <c r="N294" s="801"/>
      <c r="O294" s="801"/>
      <c r="P294" s="801"/>
      <c r="Q294" s="801"/>
      <c r="R294" s="801"/>
      <c r="S294" s="801"/>
      <c r="T294" s="801"/>
      <c r="U294" s="801"/>
      <c r="V294" s="801"/>
      <c r="W294" s="801"/>
      <c r="X294" s="801"/>
      <c r="Y294" s="801"/>
      <c r="Z294" s="801"/>
      <c r="AA294" s="801"/>
      <c r="AB294" s="801"/>
      <c r="AC294" s="801"/>
      <c r="AD294" s="801"/>
      <c r="AE294" s="59"/>
      <c r="AF294" s="59"/>
      <c r="AG294" s="801"/>
      <c r="AH294" s="801"/>
      <c r="AI294" s="801"/>
      <c r="AJ294" s="801"/>
      <c r="AK294" s="801"/>
      <c r="AL294" s="801"/>
      <c r="AM294" s="801"/>
      <c r="AN294" s="801"/>
      <c r="AO294" s="801"/>
      <c r="AP294" s="801"/>
      <c r="AQ294" s="801"/>
      <c r="AR294" s="801"/>
      <c r="AS294" s="801"/>
      <c r="AT294" s="801"/>
      <c r="AU294" s="801"/>
      <c r="AV294" s="801"/>
      <c r="AW294" s="801"/>
      <c r="AX294" s="801"/>
      <c r="AY294" s="801"/>
      <c r="AZ294" s="801"/>
      <c r="BA294" s="801"/>
      <c r="BB294" s="801"/>
      <c r="BC294" s="801"/>
      <c r="BD294" s="801"/>
      <c r="BE294" s="801"/>
      <c r="BF294" s="801"/>
      <c r="BG294" s="801"/>
      <c r="BH294" s="801"/>
      <c r="BI294" s="801"/>
      <c r="BJ294" s="801"/>
      <c r="BK294" s="801"/>
      <c r="BL294" s="801"/>
      <c r="BM294" s="801"/>
      <c r="BN294" s="801"/>
      <c r="BO294" s="801"/>
      <c r="BP294" s="801"/>
      <c r="BQ294" s="801"/>
      <c r="BR294" s="801"/>
      <c r="BS294" s="801"/>
      <c r="BT294" s="801"/>
      <c r="BU294" s="801"/>
      <c r="BV294" s="801"/>
      <c r="BW294" s="801"/>
      <c r="BX294" s="801"/>
      <c r="BY294" s="801"/>
      <c r="BZ294" s="801"/>
      <c r="CA294" s="801"/>
      <c r="CB294" s="801"/>
      <c r="CC294" s="801"/>
      <c r="CD294" s="801"/>
      <c r="CE294" s="801"/>
      <c r="CF294" s="801"/>
      <c r="CG294" s="801"/>
      <c r="CH294" s="801"/>
      <c r="CI294" s="801"/>
      <c r="CJ294" s="801"/>
      <c r="CK294" s="801"/>
      <c r="CL294" s="801"/>
      <c r="CM294" s="801"/>
      <c r="CN294" s="801"/>
      <c r="CO294" s="801"/>
      <c r="CP294" s="801"/>
      <c r="CQ294" s="801"/>
      <c r="CR294" s="801"/>
      <c r="CS294" s="801"/>
      <c r="CT294" s="801"/>
      <c r="CU294" s="801"/>
      <c r="CV294" s="801"/>
      <c r="CW294" s="801"/>
      <c r="CX294" s="801"/>
      <c r="CY294" s="801"/>
      <c r="CZ294" s="801"/>
      <c r="DA294" s="801"/>
      <c r="DB294" s="801"/>
      <c r="DC294" s="801"/>
      <c r="DD294" s="801"/>
      <c r="DE294" s="801"/>
      <c r="DF294" s="801"/>
      <c r="DG294" s="801"/>
      <c r="DH294" s="801"/>
      <c r="DI294" s="801"/>
      <c r="DJ294" s="801"/>
      <c r="DK294" s="801"/>
      <c r="DL294" s="801"/>
      <c r="DM294" s="801"/>
      <c r="DN294" s="801"/>
      <c r="DO294" s="801"/>
      <c r="DP294" s="801"/>
      <c r="DQ294" s="801"/>
      <c r="DR294" s="801"/>
      <c r="DS294" s="801"/>
      <c r="DT294" s="801"/>
      <c r="DU294" s="801"/>
      <c r="DV294" s="801"/>
      <c r="DW294" s="801"/>
      <c r="DX294" s="801"/>
      <c r="DY294" s="801"/>
      <c r="DZ294" s="801"/>
      <c r="EA294" s="801"/>
      <c r="EB294" s="801"/>
      <c r="EC294" s="801"/>
      <c r="ED294" s="801"/>
      <c r="EE294" s="801"/>
      <c r="EF294" s="801"/>
      <c r="EG294" s="801"/>
      <c r="EH294" s="801"/>
      <c r="EI294" s="801"/>
      <c r="EJ294" s="801"/>
      <c r="EK294" s="801"/>
      <c r="EL294" s="801"/>
      <c r="EM294" s="801"/>
      <c r="EN294" s="801"/>
      <c r="EO294" s="801"/>
      <c r="EP294" s="801"/>
      <c r="EQ294" s="801"/>
      <c r="ER294" s="801"/>
      <c r="ES294" s="801"/>
      <c r="ET294" s="801"/>
      <c r="EU294" s="801"/>
      <c r="EV294" s="801"/>
      <c r="EW294" s="801"/>
      <c r="EX294" s="801"/>
      <c r="EY294" s="801"/>
      <c r="EZ294" s="801"/>
      <c r="FA294" s="801"/>
      <c r="FB294" s="801"/>
      <c r="FC294" s="801"/>
      <c r="FD294" s="801"/>
      <c r="FE294" s="801"/>
      <c r="FF294" s="801"/>
      <c r="FG294" s="801"/>
      <c r="FH294" s="801"/>
      <c r="FI294" s="801"/>
      <c r="FJ294" s="801"/>
      <c r="FK294" s="801"/>
      <c r="FL294" s="801"/>
      <c r="FM294" s="801"/>
      <c r="FN294" s="801"/>
      <c r="FO294" s="801"/>
      <c r="FP294" s="801"/>
      <c r="FQ294" s="801"/>
      <c r="FR294" s="801"/>
      <c r="FS294" s="801"/>
      <c r="FT294" s="801"/>
      <c r="FU294" s="801"/>
      <c r="FV294" s="801"/>
      <c r="FW294" s="801"/>
      <c r="FX294" s="801"/>
      <c r="FY294" s="801"/>
      <c r="FZ294" s="801"/>
      <c r="GA294" s="801"/>
      <c r="GB294" s="801"/>
      <c r="GC294" s="801"/>
      <c r="GD294" s="801"/>
      <c r="GE294" s="801"/>
      <c r="GF294" s="801"/>
      <c r="GG294" s="801"/>
      <c r="GH294" s="801"/>
      <c r="GI294" s="801"/>
      <c r="GJ294" s="801"/>
      <c r="GK294" s="801"/>
      <c r="GL294" s="801"/>
      <c r="GM294" s="801"/>
      <c r="GN294" s="801"/>
      <c r="GO294" s="801"/>
      <c r="GP294" s="801"/>
      <c r="GQ294" s="801"/>
      <c r="GR294" s="801"/>
      <c r="GS294" s="801"/>
      <c r="GT294" s="801"/>
      <c r="GU294" s="801"/>
      <c r="GV294" s="801"/>
      <c r="GW294" s="801"/>
      <c r="GX294" s="801"/>
      <c r="GY294" s="801"/>
      <c r="GZ294" s="801"/>
      <c r="HA294" s="801"/>
      <c r="HB294" s="801"/>
      <c r="HC294" s="801"/>
      <c r="HD294" s="801"/>
      <c r="HE294" s="801"/>
      <c r="HF294" s="801"/>
      <c r="HG294" s="801"/>
      <c r="HH294" s="801"/>
      <c r="HI294" s="801"/>
      <c r="HJ294" s="801"/>
      <c r="HK294" s="801"/>
      <c r="HL294" s="801"/>
      <c r="HM294" s="801"/>
      <c r="HN294" s="801"/>
      <c r="HO294" s="801"/>
      <c r="HP294" s="801"/>
      <c r="HQ294" s="801"/>
      <c r="HR294" s="801"/>
      <c r="HS294" s="801"/>
      <c r="HT294" s="801"/>
      <c r="HU294" s="801"/>
      <c r="HV294" s="801"/>
      <c r="HW294" s="801"/>
      <c r="HX294" s="801"/>
      <c r="HY294" s="801"/>
      <c r="HZ294" s="801"/>
      <c r="IA294" s="801"/>
      <c r="IB294" s="801"/>
      <c r="IC294" s="801"/>
      <c r="ID294" s="801"/>
      <c r="IE294" s="801"/>
      <c r="IF294" s="801"/>
      <c r="IG294" s="801"/>
      <c r="IH294" s="801"/>
      <c r="II294" s="801"/>
      <c r="IJ294" s="801"/>
      <c r="IK294" s="801"/>
      <c r="IL294" s="801"/>
      <c r="IM294" s="801"/>
      <c r="IN294" s="801"/>
      <c r="IO294" s="801"/>
      <c r="IP294" s="801"/>
      <c r="IQ294" s="801"/>
      <c r="IR294" s="801"/>
      <c r="IS294" s="801"/>
      <c r="IT294" s="801"/>
      <c r="IU294" s="801"/>
      <c r="IV294" s="801"/>
    </row>
    <row r="295" spans="1:256" ht="11.25" customHeight="1">
      <c r="B295" s="173" t="s">
        <v>2570</v>
      </c>
      <c r="D295" s="173"/>
      <c r="E295" s="173"/>
      <c r="F295" s="173"/>
      <c r="G295" s="173"/>
      <c r="H295" s="812"/>
      <c r="I295" s="162"/>
      <c r="J295" s="162"/>
      <c r="K295" s="162"/>
      <c r="L295" s="801"/>
      <c r="M295" s="801"/>
      <c r="N295" s="801"/>
      <c r="O295" s="801"/>
      <c r="P295" s="801"/>
      <c r="Q295" s="59"/>
    </row>
    <row r="296" spans="1:256" ht="11.45" customHeight="1">
      <c r="A296" s="1597"/>
      <c r="B296" s="1598"/>
      <c r="C296" s="1598"/>
      <c r="D296" s="1598"/>
      <c r="E296" s="1598"/>
      <c r="F296" s="1598"/>
      <c r="G296" s="1598"/>
      <c r="H296" s="1598"/>
      <c r="I296" s="1598"/>
      <c r="J296" s="1598"/>
      <c r="K296" s="1598"/>
      <c r="L296" s="1598"/>
      <c r="M296" s="1598"/>
      <c r="N296" s="1598"/>
      <c r="O296" s="1598"/>
      <c r="P296" s="1598"/>
      <c r="Q296" s="1599"/>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047"/>
      <c r="B298" s="1048"/>
      <c r="C298" s="1048"/>
      <c r="D298" s="1048"/>
      <c r="E298" s="1048"/>
      <c r="F298" s="1048"/>
      <c r="G298" s="1048"/>
      <c r="H298" s="1048"/>
      <c r="I298" s="1048"/>
      <c r="J298" s="1048"/>
      <c r="K298" s="1048"/>
      <c r="L298" s="1048"/>
      <c r="M298" s="1048"/>
      <c r="N298" s="1048"/>
      <c r="O298" s="1048"/>
      <c r="P298" s="1048"/>
      <c r="Q298" s="1049"/>
    </row>
    <row r="299" spans="1:256" ht="3" customHeight="1">
      <c r="A299" s="801"/>
      <c r="B299" s="162"/>
      <c r="C299" s="808"/>
      <c r="D299" s="808"/>
      <c r="E299" s="808"/>
      <c r="F299" s="808"/>
      <c r="G299" s="808"/>
      <c r="H299" s="808"/>
      <c r="I299" s="808"/>
      <c r="J299" s="808"/>
      <c r="K299" s="808"/>
      <c r="L299" s="808"/>
      <c r="M299" s="808"/>
      <c r="N299" s="808"/>
      <c r="O299" s="808"/>
      <c r="P299" s="808"/>
      <c r="Q299" s="801"/>
    </row>
    <row r="300" spans="1:256" ht="13.9" customHeight="1">
      <c r="A300" s="810">
        <v>20</v>
      </c>
      <c r="B300" s="810" t="s">
        <v>3503</v>
      </c>
      <c r="C300" s="810"/>
      <c r="D300" s="808"/>
      <c r="E300" s="808"/>
      <c r="F300" s="808"/>
      <c r="G300" s="808"/>
      <c r="H300" s="808"/>
      <c r="O300" s="163" t="s">
        <v>2572</v>
      </c>
      <c r="P300" s="1050"/>
      <c r="Q300" s="1053"/>
    </row>
    <row r="301" spans="1:256" ht="3" customHeight="1"/>
    <row r="302" spans="1:256" ht="11.45" customHeight="1">
      <c r="B302" s="177" t="s">
        <v>3083</v>
      </c>
      <c r="P302" s="1593" t="s">
        <v>4104</v>
      </c>
      <c r="Q302" s="210"/>
    </row>
    <row r="303" spans="1:256" ht="11.45" customHeight="1">
      <c r="B303" s="177" t="s">
        <v>3084</v>
      </c>
      <c r="P303" s="1593" t="s">
        <v>4103</v>
      </c>
      <c r="Q303" s="210"/>
    </row>
    <row r="304" spans="1:256" ht="11.45" customHeight="1">
      <c r="B304" s="177" t="s">
        <v>774</v>
      </c>
      <c r="L304" s="1682" t="s">
        <v>4152</v>
      </c>
      <c r="M304" s="1683"/>
      <c r="N304" s="1683"/>
      <c r="O304" s="1684"/>
    </row>
    <row r="305" spans="1:31" ht="11.45" customHeight="1">
      <c r="B305" s="542" t="s">
        <v>3085</v>
      </c>
      <c r="L305" s="1062"/>
      <c r="M305" s="1063"/>
      <c r="N305" s="1063"/>
      <c r="O305" s="1064"/>
    </row>
    <row r="306" spans="1:31" ht="11.25" customHeight="1">
      <c r="B306" s="173" t="s">
        <v>2570</v>
      </c>
      <c r="D306" s="173"/>
      <c r="E306" s="173"/>
      <c r="F306" s="173"/>
      <c r="G306" s="173"/>
      <c r="H306" s="812"/>
      <c r="I306" s="162"/>
      <c r="J306" s="162"/>
      <c r="K306" s="162"/>
      <c r="L306" s="801"/>
      <c r="M306" s="801"/>
      <c r="N306" s="801"/>
      <c r="O306" s="801"/>
      <c r="P306" s="801"/>
      <c r="Q306" s="59"/>
    </row>
    <row r="307" spans="1:31" ht="13.15" customHeight="1">
      <c r="A307" s="1597" t="s">
        <v>4164</v>
      </c>
      <c r="B307" s="1598"/>
      <c r="C307" s="1598"/>
      <c r="D307" s="1598"/>
      <c r="E307" s="1598"/>
      <c r="F307" s="1598"/>
      <c r="G307" s="1598"/>
      <c r="H307" s="1598"/>
      <c r="I307" s="1598"/>
      <c r="J307" s="1598"/>
      <c r="K307" s="1598"/>
      <c r="L307" s="1598"/>
      <c r="M307" s="1598"/>
      <c r="N307" s="1598"/>
      <c r="O307" s="1598"/>
      <c r="P307" s="1598"/>
      <c r="Q307" s="1599"/>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047"/>
      <c r="B309" s="1048"/>
      <c r="C309" s="1048"/>
      <c r="D309" s="1048"/>
      <c r="E309" s="1048"/>
      <c r="F309" s="1048"/>
      <c r="G309" s="1048"/>
      <c r="H309" s="1048"/>
      <c r="I309" s="1048"/>
      <c r="J309" s="1048"/>
      <c r="K309" s="1048"/>
      <c r="L309" s="1048"/>
      <c r="M309" s="1048"/>
      <c r="N309" s="1048"/>
      <c r="O309" s="1048"/>
      <c r="P309" s="1048"/>
      <c r="Q309" s="1049"/>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3504</v>
      </c>
      <c r="C311" s="5"/>
      <c r="D311" s="104"/>
      <c r="E311" s="808"/>
      <c r="F311" s="808"/>
      <c r="G311" s="808"/>
      <c r="H311" s="808"/>
      <c r="I311" s="808"/>
      <c r="J311" s="808"/>
      <c r="K311" s="808"/>
      <c r="L311" s="808"/>
      <c r="M311" s="808"/>
      <c r="O311" s="163" t="s">
        <v>2572</v>
      </c>
      <c r="P311" s="1050"/>
      <c r="Q311" s="1053"/>
    </row>
    <row r="312" spans="1:31" ht="3" customHeight="1"/>
    <row r="313" spans="1:31" ht="22.15" customHeight="1">
      <c r="B313" s="174" t="s">
        <v>2694</v>
      </c>
      <c r="C313" s="1044" t="s">
        <v>3762</v>
      </c>
      <c r="D313" s="1044"/>
      <c r="E313" s="1044"/>
      <c r="F313" s="1044"/>
      <c r="G313" s="1044"/>
      <c r="H313" s="1044"/>
      <c r="I313" s="1044"/>
      <c r="J313" s="1044"/>
      <c r="K313" s="1044"/>
      <c r="L313" s="1044"/>
      <c r="M313" s="1044"/>
      <c r="N313" s="1044"/>
      <c r="O313" s="199" t="s">
        <v>2694</v>
      </c>
      <c r="P313" s="1593"/>
      <c r="Q313" s="210"/>
    </row>
    <row r="314" spans="1:31" ht="11.45" customHeight="1">
      <c r="B314" s="174" t="s">
        <v>2697</v>
      </c>
      <c r="C314" s="1044" t="s">
        <v>3763</v>
      </c>
      <c r="D314" s="1044"/>
      <c r="E314" s="1044"/>
      <c r="F314" s="1044"/>
      <c r="G314" s="1044"/>
      <c r="H314" s="1044"/>
      <c r="I314" s="1044"/>
      <c r="J314" s="1044"/>
      <c r="K314" s="1044"/>
      <c r="L314" s="1044"/>
      <c r="M314" s="1044"/>
      <c r="N314" s="1044"/>
      <c r="O314" s="199" t="s">
        <v>2697</v>
      </c>
      <c r="P314" s="1593"/>
      <c r="Q314" s="210"/>
    </row>
    <row r="315" spans="1:31" ht="11.45" customHeight="1">
      <c r="B315" s="174" t="s">
        <v>1054</v>
      </c>
      <c r="C315" s="179" t="s">
        <v>3523</v>
      </c>
      <c r="D315" s="179"/>
      <c r="E315" s="179"/>
      <c r="F315" s="179"/>
      <c r="G315" s="179"/>
      <c r="H315" s="179"/>
      <c r="I315" s="179"/>
      <c r="J315" s="179"/>
      <c r="K315" s="179"/>
      <c r="L315" s="179"/>
      <c r="M315" s="179"/>
      <c r="O315" s="199" t="s">
        <v>1054</v>
      </c>
      <c r="P315" s="1593"/>
      <c r="Q315" s="210"/>
    </row>
    <row r="316" spans="1:31">
      <c r="B316" s="174" t="s">
        <v>2830</v>
      </c>
      <c r="C316" s="1044" t="s">
        <v>3958</v>
      </c>
      <c r="D316" s="1044"/>
      <c r="E316" s="1044"/>
      <c r="F316" s="1044"/>
      <c r="G316" s="1044"/>
      <c r="H316" s="1044"/>
      <c r="I316" s="1044"/>
      <c r="J316" s="1044"/>
      <c r="K316" s="1044"/>
      <c r="L316" s="1044"/>
      <c r="M316" s="1044"/>
      <c r="N316" s="1044"/>
      <c r="O316" s="199" t="s">
        <v>2830</v>
      </c>
      <c r="P316" s="1593"/>
      <c r="Q316" s="210"/>
    </row>
    <row r="317" spans="1:31" ht="11.25" customHeight="1">
      <c r="B317" s="173" t="s">
        <v>2570</v>
      </c>
      <c r="D317" s="173"/>
      <c r="E317" s="173"/>
      <c r="F317" s="173"/>
      <c r="G317" s="173"/>
      <c r="H317" s="812"/>
      <c r="I317" s="162"/>
      <c r="J317" s="162"/>
      <c r="K317" s="162"/>
      <c r="L317" s="801"/>
      <c r="M317" s="801"/>
      <c r="N317" s="801"/>
      <c r="O317" s="801"/>
      <c r="P317" s="801"/>
      <c r="Q317" s="59"/>
    </row>
    <row r="318" spans="1:31" ht="11.45" customHeight="1">
      <c r="A318" s="1597" t="s">
        <v>4165</v>
      </c>
      <c r="B318" s="1598"/>
      <c r="C318" s="1598"/>
      <c r="D318" s="1598"/>
      <c r="E318" s="1598"/>
      <c r="F318" s="1598"/>
      <c r="G318" s="1598"/>
      <c r="H318" s="1598"/>
      <c r="I318" s="1598"/>
      <c r="J318" s="1598"/>
      <c r="K318" s="1598"/>
      <c r="L318" s="1598"/>
      <c r="M318" s="1598"/>
      <c r="N318" s="1598"/>
      <c r="O318" s="1598"/>
      <c r="P318" s="1598"/>
      <c r="Q318" s="1599"/>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047"/>
      <c r="B320" s="1048"/>
      <c r="C320" s="1048"/>
      <c r="D320" s="1048"/>
      <c r="E320" s="1048"/>
      <c r="F320" s="1048"/>
      <c r="G320" s="1048"/>
      <c r="H320" s="1048"/>
      <c r="I320" s="1048"/>
      <c r="J320" s="1048"/>
      <c r="K320" s="1048"/>
      <c r="L320" s="1048"/>
      <c r="M320" s="1048"/>
      <c r="N320" s="1048"/>
      <c r="O320" s="1048"/>
      <c r="P320" s="1048"/>
      <c r="Q320" s="1049"/>
    </row>
    <row r="321" spans="1:32" ht="2.25" customHeight="1">
      <c r="A321" s="801"/>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3557</v>
      </c>
      <c r="C322" s="5"/>
      <c r="D322" s="5"/>
      <c r="E322" s="5"/>
      <c r="F322" s="5"/>
      <c r="G322" s="5"/>
      <c r="H322" s="808"/>
      <c r="I322" s="808"/>
      <c r="J322" s="808"/>
      <c r="K322" s="808"/>
      <c r="L322" s="808"/>
      <c r="M322" s="808"/>
      <c r="O322" s="163" t="s">
        <v>2572</v>
      </c>
      <c r="P322" s="1050"/>
      <c r="Q322" s="1053"/>
    </row>
    <row r="323" spans="1:32" ht="12" customHeight="1">
      <c r="B323" s="54" t="s">
        <v>2694</v>
      </c>
      <c r="C323" s="143" t="s">
        <v>3552</v>
      </c>
      <c r="D323" s="813"/>
      <c r="E323" s="813"/>
      <c r="F323" s="813"/>
      <c r="G323" s="813"/>
      <c r="H323" s="813"/>
      <c r="I323" s="49"/>
      <c r="J323" s="654" t="s">
        <v>2694</v>
      </c>
      <c r="K323" s="1658"/>
      <c r="L323" s="1659"/>
      <c r="M323" s="1659"/>
      <c r="N323" s="1659"/>
      <c r="O323" s="1659"/>
      <c r="P323" s="1660"/>
      <c r="Q323" s="210"/>
    </row>
    <row r="324" spans="1:32" ht="22.5" customHeight="1">
      <c r="B324" s="174" t="s">
        <v>2697</v>
      </c>
      <c r="C324" s="1026" t="s">
        <v>3551</v>
      </c>
      <c r="D324" s="1026"/>
      <c r="E324" s="1026"/>
      <c r="F324" s="1026"/>
      <c r="G324" s="1026"/>
      <c r="H324" s="1026"/>
      <c r="I324" s="1026"/>
      <c r="J324" s="1026"/>
      <c r="K324" s="1026"/>
      <c r="L324" s="1026"/>
      <c r="M324" s="1026"/>
      <c r="N324" s="1026"/>
      <c r="O324" s="199" t="s">
        <v>2697</v>
      </c>
      <c r="P324" s="1643"/>
      <c r="Q324" s="210"/>
    </row>
    <row r="325" spans="1:32" ht="11.45" customHeight="1">
      <c r="B325" s="54" t="s">
        <v>1054</v>
      </c>
      <c r="C325" s="61" t="s">
        <v>3553</v>
      </c>
      <c r="D325" s="61"/>
      <c r="E325" s="61"/>
      <c r="F325" s="61"/>
      <c r="G325" s="61"/>
      <c r="H325" s="61"/>
      <c r="I325" s="61"/>
      <c r="J325" s="61"/>
      <c r="K325" s="61"/>
      <c r="L325" s="38"/>
      <c r="M325" s="38"/>
      <c r="O325" s="654" t="s">
        <v>1054</v>
      </c>
      <c r="P325" s="1593"/>
      <c r="Q325" s="210"/>
    </row>
    <row r="326" spans="1:32" ht="11.45" customHeight="1">
      <c r="B326" s="54" t="s">
        <v>2830</v>
      </c>
      <c r="C326" s="61" t="s">
        <v>3554</v>
      </c>
      <c r="D326" s="61"/>
      <c r="E326" s="61"/>
      <c r="F326" s="61"/>
      <c r="G326" s="61"/>
      <c r="H326" s="61"/>
      <c r="I326" s="61"/>
      <c r="J326" s="61"/>
      <c r="K326" s="61"/>
      <c r="L326" s="61"/>
      <c r="M326" s="61"/>
      <c r="O326" s="654" t="s">
        <v>2830</v>
      </c>
      <c r="P326" s="1593"/>
      <c r="Q326" s="210"/>
    </row>
    <row r="327" spans="1:32" s="164" customFormat="1" ht="11.45" customHeight="1">
      <c r="B327" s="174" t="s">
        <v>2428</v>
      </c>
      <c r="C327" s="1044" t="s">
        <v>3559</v>
      </c>
      <c r="D327" s="1044"/>
      <c r="E327" s="1044"/>
      <c r="F327" s="1044"/>
      <c r="G327" s="1044"/>
      <c r="H327" s="1044"/>
      <c r="I327" s="1044"/>
      <c r="J327" s="1044"/>
      <c r="K327" s="1044"/>
      <c r="L327" s="1044"/>
      <c r="M327" s="1044"/>
      <c r="N327" s="1044"/>
      <c r="O327" s="199" t="s">
        <v>2428</v>
      </c>
      <c r="P327" s="1643"/>
      <c r="Q327" s="323"/>
      <c r="AE327" s="657"/>
      <c r="AF327" s="657"/>
    </row>
    <row r="328" spans="1:32" s="164" customFormat="1" ht="11.45" customHeight="1">
      <c r="B328" s="174" t="s">
        <v>2429</v>
      </c>
      <c r="C328" s="1044" t="s">
        <v>3569</v>
      </c>
      <c r="D328" s="1044"/>
      <c r="E328" s="1044"/>
      <c r="F328" s="1044"/>
      <c r="G328" s="1044"/>
      <c r="H328" s="1044"/>
      <c r="I328" s="1044"/>
      <c r="J328" s="1044"/>
      <c r="K328" s="1044"/>
      <c r="L328" s="1044"/>
      <c r="M328" s="1044"/>
      <c r="N328" s="1044"/>
      <c r="O328" s="199" t="s">
        <v>2429</v>
      </c>
      <c r="P328" s="1643"/>
      <c r="Q328" s="323"/>
      <c r="AE328" s="657"/>
      <c r="AF328" s="657"/>
    </row>
    <row r="329" spans="1:32" ht="11.45" customHeight="1">
      <c r="B329" s="54" t="s">
        <v>2657</v>
      </c>
      <c r="C329" s="61" t="s">
        <v>3555</v>
      </c>
      <c r="D329" s="61"/>
      <c r="E329" s="61"/>
      <c r="F329" s="61"/>
      <c r="G329" s="61"/>
      <c r="H329" s="61"/>
      <c r="I329" s="61"/>
      <c r="J329" s="61"/>
      <c r="K329" s="61"/>
      <c r="L329" s="61"/>
      <c r="M329" s="61"/>
      <c r="O329" s="654" t="s">
        <v>2657</v>
      </c>
      <c r="P329" s="1593"/>
      <c r="Q329" s="210"/>
    </row>
    <row r="330" spans="1:32" ht="11.25" customHeight="1">
      <c r="B330" s="173" t="s">
        <v>2570</v>
      </c>
      <c r="D330" s="173"/>
      <c r="E330" s="173"/>
      <c r="F330" s="173"/>
      <c r="G330" s="173"/>
      <c r="H330" s="812"/>
      <c r="I330" s="162"/>
      <c r="J330" s="162"/>
      <c r="K330" s="162"/>
      <c r="L330" s="801"/>
      <c r="M330" s="801"/>
      <c r="N330" s="801"/>
      <c r="O330" s="801"/>
      <c r="P330" s="801"/>
      <c r="Q330" s="59"/>
    </row>
    <row r="331" spans="1:32" ht="11.45" customHeight="1">
      <c r="A331" s="1597" t="s">
        <v>4166</v>
      </c>
      <c r="B331" s="1598"/>
      <c r="C331" s="1598"/>
      <c r="D331" s="1598"/>
      <c r="E331" s="1598"/>
      <c r="F331" s="1598"/>
      <c r="G331" s="1598"/>
      <c r="H331" s="1598"/>
      <c r="I331" s="1598"/>
      <c r="J331" s="1598"/>
      <c r="K331" s="1598"/>
      <c r="L331" s="1598"/>
      <c r="M331" s="1598"/>
      <c r="N331" s="1598"/>
      <c r="O331" s="1598"/>
      <c r="P331" s="1598"/>
      <c r="Q331" s="1599"/>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047"/>
      <c r="B333" s="1048"/>
      <c r="C333" s="1048"/>
      <c r="D333" s="1048"/>
      <c r="E333" s="1048"/>
      <c r="F333" s="1048"/>
      <c r="G333" s="1048"/>
      <c r="H333" s="1048"/>
      <c r="I333" s="1048"/>
      <c r="J333" s="1048"/>
      <c r="K333" s="1048"/>
      <c r="L333" s="1048"/>
      <c r="M333" s="1048"/>
      <c r="N333" s="1048"/>
      <c r="O333" s="1048"/>
      <c r="P333" s="1048"/>
      <c r="Q333" s="1049"/>
    </row>
    <row r="334" spans="1:32" ht="6" customHeight="1">
      <c r="A334" s="801"/>
      <c r="B334" s="162"/>
      <c r="C334" s="808"/>
      <c r="D334" s="808"/>
      <c r="E334" s="808"/>
      <c r="F334" s="808"/>
      <c r="G334" s="808"/>
      <c r="H334" s="808"/>
      <c r="I334" s="808"/>
      <c r="J334" s="808"/>
      <c r="K334" s="808"/>
      <c r="L334" s="808"/>
      <c r="M334" s="808"/>
      <c r="Q334" s="59"/>
    </row>
    <row r="335" spans="1:32" ht="13.9" customHeight="1">
      <c r="A335" s="810">
        <v>23</v>
      </c>
      <c r="B335" s="5" t="s">
        <v>3579</v>
      </c>
      <c r="C335" s="5"/>
      <c r="D335" s="5"/>
      <c r="E335" s="5"/>
      <c r="F335" s="5"/>
      <c r="G335" s="5"/>
      <c r="H335" s="808"/>
      <c r="I335" s="808"/>
      <c r="J335" s="808"/>
      <c r="O335" s="163" t="s">
        <v>2572</v>
      </c>
      <c r="P335" s="1050"/>
      <c r="Q335" s="1053"/>
    </row>
    <row r="336" spans="1:32" ht="13.9" customHeight="1">
      <c r="A336" s="810"/>
      <c r="B336" s="131" t="s">
        <v>3509</v>
      </c>
      <c r="C336" s="5"/>
      <c r="D336" s="5"/>
      <c r="E336" s="5"/>
      <c r="F336" s="5"/>
      <c r="G336" s="5"/>
      <c r="H336" s="808"/>
      <c r="I336" s="808"/>
      <c r="J336" s="808"/>
      <c r="S336" s="691" t="s">
        <v>3739</v>
      </c>
    </row>
    <row r="337" spans="2:32" ht="11.45" customHeight="1">
      <c r="B337" s="136" t="s">
        <v>2694</v>
      </c>
      <c r="C337" s="542" t="s">
        <v>3511</v>
      </c>
      <c r="D337" s="64"/>
      <c r="E337" s="813"/>
      <c r="F337" s="813"/>
      <c r="G337" s="813"/>
      <c r="H337" s="813"/>
      <c r="I337" s="49"/>
      <c r="O337" s="654" t="s">
        <v>2694</v>
      </c>
      <c r="S337" s="693" t="str">
        <f>IF(OR(P338="Yes",P339="Yes",P340="Yes",P341="Yes",P342="Yes",P343="Yes",P344="Yes"), "Yes","")</f>
        <v/>
      </c>
    </row>
    <row r="338" spans="2:32" s="164" customFormat="1" ht="11.25" customHeight="1">
      <c r="B338" s="183" t="s">
        <v>2430</v>
      </c>
      <c r="C338" s="1055" t="s">
        <v>3745</v>
      </c>
      <c r="D338" s="1055"/>
      <c r="E338" s="1055"/>
      <c r="F338" s="1055"/>
      <c r="G338" s="1055"/>
      <c r="H338" s="1055"/>
      <c r="I338" s="1055"/>
      <c r="J338" s="1055"/>
      <c r="K338" s="1055"/>
      <c r="L338" s="1055"/>
      <c r="M338" s="1055"/>
      <c r="N338" s="1055"/>
      <c r="O338" s="183" t="s">
        <v>2430</v>
      </c>
      <c r="P338" s="1643"/>
      <c r="Q338" s="323"/>
      <c r="AE338" s="657"/>
      <c r="AF338" s="657"/>
    </row>
    <row r="339" spans="2:32" s="164" customFormat="1" ht="21.75" customHeight="1">
      <c r="B339" s="183" t="s">
        <v>2431</v>
      </c>
      <c r="C339" s="1055" t="s">
        <v>3510</v>
      </c>
      <c r="D339" s="1055"/>
      <c r="E339" s="1055"/>
      <c r="F339" s="1055"/>
      <c r="G339" s="1055"/>
      <c r="H339" s="1055"/>
      <c r="I339" s="1055"/>
      <c r="J339" s="1055"/>
      <c r="K339" s="1055"/>
      <c r="L339" s="1055"/>
      <c r="M339" s="1055"/>
      <c r="N339" s="1055"/>
      <c r="O339" s="183" t="s">
        <v>2431</v>
      </c>
      <c r="P339" s="1643"/>
      <c r="Q339" s="323"/>
      <c r="AE339" s="657"/>
      <c r="AF339" s="657"/>
    </row>
    <row r="340" spans="2:32" s="164" customFormat="1" ht="21.75" customHeight="1">
      <c r="B340" s="183" t="s">
        <v>2432</v>
      </c>
      <c r="C340" s="1052" t="s">
        <v>3734</v>
      </c>
      <c r="D340" s="1052"/>
      <c r="E340" s="1052"/>
      <c r="F340" s="1052"/>
      <c r="G340" s="1052"/>
      <c r="H340" s="1052"/>
      <c r="I340" s="1052"/>
      <c r="J340" s="1052"/>
      <c r="K340" s="1052"/>
      <c r="L340" s="1052"/>
      <c r="M340" s="1052"/>
      <c r="N340" s="1052"/>
      <c r="O340" s="183" t="s">
        <v>2432</v>
      </c>
      <c r="P340" s="1643"/>
      <c r="Q340" s="323"/>
      <c r="AE340" s="657"/>
      <c r="AF340" s="657"/>
    </row>
    <row r="341" spans="2:32" s="164" customFormat="1" ht="21.75" customHeight="1">
      <c r="B341" s="183" t="s">
        <v>3120</v>
      </c>
      <c r="C341" s="1052" t="s">
        <v>3735</v>
      </c>
      <c r="D341" s="1052"/>
      <c r="E341" s="1052"/>
      <c r="F341" s="1052"/>
      <c r="G341" s="1052"/>
      <c r="H341" s="1052"/>
      <c r="I341" s="1052"/>
      <c r="J341" s="1052"/>
      <c r="K341" s="1052"/>
      <c r="L341" s="1052"/>
      <c r="M341" s="1052"/>
      <c r="N341" s="1052"/>
      <c r="O341" s="183" t="s">
        <v>3120</v>
      </c>
      <c r="P341" s="1643"/>
      <c r="Q341" s="323"/>
      <c r="AE341" s="657"/>
      <c r="AF341" s="657"/>
    </row>
    <row r="342" spans="2:32" s="164" customFormat="1" ht="33.75" customHeight="1">
      <c r="B342" s="183" t="s">
        <v>2009</v>
      </c>
      <c r="C342" s="1052" t="s">
        <v>3736</v>
      </c>
      <c r="D342" s="1052"/>
      <c r="E342" s="1052"/>
      <c r="F342" s="1052"/>
      <c r="G342" s="1052"/>
      <c r="H342" s="1052"/>
      <c r="I342" s="1052"/>
      <c r="J342" s="1052"/>
      <c r="K342" s="1052"/>
      <c r="L342" s="1052"/>
      <c r="M342" s="1052"/>
      <c r="N342" s="1052"/>
      <c r="O342" s="183" t="s">
        <v>2009</v>
      </c>
      <c r="P342" s="1643"/>
      <c r="Q342" s="323"/>
      <c r="AE342" s="657"/>
      <c r="AF342" s="657"/>
    </row>
    <row r="343" spans="2:32" s="164" customFormat="1" ht="21.75" customHeight="1">
      <c r="B343" s="199" t="s">
        <v>2010</v>
      </c>
      <c r="C343" s="1052" t="s">
        <v>3737</v>
      </c>
      <c r="D343" s="1052"/>
      <c r="E343" s="1052"/>
      <c r="F343" s="1052"/>
      <c r="G343" s="1052"/>
      <c r="H343" s="1052"/>
      <c r="I343" s="1052"/>
      <c r="J343" s="1052"/>
      <c r="K343" s="1052"/>
      <c r="L343" s="1052"/>
      <c r="M343" s="1052"/>
      <c r="N343" s="1052"/>
      <c r="O343" s="199" t="s">
        <v>2010</v>
      </c>
      <c r="P343" s="1643"/>
      <c r="Q343" s="323"/>
      <c r="AE343" s="657"/>
      <c r="AF343" s="657"/>
    </row>
    <row r="344" spans="2:32" s="164" customFormat="1" ht="21.75" customHeight="1">
      <c r="B344" s="199" t="s">
        <v>104</v>
      </c>
      <c r="C344" s="1052" t="s">
        <v>3738</v>
      </c>
      <c r="D344" s="1052"/>
      <c r="E344" s="1052"/>
      <c r="F344" s="1052"/>
      <c r="G344" s="1052"/>
      <c r="H344" s="1052"/>
      <c r="I344" s="1052"/>
      <c r="J344" s="1052"/>
      <c r="K344" s="1052"/>
      <c r="L344" s="1052"/>
      <c r="M344" s="1052"/>
      <c r="N344" s="1052"/>
      <c r="O344" s="199" t="s">
        <v>104</v>
      </c>
      <c r="P344" s="1643"/>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3512</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3513</v>
      </c>
      <c r="E347" s="580"/>
      <c r="F347" s="580"/>
      <c r="G347" s="580"/>
      <c r="H347" s="580"/>
      <c r="I347" s="580"/>
      <c r="J347" s="580"/>
      <c r="K347" s="580"/>
      <c r="L347" s="580"/>
      <c r="M347" s="580"/>
      <c r="N347" s="609"/>
      <c r="P347" s="78" t="s">
        <v>2430</v>
      </c>
      <c r="Q347" s="210"/>
    </row>
    <row r="348" spans="2:32" ht="11.25" customHeight="1">
      <c r="B348" s="78" t="s">
        <v>2431</v>
      </c>
      <c r="C348" s="166" t="s">
        <v>3514</v>
      </c>
      <c r="E348" s="166"/>
      <c r="F348" s="166"/>
      <c r="G348" s="166"/>
      <c r="H348" s="166"/>
      <c r="I348" s="44"/>
      <c r="J348" s="609"/>
      <c r="K348" s="609"/>
      <c r="L348" s="609"/>
      <c r="M348" s="609"/>
      <c r="N348" s="609"/>
      <c r="P348" s="78" t="s">
        <v>2431</v>
      </c>
      <c r="Q348" s="210"/>
    </row>
    <row r="349" spans="2:32" ht="11.25" customHeight="1">
      <c r="B349" s="78" t="s">
        <v>2432</v>
      </c>
      <c r="C349" s="61" t="s">
        <v>3657</v>
      </c>
      <c r="E349" s="61"/>
      <c r="F349" s="61"/>
      <c r="G349" s="61"/>
      <c r="H349" s="61"/>
      <c r="I349" s="61"/>
      <c r="J349" s="61"/>
      <c r="K349" s="61"/>
      <c r="L349" s="38"/>
      <c r="M349" s="38"/>
      <c r="N349" s="609"/>
      <c r="P349" s="78" t="s">
        <v>2432</v>
      </c>
      <c r="Q349" s="210"/>
    </row>
    <row r="350" spans="2:32" ht="11.25" customHeight="1">
      <c r="B350" s="78" t="s">
        <v>3120</v>
      </c>
      <c r="C350" s="61" t="s">
        <v>3515</v>
      </c>
      <c r="E350" s="61"/>
      <c r="F350" s="61"/>
      <c r="G350" s="61"/>
      <c r="H350" s="61"/>
      <c r="I350" s="61"/>
      <c r="J350" s="61"/>
      <c r="K350" s="61"/>
      <c r="L350" s="61"/>
      <c r="M350" s="61"/>
      <c r="N350" s="61"/>
      <c r="P350" s="78" t="s">
        <v>3120</v>
      </c>
      <c r="Q350" s="210"/>
    </row>
    <row r="351" spans="2:32" ht="11.25" customHeight="1">
      <c r="B351" s="78" t="s">
        <v>2009</v>
      </c>
      <c r="C351" s="61" t="s">
        <v>3516</v>
      </c>
      <c r="E351" s="61"/>
      <c r="F351" s="61"/>
      <c r="G351" s="61"/>
      <c r="H351" s="61"/>
      <c r="I351" s="61"/>
      <c r="J351" s="61"/>
      <c r="K351" s="61"/>
      <c r="L351" s="61"/>
      <c r="M351" s="61"/>
      <c r="N351" s="61"/>
      <c r="P351" s="78" t="s">
        <v>2009</v>
      </c>
      <c r="Q351" s="210"/>
    </row>
    <row r="352" spans="2:32" ht="11.25" customHeight="1">
      <c r="B352" s="654" t="s">
        <v>2010</v>
      </c>
      <c r="C352" s="172" t="s">
        <v>3658</v>
      </c>
      <c r="E352" s="172"/>
      <c r="F352" s="172"/>
      <c r="G352" s="172"/>
      <c r="H352" s="172"/>
      <c r="I352" s="172"/>
      <c r="J352" s="172"/>
      <c r="K352" s="172"/>
      <c r="L352" s="172"/>
      <c r="M352" s="172"/>
      <c r="N352" s="172"/>
      <c r="P352" s="654" t="s">
        <v>2010</v>
      </c>
      <c r="Q352" s="210"/>
    </row>
    <row r="353" spans="1:31" ht="11.25" customHeight="1">
      <c r="B353" s="654" t="s">
        <v>104</v>
      </c>
      <c r="C353" s="61" t="s">
        <v>3517</v>
      </c>
      <c r="E353" s="61"/>
      <c r="F353" s="61"/>
      <c r="G353" s="61"/>
      <c r="H353" s="61"/>
      <c r="I353" s="61"/>
      <c r="J353" s="61"/>
      <c r="K353" s="61"/>
      <c r="L353" s="61"/>
      <c r="M353" s="61"/>
      <c r="N353" s="61"/>
      <c r="P353" s="654" t="s">
        <v>104</v>
      </c>
      <c r="Q353" s="210"/>
    </row>
    <row r="354" spans="1:31" ht="11.25" customHeight="1">
      <c r="B354" s="654" t="s">
        <v>678</v>
      </c>
      <c r="C354" s="580" t="s">
        <v>3518</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2"/>
      <c r="I355" s="162"/>
      <c r="J355" s="162"/>
      <c r="K355" s="162"/>
      <c r="L355" s="801"/>
      <c r="M355" s="801"/>
      <c r="N355" s="801"/>
      <c r="O355" s="801"/>
      <c r="P355" s="801"/>
      <c r="Q355" s="59"/>
    </row>
    <row r="356" spans="1:31" ht="11.45" customHeight="1">
      <c r="A356" s="1597" t="s">
        <v>4166</v>
      </c>
      <c r="B356" s="1598"/>
      <c r="C356" s="1598"/>
      <c r="D356" s="1598"/>
      <c r="E356" s="1598"/>
      <c r="F356" s="1598"/>
      <c r="G356" s="1598"/>
      <c r="H356" s="1598"/>
      <c r="I356" s="1598"/>
      <c r="J356" s="1598"/>
      <c r="K356" s="1598"/>
      <c r="L356" s="1598"/>
      <c r="M356" s="1598"/>
      <c r="N356" s="1598"/>
      <c r="O356" s="1598"/>
      <c r="P356" s="1598"/>
      <c r="Q356" s="1599"/>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047"/>
      <c r="B358" s="1048"/>
      <c r="C358" s="1048"/>
      <c r="D358" s="1048"/>
      <c r="E358" s="1048"/>
      <c r="F358" s="1048"/>
      <c r="G358" s="1048"/>
      <c r="H358" s="1048"/>
      <c r="I358" s="1048"/>
      <c r="J358" s="1048"/>
      <c r="K358" s="1048"/>
      <c r="L358" s="1048"/>
      <c r="M358" s="1048"/>
      <c r="N358" s="1048"/>
      <c r="O358" s="1048"/>
      <c r="P358" s="1048"/>
      <c r="Q358" s="1049"/>
    </row>
    <row r="359" spans="1:31" ht="3" customHeight="1">
      <c r="A359" s="801"/>
      <c r="B359" s="162"/>
      <c r="C359" s="808"/>
      <c r="D359" s="808"/>
      <c r="E359" s="808"/>
      <c r="F359" s="808"/>
      <c r="G359" s="808"/>
      <c r="H359" s="808"/>
      <c r="I359" s="808"/>
      <c r="J359" s="808"/>
      <c r="K359" s="808"/>
      <c r="L359" s="808"/>
      <c r="M359" s="808"/>
      <c r="Q359" s="59"/>
    </row>
    <row r="360" spans="1:31" ht="13.9" customHeight="1">
      <c r="A360" s="810">
        <v>24</v>
      </c>
      <c r="B360" s="5" t="s">
        <v>3570</v>
      </c>
      <c r="C360" s="5"/>
      <c r="D360" s="5"/>
      <c r="E360" s="5"/>
      <c r="F360" s="5"/>
      <c r="G360" s="5"/>
      <c r="H360" s="808"/>
      <c r="I360" s="808"/>
      <c r="J360" s="808"/>
      <c r="O360" s="163" t="s">
        <v>2572</v>
      </c>
      <c r="P360" s="1050"/>
      <c r="Q360" s="1053"/>
    </row>
    <row r="361" spans="1:31" ht="11.45" customHeight="1">
      <c r="B361" s="54" t="s">
        <v>2694</v>
      </c>
      <c r="C361" s="143" t="s">
        <v>1438</v>
      </c>
      <c r="E361" s="1644"/>
      <c r="F361" s="1645"/>
      <c r="G361" s="1645"/>
      <c r="H361" s="1645"/>
      <c r="I361" s="1646"/>
      <c r="J361" s="1056" t="s">
        <v>3521</v>
      </c>
      <c r="K361" s="1057"/>
      <c r="L361" s="1058"/>
      <c r="M361" s="1644"/>
      <c r="N361" s="1645"/>
      <c r="O361" s="1645"/>
      <c r="P361" s="1645"/>
      <c r="Q361" s="1646"/>
    </row>
    <row r="362" spans="1:31" ht="11.45" customHeight="1">
      <c r="B362" s="54" t="s">
        <v>2697</v>
      </c>
      <c r="C362" s="61" t="s">
        <v>2433</v>
      </c>
      <c r="D362" s="61"/>
      <c r="E362" s="61"/>
      <c r="F362" s="61"/>
      <c r="G362" s="61"/>
      <c r="H362" s="61"/>
      <c r="I362" s="61"/>
      <c r="J362" s="61"/>
      <c r="K362" s="61"/>
      <c r="L362" s="38"/>
      <c r="M362" s="38"/>
      <c r="O362" s="654" t="s">
        <v>2697</v>
      </c>
      <c r="P362" s="1593"/>
      <c r="Q362" s="210"/>
    </row>
    <row r="363" spans="1:31" ht="22.5" customHeight="1">
      <c r="B363" s="174" t="s">
        <v>1054</v>
      </c>
      <c r="C363" s="1026" t="s">
        <v>3684</v>
      </c>
      <c r="D363" s="1026"/>
      <c r="E363" s="1026"/>
      <c r="F363" s="1026"/>
      <c r="G363" s="1026"/>
      <c r="H363" s="1026"/>
      <c r="I363" s="1026"/>
      <c r="J363" s="1026"/>
      <c r="K363" s="1026"/>
      <c r="L363" s="1026"/>
      <c r="M363" s="1026"/>
      <c r="N363" s="1026"/>
      <c r="O363" s="654" t="s">
        <v>1054</v>
      </c>
      <c r="P363" s="1593"/>
      <c r="Q363" s="210"/>
    </row>
    <row r="364" spans="1:31" ht="11.45" customHeight="1">
      <c r="B364" s="54" t="s">
        <v>2830</v>
      </c>
      <c r="C364" s="61" t="s">
        <v>3556</v>
      </c>
      <c r="D364" s="61"/>
      <c r="E364" s="61"/>
      <c r="F364" s="61"/>
      <c r="G364" s="61"/>
      <c r="H364" s="61"/>
      <c r="I364" s="61"/>
      <c r="J364" s="61"/>
      <c r="K364" s="61"/>
      <c r="L364" s="61"/>
      <c r="M364" s="61"/>
      <c r="O364" s="654" t="s">
        <v>2830</v>
      </c>
      <c r="P364" s="1593"/>
      <c r="Q364" s="210"/>
    </row>
    <row r="365" spans="1:31" ht="21.75" customHeight="1">
      <c r="B365" s="174" t="s">
        <v>2428</v>
      </c>
      <c r="C365" s="1044" t="s">
        <v>551</v>
      </c>
      <c r="D365" s="1044"/>
      <c r="E365" s="1044"/>
      <c r="F365" s="1044"/>
      <c r="G365" s="1044"/>
      <c r="H365" s="1044"/>
      <c r="I365" s="1044"/>
      <c r="J365" s="1044"/>
      <c r="K365" s="1044"/>
      <c r="L365" s="1044"/>
      <c r="M365" s="1044"/>
      <c r="N365" s="1044"/>
      <c r="O365" s="199" t="s">
        <v>2428</v>
      </c>
      <c r="P365" s="1593"/>
      <c r="Q365" s="210"/>
    </row>
    <row r="366" spans="1:31" ht="21.75" customHeight="1">
      <c r="B366" s="174" t="s">
        <v>2429</v>
      </c>
      <c r="C366" s="1026" t="s">
        <v>190</v>
      </c>
      <c r="D366" s="1026"/>
      <c r="E366" s="1026"/>
      <c r="F366" s="1026"/>
      <c r="G366" s="1026"/>
      <c r="H366" s="1026"/>
      <c r="I366" s="1026"/>
      <c r="J366" s="1026"/>
      <c r="K366" s="1026"/>
      <c r="L366" s="1026"/>
      <c r="M366" s="1026"/>
      <c r="N366" s="1026"/>
      <c r="O366" s="199" t="s">
        <v>2429</v>
      </c>
      <c r="P366" s="1643"/>
      <c r="Q366" s="210"/>
    </row>
    <row r="367" spans="1:31" ht="11.45" customHeight="1">
      <c r="B367" s="54" t="s">
        <v>2657</v>
      </c>
      <c r="C367" s="38" t="s">
        <v>723</v>
      </c>
      <c r="D367" s="185"/>
      <c r="E367" s="185"/>
      <c r="F367" s="185"/>
      <c r="G367" s="185"/>
      <c r="H367" s="185"/>
      <c r="I367" s="185"/>
      <c r="J367" s="185"/>
      <c r="K367" s="185"/>
      <c r="L367" s="185"/>
      <c r="M367" s="185"/>
      <c r="O367" s="654" t="s">
        <v>2657</v>
      </c>
      <c r="P367" s="1593"/>
      <c r="Q367" s="210"/>
    </row>
    <row r="368" spans="1:31" ht="11.25" customHeight="1">
      <c r="B368" s="173" t="s">
        <v>2570</v>
      </c>
      <c r="D368" s="173"/>
      <c r="E368" s="173"/>
      <c r="F368" s="173"/>
      <c r="G368" s="173"/>
      <c r="H368" s="812"/>
      <c r="I368" s="162"/>
      <c r="J368" s="162"/>
      <c r="K368" s="162"/>
      <c r="L368" s="801"/>
      <c r="M368" s="801"/>
      <c r="N368" s="801"/>
      <c r="O368" s="801"/>
      <c r="P368" s="801"/>
      <c r="Q368" s="59"/>
    </row>
    <row r="369" spans="1:32" ht="11.45" customHeight="1">
      <c r="A369" s="1597" t="s">
        <v>4166</v>
      </c>
      <c r="B369" s="1598"/>
      <c r="C369" s="1598"/>
      <c r="D369" s="1598"/>
      <c r="E369" s="1598"/>
      <c r="F369" s="1598"/>
      <c r="G369" s="1598"/>
      <c r="H369" s="1598"/>
      <c r="I369" s="1598"/>
      <c r="J369" s="1598"/>
      <c r="K369" s="1598"/>
      <c r="L369" s="1598"/>
      <c r="M369" s="1598"/>
      <c r="N369" s="1598"/>
      <c r="O369" s="1598"/>
      <c r="P369" s="1598"/>
      <c r="Q369" s="1599"/>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047"/>
      <c r="B371" s="1048"/>
      <c r="C371" s="1048"/>
      <c r="D371" s="1048"/>
      <c r="E371" s="1048"/>
      <c r="F371" s="1048"/>
      <c r="G371" s="1048"/>
      <c r="H371" s="1048"/>
      <c r="I371" s="1048"/>
      <c r="J371" s="1048"/>
      <c r="K371" s="1048"/>
      <c r="L371" s="1048"/>
      <c r="M371" s="1048"/>
      <c r="N371" s="1048"/>
      <c r="O371" s="1048"/>
      <c r="P371" s="1048"/>
      <c r="Q371" s="1049"/>
    </row>
    <row r="372" spans="1:32" ht="3.6" customHeight="1">
      <c r="A372" s="801"/>
      <c r="B372" s="162"/>
      <c r="C372" s="808"/>
      <c r="D372" s="808"/>
      <c r="E372" s="808"/>
      <c r="F372" s="808"/>
      <c r="G372" s="808"/>
      <c r="H372" s="808"/>
      <c r="I372" s="808"/>
      <c r="J372" s="808"/>
      <c r="K372" s="808"/>
      <c r="L372" s="808"/>
      <c r="M372" s="808"/>
      <c r="Q372" s="59"/>
    </row>
    <row r="373" spans="1:32" ht="13.9" customHeight="1">
      <c r="A373" s="810">
        <v>25</v>
      </c>
      <c r="B373" s="5" t="s">
        <v>3519</v>
      </c>
      <c r="C373" s="5"/>
      <c r="D373" s="104"/>
      <c r="E373" s="808"/>
      <c r="F373" s="808"/>
      <c r="G373" s="808"/>
      <c r="H373" s="808"/>
      <c r="I373" s="808"/>
      <c r="J373" s="808"/>
      <c r="K373" s="808"/>
      <c r="L373" s="808"/>
      <c r="M373" s="808"/>
      <c r="O373" s="163" t="s">
        <v>2572</v>
      </c>
      <c r="P373" s="1050"/>
      <c r="Q373" s="1053"/>
    </row>
    <row r="374" spans="1:32" s="1" customFormat="1" ht="23.45" customHeight="1">
      <c r="B374" s="174" t="s">
        <v>2694</v>
      </c>
      <c r="C374" s="1044" t="s">
        <v>162</v>
      </c>
      <c r="D374" s="1044"/>
      <c r="E374" s="1044"/>
      <c r="F374" s="1044"/>
      <c r="G374" s="1044"/>
      <c r="H374" s="1044"/>
      <c r="I374" s="1044"/>
      <c r="J374" s="1044"/>
      <c r="K374" s="1044"/>
      <c r="L374" s="1044"/>
      <c r="M374" s="199" t="s">
        <v>2694</v>
      </c>
      <c r="N374" s="1685" t="s">
        <v>4138</v>
      </c>
      <c r="O374" s="1686"/>
      <c r="P374" s="1042" t="s">
        <v>2466</v>
      </c>
      <c r="Q374" s="1043"/>
      <c r="AE374" s="6"/>
      <c r="AF374" s="6"/>
    </row>
    <row r="375" spans="1:32" s="1" customFormat="1" ht="12" customHeight="1">
      <c r="B375" s="54" t="s">
        <v>2697</v>
      </c>
      <c r="C375" s="140" t="s">
        <v>1</v>
      </c>
      <c r="D375" s="185"/>
      <c r="E375" s="185"/>
      <c r="G375" s="654" t="s">
        <v>2697</v>
      </c>
      <c r="H375" s="1647" t="s">
        <v>4153</v>
      </c>
      <c r="I375" s="1648"/>
      <c r="J375" s="1648"/>
      <c r="K375" s="1648"/>
      <c r="L375" s="1648"/>
      <c r="M375" s="1648"/>
      <c r="N375" s="1648"/>
      <c r="O375" s="1648"/>
      <c r="P375" s="1649"/>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3" t="s">
        <v>4104</v>
      </c>
      <c r="Q376" s="210"/>
      <c r="AE376" s="6"/>
      <c r="AF376" s="6"/>
    </row>
    <row r="377" spans="1:32" ht="11.25" customHeight="1">
      <c r="B377" s="173" t="s">
        <v>2570</v>
      </c>
      <c r="D377" s="173"/>
      <c r="E377" s="173"/>
      <c r="F377" s="173"/>
      <c r="G377" s="173"/>
      <c r="H377" s="812"/>
      <c r="I377" s="162"/>
      <c r="J377" s="162"/>
      <c r="K377" s="162"/>
      <c r="L377" s="801"/>
      <c r="M377" s="801"/>
      <c r="N377" s="801"/>
      <c r="O377" s="801"/>
      <c r="P377" s="801"/>
      <c r="Q377" s="59"/>
    </row>
    <row r="378" spans="1:32" ht="11.45" customHeight="1">
      <c r="A378" s="1597" t="s">
        <v>4167</v>
      </c>
      <c r="B378" s="1598"/>
      <c r="C378" s="1598"/>
      <c r="D378" s="1598"/>
      <c r="E378" s="1598"/>
      <c r="F378" s="1598"/>
      <c r="G378" s="1598"/>
      <c r="H378" s="1598"/>
      <c r="I378" s="1598"/>
      <c r="J378" s="1598"/>
      <c r="K378" s="1598"/>
      <c r="L378" s="1598"/>
      <c r="M378" s="1598"/>
      <c r="N378" s="1598"/>
      <c r="O378" s="1598"/>
      <c r="P378" s="1598"/>
      <c r="Q378" s="1599"/>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047"/>
      <c r="B381" s="1048"/>
      <c r="C381" s="1048"/>
      <c r="D381" s="1048"/>
      <c r="E381" s="1048"/>
      <c r="F381" s="1048"/>
      <c r="G381" s="1048"/>
      <c r="H381" s="1048"/>
      <c r="I381" s="1048"/>
      <c r="J381" s="1048"/>
      <c r="K381" s="1048"/>
      <c r="L381" s="1048"/>
      <c r="M381" s="1048"/>
      <c r="N381" s="1048"/>
      <c r="O381" s="1048"/>
      <c r="P381" s="1048"/>
      <c r="Q381" s="1049"/>
    </row>
    <row r="382" spans="1:32" ht="6" customHeight="1">
      <c r="A382" s="801"/>
      <c r="B382" s="162"/>
      <c r="C382" s="808"/>
      <c r="D382" s="808"/>
      <c r="E382" s="808"/>
      <c r="F382" s="808"/>
      <c r="G382" s="808"/>
      <c r="H382" s="808"/>
      <c r="I382" s="808"/>
      <c r="J382" s="808"/>
      <c r="K382" s="808"/>
      <c r="L382" s="808"/>
      <c r="M382" s="808"/>
      <c r="N382" s="808"/>
      <c r="O382" s="808"/>
      <c r="P382" s="808"/>
      <c r="Q382" s="801"/>
    </row>
    <row r="383" spans="1:32" ht="13.9" customHeight="1">
      <c r="A383" s="810">
        <v>26</v>
      </c>
      <c r="B383" s="5" t="s">
        <v>3505</v>
      </c>
      <c r="C383" s="5"/>
      <c r="D383" s="5"/>
      <c r="E383" s="808"/>
      <c r="G383" s="172" t="s">
        <v>890</v>
      </c>
      <c r="H383" s="808"/>
      <c r="I383" s="808"/>
      <c r="J383" s="808"/>
      <c r="K383" s="808"/>
      <c r="L383" s="808"/>
      <c r="M383" s="808"/>
      <c r="O383" s="163" t="s">
        <v>2572</v>
      </c>
      <c r="P383" s="1050"/>
      <c r="Q383" s="1051"/>
    </row>
    <row r="384" spans="1:32" ht="12" customHeight="1">
      <c r="A384" s="176"/>
      <c r="B384" s="54" t="s">
        <v>2694</v>
      </c>
      <c r="C384" s="61" t="s">
        <v>3524</v>
      </c>
      <c r="D384" s="607"/>
      <c r="E384" s="607"/>
      <c r="H384" s="172"/>
      <c r="O384" s="654" t="s">
        <v>2694</v>
      </c>
      <c r="P384" s="1593"/>
      <c r="Q384" s="210"/>
    </row>
    <row r="385" spans="1:31" ht="12" customHeight="1">
      <c r="A385" s="176"/>
      <c r="B385" s="54" t="s">
        <v>2697</v>
      </c>
      <c r="C385" s="61" t="s">
        <v>3525</v>
      </c>
      <c r="D385" s="607"/>
      <c r="E385" s="607"/>
      <c r="O385" s="654" t="s">
        <v>2697</v>
      </c>
      <c r="P385" s="1593"/>
      <c r="Q385" s="210"/>
    </row>
    <row r="386" spans="1:31" ht="12" customHeight="1">
      <c r="A386" s="176"/>
      <c r="B386" s="54" t="s">
        <v>1054</v>
      </c>
      <c r="C386" s="61" t="s">
        <v>3571</v>
      </c>
      <c r="D386" s="607"/>
      <c r="E386" s="607"/>
      <c r="O386" s="654" t="s">
        <v>1054</v>
      </c>
      <c r="P386" s="1593"/>
      <c r="Q386" s="210"/>
    </row>
    <row r="387" spans="1:31" ht="12" customHeight="1">
      <c r="A387" s="176"/>
      <c r="B387" s="54" t="s">
        <v>2830</v>
      </c>
      <c r="C387" s="61" t="s">
        <v>3520</v>
      </c>
      <c r="E387" s="172"/>
      <c r="O387" s="654" t="s">
        <v>2830</v>
      </c>
      <c r="P387" s="1593"/>
      <c r="Q387" s="210"/>
    </row>
    <row r="388" spans="1:31" ht="12" customHeight="1">
      <c r="B388" s="54" t="s">
        <v>2428</v>
      </c>
      <c r="C388" s="61" t="s">
        <v>2794</v>
      </c>
      <c r="E388" s="172"/>
      <c r="G388" s="654" t="s">
        <v>2428</v>
      </c>
      <c r="H388" s="1687"/>
      <c r="I388" s="1688"/>
      <c r="J388" s="1688"/>
      <c r="K388" s="1688"/>
      <c r="L388" s="1688"/>
      <c r="M388" s="1688"/>
      <c r="N388" s="1688"/>
      <c r="O388" s="1689"/>
      <c r="P388" s="1593"/>
      <c r="Q388" s="210"/>
    </row>
    <row r="389" spans="1:31" ht="11.25" customHeight="1">
      <c r="B389" s="173" t="s">
        <v>2570</v>
      </c>
      <c r="D389" s="173"/>
      <c r="E389" s="173"/>
      <c r="F389" s="173"/>
      <c r="G389" s="173"/>
      <c r="H389" s="812"/>
      <c r="I389" s="162"/>
      <c r="J389" s="162"/>
      <c r="K389" s="162"/>
      <c r="L389" s="801"/>
      <c r="M389" s="801"/>
      <c r="N389" s="801"/>
      <c r="O389" s="801"/>
      <c r="P389" s="801"/>
      <c r="Q389" s="59"/>
    </row>
    <row r="390" spans="1:31" ht="11.45" customHeight="1">
      <c r="A390" s="1597" t="s">
        <v>4182</v>
      </c>
      <c r="B390" s="1598"/>
      <c r="C390" s="1598"/>
      <c r="D390" s="1598"/>
      <c r="E390" s="1598"/>
      <c r="F390" s="1598"/>
      <c r="G390" s="1598"/>
      <c r="H390" s="1598"/>
      <c r="I390" s="1598"/>
      <c r="J390" s="1598"/>
      <c r="K390" s="1598"/>
      <c r="L390" s="1598"/>
      <c r="M390" s="1598"/>
      <c r="N390" s="1598"/>
      <c r="O390" s="1598"/>
      <c r="P390" s="1598"/>
      <c r="Q390" s="1599"/>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047"/>
      <c r="B392" s="1048"/>
      <c r="C392" s="1048"/>
      <c r="D392" s="1048"/>
      <c r="E392" s="1048"/>
      <c r="F392" s="1048"/>
      <c r="G392" s="1048"/>
      <c r="H392" s="1048"/>
      <c r="I392" s="1048"/>
      <c r="J392" s="1048"/>
      <c r="K392" s="1048"/>
      <c r="L392" s="1048"/>
      <c r="M392" s="1048"/>
      <c r="N392" s="1048"/>
      <c r="O392" s="1048"/>
      <c r="P392" s="1048"/>
      <c r="Q392" s="1049"/>
    </row>
    <row r="393" spans="1:31" ht="6" customHeight="1">
      <c r="A393" s="801"/>
      <c r="B393" s="162"/>
      <c r="C393" s="808"/>
      <c r="D393" s="808"/>
      <c r="E393" s="808"/>
      <c r="F393" s="808"/>
      <c r="G393" s="808"/>
      <c r="H393" s="808"/>
      <c r="I393" s="808"/>
      <c r="J393" s="808"/>
      <c r="K393" s="808"/>
      <c r="L393" s="808"/>
      <c r="M393" s="808"/>
      <c r="N393" s="808"/>
      <c r="O393" s="808"/>
      <c r="P393" s="808"/>
      <c r="Q393" s="801"/>
    </row>
    <row r="394" spans="1:31" ht="13.9" customHeight="1">
      <c r="A394" s="810">
        <v>27</v>
      </c>
      <c r="B394" s="5" t="s">
        <v>3506</v>
      </c>
      <c r="C394" s="5"/>
      <c r="D394" s="5"/>
      <c r="E394" s="5"/>
      <c r="F394" s="5"/>
      <c r="G394" s="5"/>
      <c r="H394" s="808"/>
      <c r="I394" s="808"/>
      <c r="J394" s="808"/>
      <c r="K394" s="808"/>
      <c r="L394" s="808"/>
      <c r="M394" s="808"/>
      <c r="O394" s="163" t="s">
        <v>2572</v>
      </c>
      <c r="P394" s="1050"/>
      <c r="Q394" s="1051"/>
    </row>
    <row r="395" spans="1:31" ht="12" customHeight="1">
      <c r="A395" s="49"/>
      <c r="B395" s="54" t="s">
        <v>2694</v>
      </c>
      <c r="C395" s="47" t="s">
        <v>1057</v>
      </c>
      <c r="D395" s="49"/>
      <c r="E395" s="49"/>
      <c r="F395" s="49"/>
      <c r="G395" s="49"/>
      <c r="H395" s="49"/>
      <c r="I395" s="49"/>
      <c r="J395" s="49"/>
      <c r="K395" s="49"/>
      <c r="L395" s="49"/>
      <c r="M395" s="49"/>
      <c r="N395" s="49"/>
      <c r="O395" s="654" t="s">
        <v>2694</v>
      </c>
      <c r="P395" s="1593" t="s">
        <v>4103</v>
      </c>
      <c r="Q395" s="210"/>
    </row>
    <row r="396" spans="1:31" ht="12" customHeight="1">
      <c r="A396" s="49"/>
      <c r="B396" s="54" t="s">
        <v>2697</v>
      </c>
      <c r="C396" s="47" t="s">
        <v>2922</v>
      </c>
      <c r="D396" s="49"/>
      <c r="E396" s="49"/>
      <c r="F396" s="49"/>
      <c r="G396" s="49"/>
      <c r="H396" s="49"/>
      <c r="I396" s="49"/>
      <c r="J396" s="49"/>
      <c r="K396" s="49"/>
      <c r="L396" s="49"/>
      <c r="M396" s="49"/>
      <c r="N396" s="49"/>
      <c r="O396" s="654" t="s">
        <v>1891</v>
      </c>
      <c r="P396" s="1593" t="s">
        <v>4103</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1593"/>
      <c r="Q398" s="210"/>
    </row>
    <row r="399" spans="1:31" ht="12" customHeight="1">
      <c r="A399" s="49"/>
      <c r="B399" s="54" t="s">
        <v>1054</v>
      </c>
      <c r="C399" s="1026" t="s">
        <v>2921</v>
      </c>
      <c r="D399" s="1026"/>
      <c r="E399" s="1026"/>
      <c r="F399" s="1026"/>
      <c r="G399" s="1026"/>
      <c r="H399" s="1026"/>
      <c r="I399" s="1026"/>
      <c r="J399" s="1026"/>
      <c r="K399" s="1026"/>
      <c r="L399" s="1026"/>
      <c r="M399" s="1026"/>
      <c r="N399" s="1026"/>
      <c r="O399" s="654" t="s">
        <v>1054</v>
      </c>
      <c r="P399" s="1593"/>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1538"/>
      <c r="H401" s="757" t="s">
        <v>266</v>
      </c>
      <c r="J401" s="166" t="s">
        <v>2927</v>
      </c>
      <c r="K401" s="38"/>
      <c r="N401" s="1538"/>
      <c r="O401" s="757" t="s">
        <v>266</v>
      </c>
    </row>
    <row r="402" spans="1:32" ht="12" customHeight="1">
      <c r="A402" s="49"/>
      <c r="B402" s="54"/>
      <c r="C402" s="166" t="s">
        <v>2925</v>
      </c>
      <c r="D402" s="44"/>
      <c r="E402" s="49"/>
      <c r="F402" s="38"/>
      <c r="G402" s="1544"/>
      <c r="H402" s="758"/>
      <c r="J402" s="166" t="s">
        <v>2928</v>
      </c>
      <c r="K402" s="38"/>
      <c r="N402" s="1550"/>
      <c r="O402" s="759"/>
    </row>
    <row r="403" spans="1:32" ht="12" customHeight="1">
      <c r="A403" s="49"/>
      <c r="B403" s="54"/>
      <c r="C403" s="166" t="s">
        <v>2926</v>
      </c>
      <c r="D403" s="44"/>
      <c r="E403" s="49"/>
      <c r="F403" s="38"/>
      <c r="G403" s="1550"/>
      <c r="H403" s="75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1651"/>
      <c r="H405" s="324"/>
      <c r="J405" s="578" t="s">
        <v>1597</v>
      </c>
      <c r="K405" s="38"/>
      <c r="N405" s="1676"/>
      <c r="O405" s="679"/>
    </row>
    <row r="406" spans="1:32" ht="12" customHeight="1">
      <c r="A406" s="49"/>
      <c r="B406" s="54"/>
      <c r="C406" s="578" t="s">
        <v>1596</v>
      </c>
      <c r="D406" s="38"/>
      <c r="E406" s="38"/>
      <c r="F406" s="38"/>
      <c r="G406" s="1653"/>
      <c r="H406" s="325"/>
      <c r="J406" s="578" t="s">
        <v>2981</v>
      </c>
      <c r="N406" s="1690"/>
      <c r="O406" s="1691"/>
      <c r="P406" s="1691"/>
      <c r="Q406" s="1692"/>
    </row>
    <row r="407" spans="1:32" ht="12" customHeight="1">
      <c r="B407" s="173" t="s">
        <v>2570</v>
      </c>
      <c r="D407" s="173"/>
      <c r="E407" s="173"/>
      <c r="F407" s="173"/>
      <c r="G407" s="173"/>
      <c r="H407" s="812"/>
      <c r="I407" s="162"/>
      <c r="J407" s="162"/>
      <c r="K407" s="162"/>
      <c r="P407" s="801"/>
      <c r="Q407" s="59"/>
    </row>
    <row r="408" spans="1:32" ht="12" customHeight="1">
      <c r="A408" s="1597" t="s">
        <v>4168</v>
      </c>
      <c r="B408" s="1598"/>
      <c r="C408" s="1598"/>
      <c r="D408" s="1598"/>
      <c r="E408" s="1598"/>
      <c r="F408" s="1598"/>
      <c r="G408" s="1598"/>
      <c r="H408" s="1598"/>
      <c r="I408" s="1598"/>
      <c r="J408" s="1598"/>
      <c r="K408" s="1598"/>
      <c r="L408" s="1598"/>
      <c r="M408" s="1598"/>
      <c r="N408" s="1598"/>
      <c r="O408" s="1598"/>
      <c r="P408" s="1598"/>
      <c r="Q408" s="1599"/>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047"/>
      <c r="B410" s="1048"/>
      <c r="C410" s="1048"/>
      <c r="D410" s="1048"/>
      <c r="E410" s="1048"/>
      <c r="F410" s="1048"/>
      <c r="G410" s="1048"/>
      <c r="H410" s="1048"/>
      <c r="I410" s="1048"/>
      <c r="J410" s="1048"/>
      <c r="K410" s="1048"/>
      <c r="L410" s="1048"/>
      <c r="M410" s="1048"/>
      <c r="N410" s="1048"/>
      <c r="O410" s="1048"/>
      <c r="P410" s="1048"/>
      <c r="Q410" s="1049"/>
    </row>
    <row r="411" spans="1:32" ht="7.15" customHeight="1">
      <c r="A411" s="801"/>
      <c r="B411" s="162"/>
      <c r="C411" s="808"/>
      <c r="D411" s="808"/>
      <c r="E411" s="808"/>
      <c r="F411" s="808"/>
      <c r="G411" s="808"/>
      <c r="H411" s="808"/>
      <c r="I411" s="808"/>
      <c r="J411" s="808"/>
      <c r="K411" s="808"/>
      <c r="L411" s="808"/>
      <c r="M411" s="808"/>
      <c r="Q411" s="59"/>
    </row>
    <row r="412" spans="1:32" ht="13.9" customHeight="1">
      <c r="A412" s="810">
        <v>28</v>
      </c>
      <c r="B412" s="5" t="s">
        <v>3507</v>
      </c>
      <c r="C412" s="5"/>
      <c r="D412" s="104"/>
      <c r="E412" s="808"/>
      <c r="F412" s="808"/>
      <c r="G412" s="808"/>
      <c r="H412" s="808"/>
      <c r="O412" s="163" t="s">
        <v>2572</v>
      </c>
      <c r="P412" s="1050"/>
      <c r="Q412" s="1053"/>
    </row>
    <row r="413" spans="1:32" s="164" customFormat="1" ht="21.75" customHeight="1">
      <c r="B413" s="174" t="s">
        <v>2694</v>
      </c>
      <c r="C413" s="1041" t="s">
        <v>3560</v>
      </c>
      <c r="D413" s="1041"/>
      <c r="E413" s="1041"/>
      <c r="F413" s="1041"/>
      <c r="G413" s="1041"/>
      <c r="H413" s="1041"/>
      <c r="I413" s="1041"/>
      <c r="J413" s="1041"/>
      <c r="K413" s="1041"/>
      <c r="L413" s="1041"/>
      <c r="M413" s="1041"/>
      <c r="N413" s="1041"/>
      <c r="O413" s="199" t="s">
        <v>2694</v>
      </c>
      <c r="P413" s="1643" t="s">
        <v>4139</v>
      </c>
      <c r="Q413" s="323"/>
      <c r="AE413" s="657"/>
      <c r="AF413" s="657"/>
    </row>
    <row r="414" spans="1:32" s="164" customFormat="1" ht="21.75" customHeight="1">
      <c r="B414" s="174" t="s">
        <v>2697</v>
      </c>
      <c r="C414" s="1041" t="s">
        <v>3561</v>
      </c>
      <c r="D414" s="1041"/>
      <c r="E414" s="1041"/>
      <c r="F414" s="1041"/>
      <c r="G414" s="1041"/>
      <c r="H414" s="1041"/>
      <c r="I414" s="1041"/>
      <c r="J414" s="1041"/>
      <c r="K414" s="1041"/>
      <c r="L414" s="1041"/>
      <c r="M414" s="1041"/>
      <c r="N414" s="1041"/>
      <c r="O414" s="199" t="s">
        <v>2697</v>
      </c>
      <c r="P414" s="1643" t="s">
        <v>4139</v>
      </c>
      <c r="Q414" s="323"/>
      <c r="AE414" s="657"/>
      <c r="AF414" s="657"/>
    </row>
    <row r="415" spans="1:32" s="164" customFormat="1" ht="21.75" customHeight="1">
      <c r="B415" s="174" t="s">
        <v>1054</v>
      </c>
      <c r="C415" s="1041" t="s">
        <v>3562</v>
      </c>
      <c r="D415" s="1041"/>
      <c r="E415" s="1041"/>
      <c r="F415" s="1041"/>
      <c r="G415" s="1041"/>
      <c r="H415" s="1041"/>
      <c r="I415" s="1041"/>
      <c r="J415" s="1041"/>
      <c r="K415" s="1041"/>
      <c r="L415" s="1041"/>
      <c r="M415" s="1041"/>
      <c r="N415" s="1041"/>
      <c r="O415" s="199" t="s">
        <v>1054</v>
      </c>
      <c r="P415" s="1643" t="s">
        <v>4139</v>
      </c>
      <c r="Q415" s="323"/>
      <c r="AE415" s="657"/>
      <c r="AF415" s="657"/>
    </row>
    <row r="416" spans="1:32" s="164" customFormat="1" ht="33.75" customHeight="1">
      <c r="B416" s="174" t="s">
        <v>2830</v>
      </c>
      <c r="C416" s="1041" t="s">
        <v>3563</v>
      </c>
      <c r="D416" s="1041"/>
      <c r="E416" s="1041"/>
      <c r="F416" s="1041"/>
      <c r="G416" s="1041"/>
      <c r="H416" s="1041"/>
      <c r="I416" s="1041"/>
      <c r="J416" s="1041"/>
      <c r="K416" s="1041"/>
      <c r="L416" s="1041"/>
      <c r="M416" s="1041"/>
      <c r="N416" s="1041"/>
      <c r="O416" s="199" t="s">
        <v>2830</v>
      </c>
      <c r="P416" s="1643" t="s">
        <v>4139</v>
      </c>
      <c r="Q416" s="323"/>
      <c r="AE416" s="657"/>
      <c r="AF416" s="657"/>
    </row>
    <row r="417" spans="1:32" s="164" customFormat="1" ht="34.5" customHeight="1">
      <c r="B417" s="174" t="s">
        <v>2428</v>
      </c>
      <c r="C417" s="1041" t="s">
        <v>3564</v>
      </c>
      <c r="D417" s="1041"/>
      <c r="E417" s="1041"/>
      <c r="F417" s="1041"/>
      <c r="G417" s="1041"/>
      <c r="H417" s="1041"/>
      <c r="I417" s="1041"/>
      <c r="J417" s="1041"/>
      <c r="K417" s="1041"/>
      <c r="L417" s="1041"/>
      <c r="M417" s="1041"/>
      <c r="N417" s="1041"/>
      <c r="O417" s="199" t="s">
        <v>2428</v>
      </c>
      <c r="P417" s="1643" t="s">
        <v>4139</v>
      </c>
      <c r="Q417" s="323"/>
      <c r="AE417" s="657"/>
      <c r="AF417" s="657"/>
    </row>
    <row r="418" spans="1:32" s="164" customFormat="1" ht="21.75" customHeight="1">
      <c r="B418" s="174" t="s">
        <v>2429</v>
      </c>
      <c r="C418" s="1041" t="s">
        <v>3565</v>
      </c>
      <c r="D418" s="1041"/>
      <c r="E418" s="1041"/>
      <c r="F418" s="1041"/>
      <c r="G418" s="1041"/>
      <c r="H418" s="1041"/>
      <c r="I418" s="1041"/>
      <c r="J418" s="1041"/>
      <c r="K418" s="1041"/>
      <c r="L418" s="1041"/>
      <c r="M418" s="1041"/>
      <c r="N418" s="1041"/>
      <c r="O418" s="199" t="s">
        <v>2429</v>
      </c>
      <c r="P418" s="1643" t="s">
        <v>4139</v>
      </c>
      <c r="Q418" s="323"/>
      <c r="AE418" s="657"/>
      <c r="AF418" s="657"/>
    </row>
    <row r="419" spans="1:32" ht="11.25" customHeight="1">
      <c r="B419" s="173" t="s">
        <v>2570</v>
      </c>
      <c r="D419" s="173"/>
      <c r="E419" s="173"/>
      <c r="F419" s="173"/>
      <c r="G419" s="173"/>
      <c r="H419" s="812"/>
      <c r="I419" s="162"/>
      <c r="J419" s="162"/>
      <c r="K419" s="162"/>
      <c r="L419" s="801"/>
      <c r="M419" s="801"/>
      <c r="N419" s="801"/>
      <c r="O419" s="801"/>
      <c r="P419" s="801"/>
      <c r="Q419" s="59"/>
    </row>
    <row r="420" spans="1:32" ht="11.45" customHeight="1">
      <c r="A420" s="1597" t="s">
        <v>4169</v>
      </c>
      <c r="B420" s="1598"/>
      <c r="C420" s="1598"/>
      <c r="D420" s="1598"/>
      <c r="E420" s="1598"/>
      <c r="F420" s="1598"/>
      <c r="G420" s="1598"/>
      <c r="H420" s="1598"/>
      <c r="I420" s="1598"/>
      <c r="J420" s="1598"/>
      <c r="K420" s="1598"/>
      <c r="L420" s="1598"/>
      <c r="M420" s="1598"/>
      <c r="N420" s="1598"/>
      <c r="O420" s="1598"/>
      <c r="P420" s="1598"/>
      <c r="Q420" s="1599"/>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047"/>
      <c r="B422" s="1048"/>
      <c r="C422" s="1048"/>
      <c r="D422" s="1048"/>
      <c r="E422" s="1048"/>
      <c r="F422" s="1048"/>
      <c r="G422" s="1048"/>
      <c r="H422" s="1048"/>
      <c r="I422" s="1048"/>
      <c r="J422" s="1048"/>
      <c r="K422" s="1048"/>
      <c r="L422" s="1048"/>
      <c r="M422" s="1048"/>
      <c r="N422" s="1048"/>
      <c r="O422" s="1048"/>
      <c r="P422" s="1048"/>
      <c r="Q422" s="1049"/>
    </row>
    <row r="423" spans="1:32" ht="7.15" customHeight="1">
      <c r="A423" s="801"/>
      <c r="B423" s="162"/>
      <c r="C423" s="808"/>
      <c r="D423" s="808"/>
      <c r="E423" s="808"/>
      <c r="F423" s="808"/>
      <c r="G423" s="808"/>
      <c r="H423" s="808"/>
      <c r="I423" s="808"/>
      <c r="J423" s="808"/>
      <c r="K423" s="808"/>
      <c r="L423" s="808"/>
      <c r="M423" s="808"/>
      <c r="Q423" s="59"/>
    </row>
    <row r="424" spans="1:32" ht="13.9" customHeight="1">
      <c r="A424" s="810">
        <v>29</v>
      </c>
      <c r="B424" s="5" t="s">
        <v>3508</v>
      </c>
      <c r="C424" s="5"/>
      <c r="D424" s="104"/>
      <c r="E424" s="808"/>
      <c r="F424" s="808"/>
      <c r="G424" s="808"/>
      <c r="H424" s="808"/>
      <c r="I424" s="808"/>
      <c r="J424" s="808"/>
      <c r="K424" s="808"/>
      <c r="L424" s="808"/>
      <c r="M424" s="808"/>
      <c r="O424" s="163" t="s">
        <v>2572</v>
      </c>
      <c r="P424" s="1050"/>
      <c r="Q424" s="1053"/>
    </row>
    <row r="425" spans="1:32" ht="11.25" customHeight="1">
      <c r="A425" s="810"/>
      <c r="B425" s="173" t="s">
        <v>2570</v>
      </c>
      <c r="D425" s="173"/>
      <c r="E425" s="173"/>
      <c r="F425" s="173"/>
      <c r="G425" s="173"/>
      <c r="H425" s="812"/>
      <c r="I425" s="162"/>
      <c r="J425" s="162"/>
      <c r="K425" s="162"/>
      <c r="L425" s="801"/>
      <c r="M425" s="801"/>
      <c r="N425" s="801"/>
      <c r="O425" s="801"/>
      <c r="P425" s="801"/>
      <c r="Q425" s="59"/>
    </row>
    <row r="426" spans="1:32" ht="11.45" customHeight="1">
      <c r="A426" s="1597" t="s">
        <v>4170</v>
      </c>
      <c r="B426" s="1598"/>
      <c r="C426" s="1598"/>
      <c r="D426" s="1598"/>
      <c r="E426" s="1598"/>
      <c r="F426" s="1598"/>
      <c r="G426" s="1598"/>
      <c r="H426" s="1598"/>
      <c r="I426" s="1598"/>
      <c r="J426" s="1598"/>
      <c r="K426" s="1598"/>
      <c r="L426" s="1598"/>
      <c r="M426" s="1598"/>
      <c r="N426" s="1598"/>
      <c r="O426" s="1598"/>
      <c r="P426" s="1598"/>
      <c r="Q426" s="1599"/>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047"/>
      <c r="B428" s="1048"/>
      <c r="C428" s="1048"/>
      <c r="D428" s="1048"/>
      <c r="E428" s="1048"/>
      <c r="F428" s="1048"/>
      <c r="G428" s="1048"/>
      <c r="H428" s="1048"/>
      <c r="I428" s="1048"/>
      <c r="J428" s="1048"/>
      <c r="K428" s="1048"/>
      <c r="L428" s="1048"/>
      <c r="M428" s="1048"/>
      <c r="N428" s="1048"/>
      <c r="O428" s="1048"/>
      <c r="P428" s="1048"/>
      <c r="Q428" s="1049"/>
    </row>
    <row r="429" spans="1:32" ht="3" customHeight="1">
      <c r="A429" s="801"/>
      <c r="B429" s="162"/>
      <c r="C429" s="808"/>
      <c r="D429" s="808"/>
      <c r="E429" s="808"/>
      <c r="F429" s="808"/>
      <c r="G429" s="808"/>
      <c r="H429" s="808"/>
      <c r="I429" s="808"/>
      <c r="J429" s="808"/>
      <c r="K429" s="808"/>
      <c r="L429" s="808"/>
      <c r="M429" s="808"/>
      <c r="N429" s="808"/>
      <c r="O429" s="808"/>
      <c r="P429" s="808"/>
      <c r="Q429" s="801"/>
    </row>
    <row r="430" spans="1:32" s="181" customFormat="1" ht="8.4499999999999993" customHeight="1">
      <c r="A430" s="801"/>
      <c r="B430" s="162"/>
      <c r="C430" s="808"/>
      <c r="D430" s="808"/>
      <c r="E430" s="808"/>
      <c r="F430" s="808"/>
      <c r="G430" s="808"/>
      <c r="H430" s="808"/>
      <c r="I430" s="808"/>
      <c r="J430" s="808"/>
      <c r="K430" s="808"/>
      <c r="L430" s="808"/>
      <c r="M430" s="808"/>
      <c r="AE430" s="658"/>
      <c r="AF430" s="658"/>
    </row>
    <row r="431" spans="1:32" s="181" customFormat="1" ht="3" customHeight="1">
      <c r="A431" s="801"/>
      <c r="B431" s="162"/>
      <c r="C431" s="808"/>
      <c r="D431" s="808"/>
      <c r="E431" s="808"/>
      <c r="F431" s="808"/>
      <c r="G431" s="808"/>
      <c r="H431" s="808"/>
      <c r="I431" s="808"/>
      <c r="J431" s="808"/>
      <c r="K431" s="808"/>
      <c r="L431" s="808"/>
      <c r="M431" s="808"/>
      <c r="N431" s="808"/>
      <c r="O431" s="808"/>
      <c r="P431" s="808"/>
      <c r="Q431" s="801"/>
      <c r="AE431" s="658"/>
      <c r="AF431" s="658"/>
    </row>
    <row r="432" spans="1:32" s="181" customFormat="1" ht="12" customHeight="1">
      <c r="A432" s="1693"/>
      <c r="B432" s="1693"/>
      <c r="C432" s="1693"/>
      <c r="D432" s="1693"/>
      <c r="E432" s="1693"/>
      <c r="F432" s="1693"/>
      <c r="G432" s="1693"/>
      <c r="H432" s="1693"/>
      <c r="I432" s="1693"/>
      <c r="J432" s="1693"/>
      <c r="K432" s="1693"/>
      <c r="L432" s="1693"/>
      <c r="M432" s="1693"/>
      <c r="N432" s="1693"/>
      <c r="O432" s="1693"/>
      <c r="P432" s="1693"/>
      <c r="Q432" s="1693"/>
      <c r="AE432" s="658"/>
      <c r="AF432" s="658"/>
    </row>
    <row r="433" spans="1:32" s="181" customFormat="1" ht="12" customHeight="1">
      <c r="A433" s="1693"/>
      <c r="B433" s="1693"/>
      <c r="C433" s="1693"/>
      <c r="D433" s="1693"/>
      <c r="E433" s="1693"/>
      <c r="F433" s="1693"/>
      <c r="G433" s="1693"/>
      <c r="H433" s="1693"/>
      <c r="I433" s="1693"/>
      <c r="J433" s="1693"/>
      <c r="K433" s="1693"/>
      <c r="L433" s="1693"/>
      <c r="M433" s="1693"/>
      <c r="N433" s="1693"/>
      <c r="O433" s="1693"/>
      <c r="P433" s="1693"/>
      <c r="Q433" s="1693"/>
      <c r="AE433" s="658"/>
      <c r="AF433" s="658"/>
    </row>
    <row r="434" spans="1:32" s="181" customFormat="1" ht="12" customHeight="1">
      <c r="A434" s="1693"/>
      <c r="B434" s="1693"/>
      <c r="C434" s="1693"/>
      <c r="D434" s="1693"/>
      <c r="E434" s="1693"/>
      <c r="F434" s="1693"/>
      <c r="G434" s="1693"/>
      <c r="H434" s="1693"/>
      <c r="I434" s="1693"/>
      <c r="J434" s="1693"/>
      <c r="K434" s="1693"/>
      <c r="L434" s="1693"/>
      <c r="M434" s="1693"/>
      <c r="N434" s="1693"/>
      <c r="O434" s="1693"/>
      <c r="P434" s="1693"/>
      <c r="Q434" s="1693"/>
      <c r="AE434" s="658"/>
      <c r="AF434" s="658"/>
    </row>
    <row r="435" spans="1:32" s="181" customFormat="1" ht="12" customHeight="1">
      <c r="A435" s="1693"/>
      <c r="B435" s="1693"/>
      <c r="C435" s="1693"/>
      <c r="D435" s="1693"/>
      <c r="E435" s="1693"/>
      <c r="F435" s="1693"/>
      <c r="G435" s="1693"/>
      <c r="H435" s="1693"/>
      <c r="I435" s="1693"/>
      <c r="J435" s="1693"/>
      <c r="K435" s="1693"/>
      <c r="L435" s="1693"/>
      <c r="M435" s="1693"/>
      <c r="N435" s="1693"/>
      <c r="O435" s="1693"/>
      <c r="P435" s="1693"/>
      <c r="Q435" s="1693"/>
      <c r="AE435" s="658"/>
      <c r="AF435" s="658"/>
    </row>
    <row r="436" spans="1:32" s="181" customFormat="1" ht="12" customHeight="1">
      <c r="A436" s="1693"/>
      <c r="B436" s="1693"/>
      <c r="C436" s="1693"/>
      <c r="D436" s="1693"/>
      <c r="E436" s="1693"/>
      <c r="F436" s="1693"/>
      <c r="G436" s="1693"/>
      <c r="H436" s="1693"/>
      <c r="I436" s="1693"/>
      <c r="J436" s="1693"/>
      <c r="K436" s="1693"/>
      <c r="L436" s="1693"/>
      <c r="M436" s="1693"/>
      <c r="N436" s="1693"/>
      <c r="O436" s="1693"/>
      <c r="P436" s="1693"/>
      <c r="Q436" s="1693"/>
      <c r="AE436" s="658"/>
      <c r="AF436" s="658"/>
    </row>
    <row r="437" spans="1:32" s="181" customFormat="1" ht="12" customHeight="1">
      <c r="A437" s="1693"/>
      <c r="B437" s="1693"/>
      <c r="C437" s="1693"/>
      <c r="D437" s="1693"/>
      <c r="E437" s="1693"/>
      <c r="F437" s="1693"/>
      <c r="G437" s="1693"/>
      <c r="H437" s="1693"/>
      <c r="I437" s="1693"/>
      <c r="J437" s="1693"/>
      <c r="K437" s="1693"/>
      <c r="L437" s="1693"/>
      <c r="M437" s="1693"/>
      <c r="N437" s="1693"/>
      <c r="O437" s="1693"/>
      <c r="P437" s="1693"/>
      <c r="Q437" s="1693"/>
      <c r="AE437" s="658"/>
      <c r="AF437" s="658"/>
    </row>
    <row r="438" spans="1:32" s="181" customFormat="1" ht="12" customHeight="1">
      <c r="A438" s="1693"/>
      <c r="B438" s="1693"/>
      <c r="C438" s="1693"/>
      <c r="D438" s="1693"/>
      <c r="E438" s="1693"/>
      <c r="F438" s="1693"/>
      <c r="G438" s="1693"/>
      <c r="H438" s="1693"/>
      <c r="I438" s="1693"/>
      <c r="J438" s="1693"/>
      <c r="K438" s="1693"/>
      <c r="L438" s="1693"/>
      <c r="M438" s="1693"/>
      <c r="N438" s="1693"/>
      <c r="O438" s="1693"/>
      <c r="P438" s="1693"/>
      <c r="Q438" s="1693"/>
      <c r="AE438" s="658"/>
      <c r="AF438" s="658"/>
    </row>
    <row r="439" spans="1:32" s="181" customFormat="1" ht="12" customHeight="1">
      <c r="A439" s="1693"/>
      <c r="B439" s="1693"/>
      <c r="C439" s="1693"/>
      <c r="D439" s="1693"/>
      <c r="E439" s="1693"/>
      <c r="F439" s="1693"/>
      <c r="G439" s="1693"/>
      <c r="H439" s="1693"/>
      <c r="I439" s="1693"/>
      <c r="J439" s="1693"/>
      <c r="K439" s="1693"/>
      <c r="L439" s="1693"/>
      <c r="M439" s="1693"/>
      <c r="N439" s="1693"/>
      <c r="O439" s="1693"/>
      <c r="P439" s="1693"/>
      <c r="Q439" s="1693"/>
      <c r="AE439" s="658"/>
      <c r="AF439" s="658"/>
    </row>
    <row r="440" spans="1:32" s="181" customFormat="1" ht="12" customHeight="1">
      <c r="A440" s="1693"/>
      <c r="B440" s="1693"/>
      <c r="C440" s="1693"/>
      <c r="D440" s="1693"/>
      <c r="E440" s="1693"/>
      <c r="F440" s="1693"/>
      <c r="G440" s="1693"/>
      <c r="H440" s="1693"/>
      <c r="I440" s="1693"/>
      <c r="J440" s="1693"/>
      <c r="K440" s="1693"/>
      <c r="L440" s="1693"/>
      <c r="M440" s="1693"/>
      <c r="N440" s="1693"/>
      <c r="O440" s="1693"/>
      <c r="P440" s="1693"/>
      <c r="Q440" s="1693"/>
      <c r="AE440" s="658"/>
      <c r="AF440" s="658"/>
    </row>
    <row r="441" spans="1:32" s="181" customFormat="1" ht="12" customHeight="1">
      <c r="A441" s="1693"/>
      <c r="B441" s="1693"/>
      <c r="C441" s="1693"/>
      <c r="D441" s="1693"/>
      <c r="E441" s="1693"/>
      <c r="F441" s="1693"/>
      <c r="G441" s="1693"/>
      <c r="H441" s="1693"/>
      <c r="I441" s="1693"/>
      <c r="J441" s="1693"/>
      <c r="K441" s="1693"/>
      <c r="L441" s="1693"/>
      <c r="M441" s="1693"/>
      <c r="N441" s="1693"/>
      <c r="O441" s="1693"/>
      <c r="P441" s="1693"/>
      <c r="Q441" s="1693"/>
      <c r="AE441" s="658"/>
      <c r="AF441" s="658"/>
    </row>
    <row r="442" spans="1:32" s="181" customFormat="1" ht="12" customHeight="1">
      <c r="A442" s="1693"/>
      <c r="B442" s="1693"/>
      <c r="C442" s="1693"/>
      <c r="D442" s="1693"/>
      <c r="E442" s="1693"/>
      <c r="F442" s="1693"/>
      <c r="G442" s="1693"/>
      <c r="H442" s="1693"/>
      <c r="I442" s="1693"/>
      <c r="J442" s="1693"/>
      <c r="K442" s="1693"/>
      <c r="L442" s="1693"/>
      <c r="M442" s="1693"/>
      <c r="N442" s="1693"/>
      <c r="O442" s="1693"/>
      <c r="P442" s="1693"/>
      <c r="Q442" s="1693"/>
      <c r="AE442" s="658"/>
      <c r="AF442" s="658"/>
    </row>
    <row r="443" spans="1:32" s="181" customFormat="1" ht="12" customHeight="1">
      <c r="A443" s="1693"/>
      <c r="B443" s="1693"/>
      <c r="C443" s="1693"/>
      <c r="D443" s="1693"/>
      <c r="E443" s="1693"/>
      <c r="F443" s="1693"/>
      <c r="G443" s="1693"/>
      <c r="H443" s="1693"/>
      <c r="I443" s="1693"/>
      <c r="J443" s="1693"/>
      <c r="K443" s="1693"/>
      <c r="L443" s="1693"/>
      <c r="M443" s="1693"/>
      <c r="N443" s="1693"/>
      <c r="O443" s="1693"/>
      <c r="P443" s="1693"/>
      <c r="Q443" s="1693"/>
      <c r="AE443" s="658"/>
      <c r="AF443" s="658"/>
    </row>
    <row r="444" spans="1:32" s="181" customFormat="1" ht="12" customHeight="1">
      <c r="A444" s="1693"/>
      <c r="B444" s="1693"/>
      <c r="C444" s="1693"/>
      <c r="D444" s="1693"/>
      <c r="E444" s="1693"/>
      <c r="F444" s="1693"/>
      <c r="G444" s="1693"/>
      <c r="H444" s="1693"/>
      <c r="I444" s="1693"/>
      <c r="J444" s="1693"/>
      <c r="K444" s="1693"/>
      <c r="L444" s="1693"/>
      <c r="M444" s="1693"/>
      <c r="N444" s="1693"/>
      <c r="O444" s="1693"/>
      <c r="P444" s="1693"/>
      <c r="Q444" s="1693"/>
      <c r="AE444" s="658"/>
      <c r="AF444" s="658"/>
    </row>
    <row r="445" spans="1:32" s="181" customFormat="1" ht="12" customHeight="1">
      <c r="A445" s="1694"/>
      <c r="B445" s="1694"/>
      <c r="C445" s="1694"/>
      <c r="D445" s="1694"/>
      <c r="E445" s="1694"/>
      <c r="F445" s="1694"/>
      <c r="G445" s="1694"/>
      <c r="H445" s="1694"/>
      <c r="I445" s="1694"/>
      <c r="J445" s="1694"/>
      <c r="K445" s="1694"/>
      <c r="L445" s="1694"/>
      <c r="M445" s="1694"/>
      <c r="N445" s="1693"/>
      <c r="O445" s="1693"/>
      <c r="P445" s="1693"/>
      <c r="Q445" s="1693"/>
      <c r="AE445" s="658"/>
      <c r="AF445" s="658"/>
    </row>
    <row r="446" spans="1:32" s="181" customFormat="1" ht="12" customHeight="1">
      <c r="A446" s="1694"/>
      <c r="B446" s="1694"/>
      <c r="C446" s="1694"/>
      <c r="D446" s="1694"/>
      <c r="E446" s="1694"/>
      <c r="F446" s="1694"/>
      <c r="G446" s="1694"/>
      <c r="H446" s="1694"/>
      <c r="I446" s="1694"/>
      <c r="J446" s="1694"/>
      <c r="K446" s="1694"/>
      <c r="L446" s="1694"/>
      <c r="M446" s="1694"/>
      <c r="N446" s="1693"/>
      <c r="O446" s="1693"/>
      <c r="P446" s="1693"/>
      <c r="Q446" s="1693"/>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3526</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3527</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3528</v>
      </c>
      <c r="D511" s="710"/>
      <c r="E511" s="710"/>
      <c r="F511" s="710"/>
      <c r="G511" s="710"/>
      <c r="H511" s="710"/>
      <c r="I511" s="710"/>
      <c r="J511" s="710"/>
      <c r="K511" s="710" t="s">
        <v>1491</v>
      </c>
      <c r="L511" s="714"/>
      <c r="M511" s="710"/>
      <c r="AE511" s="551"/>
      <c r="AF511" s="551"/>
    </row>
    <row r="512" spans="1:32" s="64" customFormat="1" ht="11.25">
      <c r="A512" s="710"/>
      <c r="B512" s="710"/>
      <c r="C512" s="623" t="s">
        <v>3529</v>
      </c>
      <c r="D512" s="710"/>
      <c r="E512" s="710"/>
      <c r="F512" s="710"/>
      <c r="G512" s="710"/>
      <c r="H512" s="710"/>
      <c r="I512" s="710"/>
      <c r="J512" s="710"/>
      <c r="K512" s="710" t="s">
        <v>3484</v>
      </c>
      <c r="L512" s="710"/>
      <c r="M512" s="710"/>
      <c r="AE512" s="551"/>
      <c r="AF512" s="551"/>
    </row>
    <row r="513" spans="1:32" s="64" customFormat="1" ht="11.25">
      <c r="A513" s="710"/>
      <c r="B513" s="710"/>
      <c r="C513" s="714" t="s">
        <v>1625</v>
      </c>
      <c r="D513" s="710"/>
      <c r="E513" s="710"/>
      <c r="F513" s="710"/>
      <c r="G513" s="710"/>
      <c r="H513" s="710"/>
      <c r="I513" s="710"/>
      <c r="J513" s="710"/>
      <c r="K513" s="710" t="s">
        <v>3485</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3683</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3287</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2"/>
      <c r="H708" s="812"/>
      <c r="I708" s="812"/>
      <c r="J708" s="812"/>
      <c r="K708" s="82"/>
      <c r="L708" s="82"/>
      <c r="M708" s="82"/>
      <c r="N708" s="43"/>
      <c r="O708" s="812"/>
      <c r="P708" s="812"/>
      <c r="Q708" s="82"/>
      <c r="AE708" s="57"/>
      <c r="AF708" s="57"/>
    </row>
    <row r="709" spans="1:32" s="49" customFormat="1" ht="11.25" customHeight="1">
      <c r="A709" s="812"/>
      <c r="B709" s="812"/>
      <c r="C709" s="812"/>
      <c r="D709" s="43"/>
      <c r="E709" s="43"/>
      <c r="F709" s="43"/>
      <c r="G709" s="812"/>
      <c r="H709" s="812"/>
      <c r="I709" s="812"/>
      <c r="J709" s="812"/>
      <c r="K709" s="812"/>
      <c r="L709" s="812"/>
      <c r="M709" s="812"/>
      <c r="N709" s="43"/>
      <c r="O709" s="812"/>
      <c r="P709" s="812"/>
      <c r="Q709" s="812"/>
      <c r="AE709" s="57"/>
      <c r="AF709" s="57"/>
    </row>
    <row r="710" spans="1:32" s="49" customFormat="1" ht="11.25" customHeight="1">
      <c r="A710" s="812"/>
      <c r="B710" s="812"/>
      <c r="C710" s="812"/>
      <c r="D710" s="43"/>
      <c r="E710" s="43"/>
      <c r="F710" s="43"/>
      <c r="G710" s="812"/>
      <c r="H710" s="812"/>
      <c r="I710" s="812"/>
      <c r="J710" s="812"/>
      <c r="K710" s="812"/>
      <c r="L710" s="812"/>
      <c r="M710" s="812"/>
      <c r="N710" s="43"/>
      <c r="O710" s="812"/>
      <c r="P710" s="812"/>
      <c r="Q710" s="812"/>
      <c r="AE710" s="57"/>
      <c r="AF710" s="57"/>
    </row>
    <row r="711" spans="1:32" s="49" customFormat="1" ht="11.25" customHeight="1">
      <c r="A711" s="812"/>
      <c r="B711" s="812"/>
      <c r="C711" s="812"/>
      <c r="D711" s="43"/>
      <c r="E711" s="43"/>
      <c r="F711" s="43"/>
      <c r="G711" s="812"/>
      <c r="H711" s="812"/>
      <c r="I711" s="812"/>
      <c r="J711" s="812"/>
      <c r="K711" s="812"/>
      <c r="L711" s="812"/>
      <c r="M711" s="812"/>
      <c r="N711" s="43"/>
      <c r="O711" s="812"/>
      <c r="P711" s="812"/>
      <c r="Q711" s="812"/>
      <c r="AE711" s="57"/>
      <c r="AF711" s="57"/>
    </row>
    <row r="712" spans="1:32" s="49" customFormat="1" ht="11.25" customHeight="1">
      <c r="A712" s="812"/>
      <c r="B712" s="812"/>
      <c r="C712" s="812"/>
      <c r="D712" s="43"/>
      <c r="E712" s="43"/>
      <c r="F712" s="43"/>
      <c r="G712" s="43"/>
      <c r="H712" s="43"/>
      <c r="I712" s="812"/>
      <c r="J712" s="812"/>
      <c r="K712" s="812"/>
      <c r="L712" s="812"/>
      <c r="M712" s="812"/>
      <c r="N712" s="43"/>
      <c r="O712" s="812"/>
      <c r="P712" s="43"/>
      <c r="Q712" s="812"/>
      <c r="AE712" s="57"/>
      <c r="AF712" s="57"/>
    </row>
    <row r="713" spans="1:32">
      <c r="A713" s="812"/>
      <c r="B713" s="812"/>
      <c r="C713" s="812"/>
      <c r="K713" s="812"/>
      <c r="L713" s="812"/>
      <c r="M713" s="812"/>
      <c r="Q713" s="812"/>
    </row>
  </sheetData>
  <sheetProtection password="BD88" sheet="1" objects="1" scenarios="1" formatColumns="0" formatRows="0"/>
  <mergeCells count="240">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18" t="str">
        <f>CONCATENATE("PART NINE - SCORING CRITERIA","  -  ",'Part I-Project Information'!$O$4," ",'Part I-Project Information'!$F$23,", ",'Part I-Project Information'!F26,", ",'Part I-Project Information'!J27," County")</f>
        <v>PART NINE - SCORING CRITERIA  -  2013-001 Forest Mill Apartments, West Point, Troup County</v>
      </c>
      <c r="B1" s="919"/>
      <c r="C1" s="919"/>
      <c r="D1" s="919"/>
      <c r="E1" s="919"/>
      <c r="F1" s="919"/>
      <c r="G1" s="919"/>
      <c r="H1" s="919"/>
      <c r="I1" s="919"/>
      <c r="J1" s="919"/>
      <c r="K1" s="919"/>
      <c r="L1" s="919"/>
      <c r="M1" s="919"/>
      <c r="N1" s="919"/>
      <c r="O1" s="919"/>
      <c r="P1" s="920"/>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55</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3381</v>
      </c>
      <c r="G10" s="38">
        <f>F16</f>
        <v>0</v>
      </c>
      <c r="H10" s="221" t="s">
        <v>274</v>
      </c>
      <c r="M10" s="7"/>
      <c r="N10" s="77" t="s">
        <v>2694</v>
      </c>
      <c r="O10" s="1695">
        <v>0</v>
      </c>
      <c r="P10" s="65"/>
    </row>
    <row r="11" spans="1:19" s="50" customFormat="1" ht="11.25" customHeight="1">
      <c r="A11" s="230"/>
      <c r="B11" s="131" t="s">
        <v>2828</v>
      </c>
      <c r="D11" s="55"/>
      <c r="E11" s="55"/>
      <c r="F11" s="669" t="s">
        <v>3381</v>
      </c>
      <c r="G11" s="38">
        <f>P16</f>
        <v>0</v>
      </c>
      <c r="H11" s="221" t="s">
        <v>3965</v>
      </c>
      <c r="J11" s="56"/>
      <c r="M11" s="7">
        <v>1</v>
      </c>
      <c r="N11" s="77"/>
      <c r="O11" s="1695">
        <v>0</v>
      </c>
      <c r="P11" s="65"/>
    </row>
    <row r="12" spans="1:19" s="49" customFormat="1" ht="11.25" customHeight="1">
      <c r="A12" s="230" t="s">
        <v>2697</v>
      </c>
      <c r="B12" s="213" t="s">
        <v>1031</v>
      </c>
      <c r="D12" s="55"/>
      <c r="E12" s="55"/>
      <c r="F12" s="669" t="s">
        <v>3381</v>
      </c>
      <c r="G12" s="38">
        <f>K16</f>
        <v>0</v>
      </c>
      <c r="H12" s="221" t="s">
        <v>3685</v>
      </c>
      <c r="J12" s="56"/>
      <c r="M12" s="7"/>
      <c r="N12" s="77" t="s">
        <v>2697</v>
      </c>
      <c r="O12" s="1695">
        <v>0</v>
      </c>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597"/>
      <c r="B14" s="1598"/>
      <c r="C14" s="1598"/>
      <c r="D14" s="1598"/>
      <c r="E14" s="1598"/>
      <c r="F14" s="1598"/>
      <c r="G14" s="1598"/>
      <c r="H14" s="1598"/>
      <c r="I14" s="1598"/>
      <c r="J14" s="1598"/>
      <c r="K14" s="1598"/>
      <c r="L14" s="1598"/>
      <c r="M14" s="1598"/>
      <c r="N14" s="1598"/>
      <c r="O14" s="1598"/>
      <c r="P14" s="1599"/>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39" t="s">
        <v>3164</v>
      </c>
      <c r="B16" s="1139"/>
      <c r="C16" s="1139"/>
      <c r="D16" s="1139"/>
      <c r="E16" s="78" t="s">
        <v>675</v>
      </c>
      <c r="F16" s="92">
        <f>SUM(F17:F28)</f>
        <v>0</v>
      </c>
      <c r="G16" s="1140" t="s">
        <v>3165</v>
      </c>
      <c r="H16" s="1139"/>
      <c r="I16" s="1139"/>
      <c r="J16" s="78" t="s">
        <v>675</v>
      </c>
      <c r="K16" s="92">
        <f>SUM(K17:K28)</f>
        <v>0</v>
      </c>
      <c r="L16" s="815" t="s">
        <v>3964</v>
      </c>
      <c r="M16" s="115"/>
      <c r="N16" s="113"/>
      <c r="O16" s="78"/>
      <c r="P16" s="92">
        <f>SUM(P17:P28)</f>
        <v>0</v>
      </c>
      <c r="R16" s="616"/>
      <c r="S16" s="195"/>
    </row>
    <row r="17" spans="1:19" s="49" customFormat="1" ht="23.25" customHeight="1">
      <c r="A17" s="1136">
        <v>1</v>
      </c>
      <c r="B17" s="1137"/>
      <c r="C17" s="1137"/>
      <c r="D17" s="1137"/>
      <c r="E17" s="1138"/>
      <c r="F17" s="281"/>
      <c r="G17" s="1134">
        <v>1</v>
      </c>
      <c r="H17" s="1135"/>
      <c r="I17" s="1135"/>
      <c r="J17" s="1135"/>
      <c r="K17" s="281"/>
      <c r="L17" s="1134">
        <v>1</v>
      </c>
      <c r="M17" s="1135"/>
      <c r="N17" s="1135"/>
      <c r="O17" s="1135"/>
      <c r="P17" s="281"/>
      <c r="Q17" s="614" t="s">
        <v>1677</v>
      </c>
      <c r="R17" s="615"/>
      <c r="S17" s="195"/>
    </row>
    <row r="18" spans="1:19" s="49" customFormat="1" ht="23.25" customHeight="1">
      <c r="A18" s="1131">
        <v>2</v>
      </c>
      <c r="B18" s="1132"/>
      <c r="C18" s="1132"/>
      <c r="D18" s="1132"/>
      <c r="E18" s="1133"/>
      <c r="F18" s="282"/>
      <c r="G18" s="1126">
        <v>2</v>
      </c>
      <c r="H18" s="1127"/>
      <c r="I18" s="1127"/>
      <c r="J18" s="1127"/>
      <c r="K18" s="282"/>
      <c r="L18" s="1126">
        <v>2</v>
      </c>
      <c r="M18" s="1127"/>
      <c r="N18" s="1127"/>
      <c r="O18" s="1127"/>
      <c r="P18" s="282"/>
      <c r="Q18" s="614"/>
      <c r="R18" s="615"/>
      <c r="S18" s="195"/>
    </row>
    <row r="19" spans="1:19" s="49" customFormat="1" ht="23.25" customHeight="1">
      <c r="A19" s="1131">
        <v>3</v>
      </c>
      <c r="B19" s="1132"/>
      <c r="C19" s="1132"/>
      <c r="D19" s="1132"/>
      <c r="E19" s="1133"/>
      <c r="F19" s="282"/>
      <c r="G19" s="1126">
        <v>3</v>
      </c>
      <c r="H19" s="1127"/>
      <c r="I19" s="1127"/>
      <c r="J19" s="1127"/>
      <c r="K19" s="282"/>
      <c r="L19" s="1126">
        <v>3</v>
      </c>
      <c r="M19" s="1127"/>
      <c r="N19" s="1127"/>
      <c r="O19" s="1127"/>
      <c r="P19" s="282"/>
      <c r="Q19" s="614"/>
      <c r="R19" s="615"/>
      <c r="S19" s="195"/>
    </row>
    <row r="20" spans="1:19" s="49" customFormat="1" ht="23.25" customHeight="1">
      <c r="A20" s="1131">
        <v>4</v>
      </c>
      <c r="B20" s="1132"/>
      <c r="C20" s="1132"/>
      <c r="D20" s="1132"/>
      <c r="E20" s="1133"/>
      <c r="F20" s="282"/>
      <c r="G20" s="1126">
        <v>4</v>
      </c>
      <c r="H20" s="1127"/>
      <c r="I20" s="1127"/>
      <c r="J20" s="1127"/>
      <c r="K20" s="282"/>
      <c r="L20" s="1126">
        <v>4</v>
      </c>
      <c r="M20" s="1127"/>
      <c r="N20" s="1127"/>
      <c r="O20" s="1127"/>
      <c r="P20" s="282"/>
      <c r="Q20" s="614"/>
      <c r="R20" s="615"/>
      <c r="S20" s="195"/>
    </row>
    <row r="21" spans="1:19" s="49" customFormat="1" ht="23.25" customHeight="1">
      <c r="A21" s="1131">
        <v>5</v>
      </c>
      <c r="B21" s="1132"/>
      <c r="C21" s="1132"/>
      <c r="D21" s="1132"/>
      <c r="E21" s="1133"/>
      <c r="F21" s="282"/>
      <c r="G21" s="1126">
        <v>5</v>
      </c>
      <c r="H21" s="1127"/>
      <c r="I21" s="1127"/>
      <c r="J21" s="1127"/>
      <c r="K21" s="282"/>
      <c r="L21" s="1126">
        <v>5</v>
      </c>
      <c r="M21" s="1127"/>
      <c r="N21" s="1127"/>
      <c r="O21" s="1127"/>
      <c r="P21" s="282"/>
      <c r="R21" s="195"/>
      <c r="S21" s="195"/>
    </row>
    <row r="22" spans="1:19" s="49" customFormat="1" ht="23.25" customHeight="1">
      <c r="A22" s="1131">
        <v>6</v>
      </c>
      <c r="B22" s="1132"/>
      <c r="C22" s="1132"/>
      <c r="D22" s="1132"/>
      <c r="E22" s="1133"/>
      <c r="F22" s="282"/>
      <c r="G22" s="1126">
        <v>6</v>
      </c>
      <c r="H22" s="1127"/>
      <c r="I22" s="1127"/>
      <c r="J22" s="1127"/>
      <c r="K22" s="282"/>
      <c r="L22" s="1126">
        <v>6</v>
      </c>
      <c r="M22" s="1127"/>
      <c r="N22" s="1127"/>
      <c r="O22" s="1127"/>
      <c r="P22" s="282"/>
      <c r="R22" s="195"/>
      <c r="S22" s="195"/>
    </row>
    <row r="23" spans="1:19" s="49" customFormat="1" ht="23.25" customHeight="1">
      <c r="A23" s="1131">
        <v>7</v>
      </c>
      <c r="B23" s="1132"/>
      <c r="C23" s="1132"/>
      <c r="D23" s="1132"/>
      <c r="E23" s="1133"/>
      <c r="F23" s="282"/>
      <c r="G23" s="1126">
        <v>7</v>
      </c>
      <c r="H23" s="1127"/>
      <c r="I23" s="1127"/>
      <c r="J23" s="1127"/>
      <c r="K23" s="282"/>
      <c r="L23" s="1126">
        <v>7</v>
      </c>
      <c r="M23" s="1127"/>
      <c r="N23" s="1127"/>
      <c r="O23" s="1127"/>
      <c r="P23" s="282"/>
      <c r="R23" s="195"/>
      <c r="S23" s="195"/>
    </row>
    <row r="24" spans="1:19" s="49" customFormat="1" ht="23.25" customHeight="1">
      <c r="A24" s="1131">
        <v>8</v>
      </c>
      <c r="B24" s="1132"/>
      <c r="C24" s="1132"/>
      <c r="D24" s="1132"/>
      <c r="E24" s="1133"/>
      <c r="F24" s="282"/>
      <c r="G24" s="1126">
        <v>8</v>
      </c>
      <c r="H24" s="1127"/>
      <c r="I24" s="1127"/>
      <c r="J24" s="1127"/>
      <c r="K24" s="282"/>
      <c r="L24" s="1126">
        <v>8</v>
      </c>
      <c r="M24" s="1127"/>
      <c r="N24" s="1127"/>
      <c r="O24" s="1127"/>
      <c r="P24" s="282"/>
      <c r="R24" s="195"/>
      <c r="S24" s="195"/>
    </row>
    <row r="25" spans="1:19" s="49" customFormat="1" ht="23.25" customHeight="1">
      <c r="A25" s="1131">
        <v>9</v>
      </c>
      <c r="B25" s="1132"/>
      <c r="C25" s="1132"/>
      <c r="D25" s="1132"/>
      <c r="E25" s="1133"/>
      <c r="F25" s="282"/>
      <c r="G25" s="1126">
        <v>9</v>
      </c>
      <c r="H25" s="1127"/>
      <c r="I25" s="1127"/>
      <c r="J25" s="1127"/>
      <c r="K25" s="282"/>
      <c r="L25" s="1126">
        <v>9</v>
      </c>
      <c r="M25" s="1127"/>
      <c r="N25" s="1127"/>
      <c r="O25" s="1127"/>
      <c r="P25" s="282"/>
      <c r="R25" s="195"/>
      <c r="S25" s="195"/>
    </row>
    <row r="26" spans="1:19" s="49" customFormat="1" ht="23.25" customHeight="1">
      <c r="A26" s="1131">
        <v>10</v>
      </c>
      <c r="B26" s="1132"/>
      <c r="C26" s="1132"/>
      <c r="D26" s="1132"/>
      <c r="E26" s="1133"/>
      <c r="F26" s="282"/>
      <c r="G26" s="1126">
        <v>10</v>
      </c>
      <c r="H26" s="1127"/>
      <c r="I26" s="1127"/>
      <c r="J26" s="1127"/>
      <c r="K26" s="282"/>
      <c r="L26" s="1126">
        <v>10</v>
      </c>
      <c r="M26" s="1127"/>
      <c r="N26" s="1127"/>
      <c r="O26" s="1127"/>
      <c r="P26" s="282"/>
      <c r="R26" s="195"/>
      <c r="S26" s="195"/>
    </row>
    <row r="27" spans="1:19" s="49" customFormat="1" ht="23.25" customHeight="1">
      <c r="A27" s="1131">
        <v>11</v>
      </c>
      <c r="B27" s="1132"/>
      <c r="C27" s="1132"/>
      <c r="D27" s="1132"/>
      <c r="E27" s="1133"/>
      <c r="F27" s="282"/>
      <c r="G27" s="1126">
        <v>11</v>
      </c>
      <c r="H27" s="1127"/>
      <c r="I27" s="1127"/>
      <c r="J27" s="1127"/>
      <c r="K27" s="282"/>
      <c r="L27" s="1126">
        <v>11</v>
      </c>
      <c r="M27" s="1127"/>
      <c r="N27" s="1127"/>
      <c r="O27" s="1127"/>
      <c r="P27" s="282"/>
      <c r="R27" s="195"/>
      <c r="S27" s="195"/>
    </row>
    <row r="28" spans="1:19" s="49" customFormat="1" ht="23.25" customHeight="1">
      <c r="A28" s="1143">
        <v>12</v>
      </c>
      <c r="B28" s="1144"/>
      <c r="C28" s="1144"/>
      <c r="D28" s="1144"/>
      <c r="E28" s="1145"/>
      <c r="F28" s="283"/>
      <c r="G28" s="1141">
        <v>12</v>
      </c>
      <c r="H28" s="1142"/>
      <c r="I28" s="1142"/>
      <c r="J28" s="1142"/>
      <c r="K28" s="283"/>
      <c r="L28" s="1141">
        <v>12</v>
      </c>
      <c r="M28" s="1142"/>
      <c r="N28" s="1142"/>
      <c r="O28" s="1142"/>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2694</v>
      </c>
      <c r="B31" s="137" t="s">
        <v>3425</v>
      </c>
      <c r="E31" s="571"/>
      <c r="H31" s="549" t="s">
        <v>3541</v>
      </c>
      <c r="I31" s="1696">
        <v>16</v>
      </c>
      <c r="K31" s="549" t="s">
        <v>3543</v>
      </c>
      <c r="L31" s="573">
        <f>IF(OR('Part VI-Revenues &amp; Expenses'!$M$60="", 'Part VI-Revenues &amp; Expenses'!$M$60=0),0,I31/'Part VI-Revenues &amp; Expenses'!$M$60)</f>
        <v>0.20253164556962025</v>
      </c>
      <c r="M31" s="577">
        <v>3</v>
      </c>
      <c r="N31" s="572"/>
      <c r="O31" s="1128" t="s">
        <v>3576</v>
      </c>
      <c r="P31" s="613">
        <v>0.15</v>
      </c>
    </row>
    <row r="32" spans="1:19" s="570" customFormat="1" ht="11.25" customHeight="1">
      <c r="A32" s="569" t="s">
        <v>2697</v>
      </c>
      <c r="B32" s="137" t="s">
        <v>3426</v>
      </c>
      <c r="E32" s="571"/>
      <c r="H32" s="549" t="s">
        <v>3427</v>
      </c>
      <c r="I32" s="1696"/>
      <c r="K32" s="549" t="s">
        <v>3543</v>
      </c>
      <c r="L32" s="573">
        <f>IF(OR('Part VI-Revenues &amp; Expenses'!$M$60="", 'Part VI-Revenues &amp; Expenses'!$M$60=0),0,I32/'Part VI-Revenues &amp; Expenses'!$M$60)</f>
        <v>0</v>
      </c>
      <c r="M32" s="577">
        <v>4</v>
      </c>
      <c r="N32" s="572"/>
      <c r="O32" s="1129"/>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597" t="s">
        <v>4198</v>
      </c>
      <c r="B34" s="1598"/>
      <c r="C34" s="1598"/>
      <c r="D34" s="1598"/>
      <c r="E34" s="1598"/>
      <c r="F34" s="1598"/>
      <c r="G34" s="1598"/>
      <c r="H34" s="1598"/>
      <c r="I34" s="1598"/>
      <c r="J34" s="1598"/>
      <c r="K34" s="1598"/>
      <c r="L34" s="1598"/>
      <c r="M34" s="1598"/>
      <c r="N34" s="1598"/>
      <c r="O34" s="1598"/>
      <c r="P34" s="1599"/>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047"/>
      <c r="B36" s="1048"/>
      <c r="C36" s="1048"/>
      <c r="D36" s="1048"/>
      <c r="E36" s="1048"/>
      <c r="F36" s="1048"/>
      <c r="G36" s="1048"/>
      <c r="H36" s="1048"/>
      <c r="I36" s="1048"/>
      <c r="J36" s="1048"/>
      <c r="K36" s="1048"/>
      <c r="L36" s="1048"/>
      <c r="M36" s="1048"/>
      <c r="N36" s="1048"/>
      <c r="O36" s="1048"/>
      <c r="P36" s="1049"/>
      <c r="Q36" s="614" t="s">
        <v>1677</v>
      </c>
    </row>
    <row r="37" spans="1:18" ht="3" customHeight="1"/>
    <row r="38" spans="1:18" s="50" customFormat="1" ht="12.6" customHeight="1">
      <c r="A38" s="189" t="s">
        <v>3323</v>
      </c>
      <c r="B38" s="126" t="s">
        <v>2579</v>
      </c>
      <c r="D38" s="48"/>
      <c r="H38" s="1146" t="s">
        <v>775</v>
      </c>
      <c r="I38" s="1146"/>
      <c r="J38" s="1146"/>
      <c r="K38" s="1146"/>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6"/>
      <c r="I39" s="1146"/>
      <c r="J39" s="1146"/>
      <c r="K39" s="1146"/>
      <c r="L39" s="38"/>
      <c r="M39" s="71"/>
      <c r="N39" s="674"/>
      <c r="O39" s="807"/>
      <c r="P39" s="4"/>
    </row>
    <row r="40" spans="1:18" s="50" customFormat="1" ht="12" customHeight="1">
      <c r="A40" s="171" t="s">
        <v>2694</v>
      </c>
      <c r="B40" s="213" t="s">
        <v>2580</v>
      </c>
      <c r="C40" s="5"/>
      <c r="D40" s="5"/>
      <c r="E40" s="221" t="s">
        <v>3659</v>
      </c>
      <c r="F40" s="389"/>
      <c r="G40" s="389"/>
      <c r="H40" s="1146"/>
      <c r="I40" s="1146"/>
      <c r="J40" s="1146"/>
      <c r="K40" s="1146"/>
      <c r="M40" s="88">
        <v>12</v>
      </c>
      <c r="N40" s="225" t="s">
        <v>2694</v>
      </c>
      <c r="O40" s="1697">
        <v>12</v>
      </c>
      <c r="P40" s="84"/>
      <c r="Q40" s="507" t="s">
        <v>3631</v>
      </c>
      <c r="R40" s="490"/>
    </row>
    <row r="41" spans="1:18" s="50" customFormat="1" ht="12.6" customHeight="1">
      <c r="A41" s="171" t="s">
        <v>2697</v>
      </c>
      <c r="B41" s="213" t="s">
        <v>2581</v>
      </c>
      <c r="D41" s="48"/>
      <c r="E41" s="221" t="s">
        <v>546</v>
      </c>
      <c r="F41" s="512"/>
      <c r="G41" s="512"/>
      <c r="H41" s="512"/>
      <c r="M41" s="162" t="s">
        <v>1660</v>
      </c>
      <c r="N41" s="654" t="s">
        <v>2697</v>
      </c>
      <c r="O41" s="1695"/>
      <c r="P41" s="84"/>
      <c r="Q41" s="507" t="s">
        <v>3631</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597" t="s">
        <v>4167</v>
      </c>
      <c r="B43" s="1598"/>
      <c r="C43" s="1598"/>
      <c r="D43" s="1598"/>
      <c r="E43" s="1598"/>
      <c r="F43" s="1598"/>
      <c r="G43" s="1598"/>
      <c r="H43" s="1598"/>
      <c r="I43" s="1598"/>
      <c r="J43" s="1598"/>
      <c r="K43" s="1598"/>
      <c r="L43" s="1598"/>
      <c r="M43" s="1598"/>
      <c r="N43" s="1598"/>
      <c r="O43" s="1598"/>
      <c r="P43" s="1599"/>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047"/>
      <c r="B45" s="1048"/>
      <c r="C45" s="1048"/>
      <c r="D45" s="1048"/>
      <c r="E45" s="1048"/>
      <c r="F45" s="1048"/>
      <c r="G45" s="1048"/>
      <c r="H45" s="1048"/>
      <c r="I45" s="1048"/>
      <c r="J45" s="1048"/>
      <c r="K45" s="1048"/>
      <c r="L45" s="1048"/>
      <c r="M45" s="1048"/>
      <c r="N45" s="1048"/>
      <c r="O45" s="1048"/>
      <c r="P45" s="1049"/>
      <c r="Q45" s="614" t="s">
        <v>1677</v>
      </c>
      <c r="R45" s="615"/>
    </row>
    <row r="46" spans="1:18" ht="3.6" customHeight="1">
      <c r="M46" s="40"/>
      <c r="N46" s="139"/>
      <c r="O46" s="187"/>
      <c r="P46" s="187"/>
    </row>
    <row r="47" spans="1:18" s="50" customFormat="1" ht="12.6" customHeight="1">
      <c r="A47" s="189" t="s">
        <v>1645</v>
      </c>
      <c r="B47" s="126" t="s">
        <v>3460</v>
      </c>
      <c r="D47" s="48"/>
      <c r="H47" s="52" t="s">
        <v>3544</v>
      </c>
      <c r="I47" s="56" t="s">
        <v>2587</v>
      </c>
      <c r="J47" s="55"/>
      <c r="K47" s="55"/>
      <c r="M47" s="2">
        <v>3</v>
      </c>
      <c r="N47" s="654"/>
      <c r="O47" s="186">
        <f>MIN($M47,(O48+O49+O50))</f>
        <v>0</v>
      </c>
      <c r="P47" s="186">
        <f>MIN($M47,(P48+P49+P50))</f>
        <v>0</v>
      </c>
      <c r="Q47" s="130" t="s">
        <v>566</v>
      </c>
    </row>
    <row r="48" spans="1:18" s="50" customFormat="1" ht="12" customHeight="1">
      <c r="A48" s="171" t="s">
        <v>2694</v>
      </c>
      <c r="B48" s="213" t="s">
        <v>3436</v>
      </c>
      <c r="C48" s="5"/>
      <c r="D48" s="5"/>
      <c r="E48" s="44"/>
      <c r="F48" s="5"/>
      <c r="G48" s="47"/>
      <c r="I48" s="47"/>
      <c r="K48" s="55"/>
      <c r="L48" s="490" t="str">
        <f>IF(OR($O48=$M48,$O48=0,$O48=""),"","* * Check Score! * *")</f>
        <v/>
      </c>
      <c r="M48" s="88">
        <v>3</v>
      </c>
      <c r="N48" s="225" t="s">
        <v>2694</v>
      </c>
      <c r="O48" s="1697"/>
      <c r="P48" s="84"/>
      <c r="R48" s="490"/>
    </row>
    <row r="49" spans="1:18" s="50" customFormat="1" ht="12.6" customHeight="1">
      <c r="A49" s="171" t="s">
        <v>2697</v>
      </c>
      <c r="B49" s="213" t="s">
        <v>3437</v>
      </c>
      <c r="E49" s="48"/>
      <c r="K49" s="55"/>
      <c r="L49" s="490" t="str">
        <f>IF(OR($O49=$M49,$O49=0,$O49=""),"","* * Check Score! * *")</f>
        <v/>
      </c>
      <c r="M49" s="88">
        <v>2</v>
      </c>
      <c r="N49" s="654" t="s">
        <v>2697</v>
      </c>
      <c r="O49" s="1697"/>
      <c r="P49" s="84"/>
      <c r="R49" s="490"/>
    </row>
    <row r="50" spans="1:18" s="50" customFormat="1" ht="12.6" customHeight="1">
      <c r="A50" s="171" t="s">
        <v>1054</v>
      </c>
      <c r="B50" s="213" t="s">
        <v>3462</v>
      </c>
      <c r="E50" s="48"/>
      <c r="K50" s="55"/>
      <c r="L50" s="490" t="str">
        <f>IF(OR($O50=$M50,$O50=0,$O50=""),"","* * Check Score! * *")</f>
        <v/>
      </c>
      <c r="M50" s="88">
        <v>1</v>
      </c>
      <c r="N50" s="225" t="s">
        <v>1054</v>
      </c>
      <c r="O50" s="1697"/>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597"/>
      <c r="B52" s="1598"/>
      <c r="C52" s="1598"/>
      <c r="D52" s="1598"/>
      <c r="E52" s="1598"/>
      <c r="F52" s="1598"/>
      <c r="G52" s="1598"/>
      <c r="H52" s="1598"/>
      <c r="I52" s="1598"/>
      <c r="J52" s="1598"/>
      <c r="K52" s="1598"/>
      <c r="L52" s="1598"/>
      <c r="M52" s="1598"/>
      <c r="N52" s="1598"/>
      <c r="O52" s="1598"/>
      <c r="P52" s="1599"/>
      <c r="Q52" s="614" t="s">
        <v>1677</v>
      </c>
    </row>
    <row r="53" spans="1:18" s="123" customFormat="1" ht="11.45" customHeight="1">
      <c r="A53" s="49"/>
      <c r="B53" s="118" t="s">
        <v>2571</v>
      </c>
      <c r="C53" s="49"/>
      <c r="D53" s="118"/>
      <c r="E53" s="806"/>
      <c r="F53" s="806"/>
      <c r="G53" s="806"/>
      <c r="H53" s="806"/>
      <c r="I53" s="806"/>
      <c r="J53" s="806"/>
      <c r="K53" s="806"/>
      <c r="L53" s="806"/>
      <c r="M53" s="806"/>
      <c r="N53" s="113"/>
      <c r="O53" s="232"/>
      <c r="P53" s="2"/>
      <c r="Q53" s="570"/>
    </row>
    <row r="54" spans="1:18" s="50" customFormat="1" ht="12.75" customHeight="1">
      <c r="A54" s="1047"/>
      <c r="B54" s="1048"/>
      <c r="C54" s="1048"/>
      <c r="D54" s="1048"/>
      <c r="E54" s="1048"/>
      <c r="F54" s="1048"/>
      <c r="G54" s="1048"/>
      <c r="H54" s="1048"/>
      <c r="I54" s="1048"/>
      <c r="J54" s="1048"/>
      <c r="K54" s="1048"/>
      <c r="L54" s="1048"/>
      <c r="M54" s="1048"/>
      <c r="N54" s="1048"/>
      <c r="O54" s="1048"/>
      <c r="P54" s="1049"/>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3461</v>
      </c>
      <c r="D56" s="48"/>
      <c r="E56" s="44" t="s">
        <v>1820</v>
      </c>
      <c r="I56" s="56" t="s">
        <v>2587</v>
      </c>
      <c r="M56" s="2">
        <v>2</v>
      </c>
      <c r="N56" s="517" t="str">
        <f>IF(OR($O56=$M56,$O56=0,$O56=""),"","***")</f>
        <v/>
      </c>
      <c r="O56" s="1697"/>
      <c r="P56" s="84"/>
      <c r="Q56" s="130" t="s">
        <v>566</v>
      </c>
    </row>
    <row r="57" spans="1:18" s="50" customFormat="1" ht="12.6" customHeight="1">
      <c r="A57" s="189"/>
      <c r="B57" s="513" t="s">
        <v>3428</v>
      </c>
      <c r="D57" s="48"/>
      <c r="E57" s="44"/>
      <c r="I57" s="1698"/>
      <c r="J57" s="1699"/>
      <c r="K57" s="1699"/>
      <c r="L57" s="1700"/>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597"/>
      <c r="B59" s="1598"/>
      <c r="C59" s="1598"/>
      <c r="D59" s="1598"/>
      <c r="E59" s="1598"/>
      <c r="F59" s="1598"/>
      <c r="G59" s="1598"/>
      <c r="H59" s="1598"/>
      <c r="I59" s="1598"/>
      <c r="J59" s="1598"/>
      <c r="K59" s="1598"/>
      <c r="L59" s="1598"/>
      <c r="M59" s="1598"/>
      <c r="N59" s="1598"/>
      <c r="O59" s="1598"/>
      <c r="P59" s="1599"/>
      <c r="Q59" s="614" t="s">
        <v>1677</v>
      </c>
    </row>
    <row r="60" spans="1:18" s="123" customFormat="1" ht="11.45" customHeight="1">
      <c r="A60" s="49"/>
      <c r="B60" s="118" t="s">
        <v>2571</v>
      </c>
      <c r="C60" s="49"/>
      <c r="D60" s="118"/>
      <c r="E60" s="806"/>
      <c r="F60" s="806"/>
      <c r="G60" s="806"/>
      <c r="H60" s="806"/>
      <c r="I60" s="806"/>
      <c r="J60" s="806"/>
      <c r="K60" s="806"/>
      <c r="L60" s="806"/>
      <c r="M60" s="806"/>
      <c r="N60" s="113"/>
      <c r="O60" s="232"/>
      <c r="P60" s="2"/>
      <c r="Q60" s="570"/>
    </row>
    <row r="61" spans="1:18" s="50" customFormat="1" ht="12.75" customHeight="1">
      <c r="A61" s="1047"/>
      <c r="B61" s="1048"/>
      <c r="C61" s="1048"/>
      <c r="D61" s="1048"/>
      <c r="E61" s="1048"/>
      <c r="F61" s="1048"/>
      <c r="G61" s="1048"/>
      <c r="H61" s="1048"/>
      <c r="I61" s="1048"/>
      <c r="J61" s="1048"/>
      <c r="K61" s="1048"/>
      <c r="L61" s="1048"/>
      <c r="M61" s="1048"/>
      <c r="N61" s="1048"/>
      <c r="O61" s="1048"/>
      <c r="P61" s="1049"/>
      <c r="Q61" s="614" t="s">
        <v>1677</v>
      </c>
    </row>
    <row r="62" spans="1:18" ht="3" customHeight="1">
      <c r="B62" s="142"/>
      <c r="C62" s="142"/>
      <c r="D62" s="142"/>
      <c r="E62" s="142"/>
      <c r="R62" s="50"/>
    </row>
    <row r="63" spans="1:18" s="50" customFormat="1" ht="12.6" customHeight="1">
      <c r="A63" s="189" t="s">
        <v>2589</v>
      </c>
      <c r="B63" s="127" t="s">
        <v>235</v>
      </c>
      <c r="D63" s="47"/>
      <c r="E63" s="44"/>
      <c r="I63" s="611" t="s">
        <v>3530</v>
      </c>
      <c r="J63" s="1291" t="s">
        <v>4132</v>
      </c>
      <c r="K63" s="1701"/>
      <c r="L63" s="1292"/>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2694</v>
      </c>
      <c r="B64" s="229" t="s">
        <v>3059</v>
      </c>
      <c r="D64" s="40"/>
      <c r="H64" s="72"/>
      <c r="I64" s="40"/>
      <c r="J64" s="40"/>
      <c r="M64" s="139">
        <v>3</v>
      </c>
      <c r="N64" s="31"/>
      <c r="O64" s="144" t="s">
        <v>3297</v>
      </c>
      <c r="P64" s="144" t="s">
        <v>3297</v>
      </c>
    </row>
    <row r="65" spans="1:17" s="50" customFormat="1" ht="12.6" customHeight="1">
      <c r="B65" s="575" t="s">
        <v>3585</v>
      </c>
      <c r="D65" s="48"/>
      <c r="M65" s="2"/>
      <c r="N65" s="225" t="s">
        <v>2694</v>
      </c>
      <c r="O65" s="1593" t="s">
        <v>1960</v>
      </c>
      <c r="P65" s="210"/>
      <c r="Q65" s="130"/>
    </row>
    <row r="66" spans="1:17" ht="11.45" customHeight="1">
      <c r="A66" s="482" t="str">
        <f>IF($I$86="Stable Communities &lt; 10%", "X","")</f>
        <v/>
      </c>
      <c r="B66" s="483" t="s">
        <v>2698</v>
      </c>
      <c r="C66" s="499" t="s">
        <v>3429</v>
      </c>
      <c r="E66" s="142"/>
      <c r="N66" s="31"/>
      <c r="O66" s="31"/>
      <c r="P66" s="31"/>
    </row>
    <row r="67" spans="1:17" ht="23.25" customHeight="1">
      <c r="B67" s="506" t="s">
        <v>3202</v>
      </c>
      <c r="C67" s="1130" t="s">
        <v>3431</v>
      </c>
      <c r="D67" s="1130"/>
      <c r="E67" s="1130"/>
      <c r="F67" s="1130"/>
      <c r="G67" s="1130"/>
      <c r="H67" s="1130"/>
      <c r="I67" s="1130"/>
      <c r="J67" s="1130"/>
      <c r="K67" s="1130"/>
      <c r="L67" s="1130"/>
      <c r="M67" s="503" t="str">
        <f>IF(AND($I$86="Stable Communities &lt; 10%",O67=""), "X","")</f>
        <v/>
      </c>
      <c r="N67" s="505" t="s">
        <v>3432</v>
      </c>
      <c r="O67" s="1651" t="s">
        <v>1960</v>
      </c>
      <c r="P67" s="324"/>
    </row>
    <row r="68" spans="1:17" ht="12" customHeight="1">
      <c r="B68" s="506" t="s">
        <v>3203</v>
      </c>
      <c r="C68" s="172" t="s">
        <v>3686</v>
      </c>
      <c r="D68" s="172"/>
      <c r="E68" s="172"/>
      <c r="F68" s="172"/>
      <c r="G68" s="172"/>
      <c r="I68" s="172"/>
      <c r="L68" s="172"/>
      <c r="M68" s="503" t="str">
        <f>IF(AND($I$86="Stable Communities &lt; 10%",O68=""), "X","")</f>
        <v/>
      </c>
      <c r="N68" s="505" t="s">
        <v>3433</v>
      </c>
      <c r="O68" s="1652" t="s">
        <v>1960</v>
      </c>
      <c r="P68" s="473"/>
    </row>
    <row r="69" spans="1:17" ht="12" customHeight="1">
      <c r="B69" s="680" t="s">
        <v>3204</v>
      </c>
      <c r="C69" s="172" t="s">
        <v>3614</v>
      </c>
      <c r="D69" s="172"/>
      <c r="E69" s="172"/>
      <c r="F69" s="172"/>
      <c r="G69" s="172"/>
      <c r="I69" s="172"/>
      <c r="L69" s="172"/>
      <c r="M69" s="503" t="str">
        <f>IF(AND($I$86="Stable Communities &lt; 10%",O69=""), "X","")</f>
        <v/>
      </c>
      <c r="N69" s="505" t="s">
        <v>3687</v>
      </c>
      <c r="O69" s="1653" t="s">
        <v>1960</v>
      </c>
      <c r="P69" s="325"/>
    </row>
    <row r="70" spans="1:17" ht="12" customHeight="1">
      <c r="B70" s="506"/>
      <c r="C70" s="1593"/>
      <c r="D70" s="172" t="s">
        <v>3618</v>
      </c>
      <c r="E70" s="172"/>
      <c r="F70" s="172"/>
      <c r="G70" s="1593"/>
      <c r="H70" s="172" t="s">
        <v>3615</v>
      </c>
      <c r="I70" s="172"/>
      <c r="J70" s="1593"/>
      <c r="K70" s="172" t="s">
        <v>3616</v>
      </c>
      <c r="M70" s="503"/>
      <c r="N70" s="503"/>
      <c r="O70" s="503"/>
      <c r="P70" s="503"/>
    </row>
    <row r="71" spans="1:17" ht="11.45" customHeight="1">
      <c r="A71" s="482" t="str">
        <f>IF($I$86="Stable Communities &lt; 20%", "X","")</f>
        <v/>
      </c>
      <c r="B71" s="483" t="s">
        <v>2700</v>
      </c>
      <c r="C71" s="499" t="s">
        <v>3430</v>
      </c>
      <c r="E71" s="142"/>
      <c r="M71" s="504"/>
      <c r="N71" s="31"/>
      <c r="O71" s="144" t="s">
        <v>3297</v>
      </c>
      <c r="P71" s="144" t="s">
        <v>3297</v>
      </c>
    </row>
    <row r="72" spans="1:17" ht="23.25" customHeight="1">
      <c r="B72" s="506" t="s">
        <v>3202</v>
      </c>
      <c r="C72" s="1130" t="s">
        <v>3688</v>
      </c>
      <c r="D72" s="1130"/>
      <c r="E72" s="1130"/>
      <c r="F72" s="1130"/>
      <c r="G72" s="1130"/>
      <c r="H72" s="1130"/>
      <c r="I72" s="1130"/>
      <c r="J72" s="1130"/>
      <c r="K72" s="1130"/>
      <c r="L72" s="1130"/>
      <c r="M72" s="503" t="str">
        <f>IF(AND($I$86="Stable Communities &lt; 10%",O72=""), "X","")</f>
        <v/>
      </c>
      <c r="N72" s="680" t="s">
        <v>3434</v>
      </c>
      <c r="O72" s="1702" t="s">
        <v>1960</v>
      </c>
      <c r="P72" s="326"/>
    </row>
    <row r="73" spans="1:17" ht="12.75" customHeight="1">
      <c r="B73" s="506" t="s">
        <v>3203</v>
      </c>
      <c r="C73" s="172" t="s">
        <v>3614</v>
      </c>
      <c r="D73" s="172"/>
      <c r="E73" s="172"/>
      <c r="F73" s="172"/>
      <c r="G73" s="172"/>
      <c r="H73" s="1593"/>
      <c r="I73" s="172" t="s">
        <v>3617</v>
      </c>
      <c r="J73" s="172"/>
      <c r="K73" s="172"/>
      <c r="L73" s="172"/>
      <c r="M73" s="503" t="str">
        <f>IF(AND($I$86="Stable Communities &lt; 10%",O73=""), "X","")</f>
        <v/>
      </c>
      <c r="N73" s="574" t="s">
        <v>3435</v>
      </c>
      <c r="O73" s="1653" t="s">
        <v>1960</v>
      </c>
      <c r="P73" s="325"/>
    </row>
    <row r="74" spans="1:17" ht="12" customHeight="1">
      <c r="B74" s="506"/>
      <c r="E74" s="172"/>
      <c r="F74" s="172"/>
      <c r="H74" s="1593"/>
      <c r="I74" s="172" t="s">
        <v>3618</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3297</v>
      </c>
      <c r="P76" s="144" t="s">
        <v>3297</v>
      </c>
    </row>
    <row r="77" spans="1:17" s="50" customFormat="1" ht="11.25" customHeight="1">
      <c r="A77" s="189"/>
      <c r="B77" s="681" t="s">
        <v>2698</v>
      </c>
      <c r="C77" s="676" t="s">
        <v>3692</v>
      </c>
      <c r="D77" s="48"/>
      <c r="M77" s="2"/>
      <c r="N77" s="681" t="s">
        <v>2698</v>
      </c>
      <c r="O77" s="1593" t="s">
        <v>4104</v>
      </c>
      <c r="P77" s="210"/>
      <c r="Q77" s="130"/>
    </row>
    <row r="78" spans="1:17" s="50" customFormat="1" ht="11.25" customHeight="1">
      <c r="A78" s="189"/>
      <c r="B78" s="681" t="s">
        <v>2700</v>
      </c>
      <c r="C78" s="676" t="s">
        <v>3689</v>
      </c>
      <c r="D78" s="48"/>
      <c r="M78" s="2"/>
      <c r="N78" s="681" t="s">
        <v>2700</v>
      </c>
      <c r="O78" s="1593" t="s">
        <v>4104</v>
      </c>
      <c r="P78" s="210"/>
      <c r="Q78" s="130"/>
    </row>
    <row r="79" spans="1:17" s="50" customFormat="1" ht="11.25" customHeight="1">
      <c r="A79" s="189"/>
      <c r="B79" s="681" t="s">
        <v>3323</v>
      </c>
      <c r="C79" s="676" t="s">
        <v>3690</v>
      </c>
      <c r="D79" s="48"/>
      <c r="M79" s="2"/>
      <c r="N79" s="681" t="s">
        <v>3323</v>
      </c>
      <c r="O79" s="1593" t="s">
        <v>4104</v>
      </c>
      <c r="P79" s="210"/>
      <c r="Q79" s="130"/>
    </row>
    <row r="80" spans="1:17" s="50" customFormat="1" ht="11.25" customHeight="1">
      <c r="A80" s="189"/>
      <c r="B80" s="681" t="s">
        <v>1645</v>
      </c>
      <c r="C80" s="676" t="s">
        <v>3691</v>
      </c>
      <c r="D80" s="48"/>
      <c r="M80" s="2"/>
      <c r="N80" s="681" t="s">
        <v>1645</v>
      </c>
      <c r="O80" s="1593" t="s">
        <v>4104</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3" t="s">
        <v>4171</v>
      </c>
      <c r="B82" s="1704"/>
      <c r="C82" s="1704"/>
      <c r="D82" s="1704"/>
      <c r="E82" s="1704"/>
      <c r="F82" s="1704"/>
      <c r="G82" s="1704"/>
      <c r="H82" s="1704"/>
      <c r="I82" s="1704"/>
      <c r="J82" s="1704"/>
      <c r="K82" s="1704"/>
      <c r="L82" s="1704"/>
      <c r="M82" s="1704"/>
      <c r="N82" s="1704"/>
      <c r="O82" s="1704"/>
      <c r="P82" s="1705"/>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121"/>
      <c r="B84" s="1122"/>
      <c r="C84" s="1122"/>
      <c r="D84" s="1122"/>
      <c r="E84" s="1122"/>
      <c r="F84" s="1122"/>
      <c r="G84" s="1122"/>
      <c r="H84" s="1122"/>
      <c r="I84" s="1122"/>
      <c r="J84" s="1122"/>
      <c r="K84" s="1122"/>
      <c r="L84" s="1122"/>
      <c r="M84" s="1122"/>
      <c r="N84" s="1122"/>
      <c r="O84" s="1122"/>
      <c r="P84" s="1123"/>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3166</v>
      </c>
      <c r="C86" s="112"/>
      <c r="D86" s="70"/>
      <c r="E86" s="70"/>
      <c r="I86" s="1286" t="s">
        <v>3725</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25" t="s">
        <v>3623</v>
      </c>
      <c r="B87" s="1125"/>
      <c r="C87" s="1125"/>
      <c r="D87" s="1125"/>
      <c r="E87" s="1125"/>
      <c r="F87" s="1125"/>
      <c r="G87" s="1125"/>
      <c r="H87" s="1125"/>
      <c r="I87" s="1125"/>
      <c r="J87" s="1125"/>
      <c r="K87" s="1125"/>
      <c r="L87" s="1125"/>
      <c r="M87" s="1125"/>
      <c r="N87" s="1125"/>
      <c r="O87" s="1125"/>
      <c r="P87" s="1125"/>
    </row>
    <row r="88" spans="1:18" ht="11.45" customHeight="1">
      <c r="A88" s="171" t="s">
        <v>2694</v>
      </c>
      <c r="B88" s="229" t="s">
        <v>3296</v>
      </c>
      <c r="D88" s="40"/>
      <c r="M88" s="139"/>
      <c r="N88" s="31"/>
      <c r="O88" s="144" t="s">
        <v>3297</v>
      </c>
      <c r="P88" s="144" t="s">
        <v>3297</v>
      </c>
    </row>
    <row r="89" spans="1:18" ht="11.45" customHeight="1">
      <c r="A89" s="482" t="str">
        <f>IF($I$86="Stable Communities &lt; 5%", "*","")</f>
        <v/>
      </c>
      <c r="B89" s="483" t="s">
        <v>2698</v>
      </c>
      <c r="C89" s="601" t="s">
        <v>3572</v>
      </c>
      <c r="E89" s="142"/>
      <c r="M89" s="97">
        <v>4</v>
      </c>
      <c r="N89" s="31"/>
      <c r="O89" s="1676" t="s">
        <v>1960</v>
      </c>
      <c r="P89" s="679"/>
    </row>
    <row r="90" spans="1:18" ht="11.45" customHeight="1">
      <c r="B90" s="483" t="s">
        <v>2700</v>
      </c>
      <c r="C90" s="601" t="s">
        <v>3754</v>
      </c>
      <c r="D90" s="1706" t="s">
        <v>3756</v>
      </c>
      <c r="E90" s="601" t="s">
        <v>3755</v>
      </c>
      <c r="H90" s="121" t="s">
        <v>3149</v>
      </c>
      <c r="K90" s="166" t="s">
        <v>3753</v>
      </c>
      <c r="L90" s="1707"/>
      <c r="M90" s="576"/>
      <c r="N90" s="574"/>
    </row>
    <row r="91" spans="1:18" ht="11.45" customHeight="1">
      <c r="B91" s="483" t="s">
        <v>3323</v>
      </c>
      <c r="C91" s="551" t="s">
        <v>3150</v>
      </c>
      <c r="E91" s="142"/>
      <c r="H91" s="121" t="s">
        <v>3151</v>
      </c>
      <c r="K91" s="670" t="s">
        <v>3723</v>
      </c>
      <c r="L91" s="1708"/>
      <c r="M91" s="576"/>
    </row>
    <row r="92" spans="1:18" ht="3" customHeight="1">
      <c r="B92" s="142"/>
      <c r="C92" s="142"/>
      <c r="D92" s="142"/>
      <c r="E92" s="142"/>
      <c r="R92" s="50"/>
    </row>
    <row r="93" spans="1:18" ht="11.45" customHeight="1">
      <c r="A93" s="171" t="s">
        <v>2697</v>
      </c>
      <c r="B93" s="229" t="s">
        <v>290</v>
      </c>
      <c r="D93" s="40"/>
      <c r="E93" s="40"/>
      <c r="F93" s="40"/>
      <c r="H93" s="1149" t="s">
        <v>3769</v>
      </c>
      <c r="I93" s="1149"/>
      <c r="J93" s="1150"/>
      <c r="K93" s="1709" t="s">
        <v>4137</v>
      </c>
      <c r="L93" s="1710"/>
      <c r="M93" s="1710"/>
      <c r="N93" s="1710"/>
      <c r="O93" s="1710"/>
      <c r="P93" s="1711"/>
    </row>
    <row r="94" spans="1:18" ht="3" customHeight="1">
      <c r="B94" s="142"/>
      <c r="C94" s="142"/>
      <c r="D94" s="142"/>
      <c r="E94" s="142"/>
      <c r="R94" s="50"/>
    </row>
    <row r="95" spans="1:18" s="50" customFormat="1" ht="11.45" customHeight="1">
      <c r="A95" s="576" t="str">
        <f>IF($I$86="Statutory Redevelopment Plan", "*","")</f>
        <v>*</v>
      </c>
      <c r="B95" s="483" t="s">
        <v>2698</v>
      </c>
      <c r="C95" s="136" t="s">
        <v>461</v>
      </c>
      <c r="D95" s="123"/>
      <c r="E95" s="812"/>
      <c r="M95" s="577">
        <v>2</v>
      </c>
      <c r="O95" s="144" t="s">
        <v>3297</v>
      </c>
      <c r="P95" s="144" t="s">
        <v>3297</v>
      </c>
    </row>
    <row r="96" spans="1:18" s="50" customFormat="1" ht="11.45" customHeight="1">
      <c r="A96" s="482"/>
      <c r="B96" s="484" t="s">
        <v>3202</v>
      </c>
      <c r="C96" s="64" t="s">
        <v>3627</v>
      </c>
      <c r="D96" s="123"/>
      <c r="E96" s="812"/>
      <c r="G96" s="507"/>
      <c r="I96" s="1712" t="str">
        <f>'Part I-Project Information'!F34</f>
        <v>City of West Point</v>
      </c>
      <c r="J96" s="1713"/>
      <c r="K96" s="1713"/>
      <c r="L96" s="1714"/>
      <c r="M96" s="482" t="str">
        <f>IF(AND($I$86="Statutory Redevelopment Plan",OR(O96="",I96=0)), "X","")</f>
        <v/>
      </c>
      <c r="N96" s="574" t="s">
        <v>3432</v>
      </c>
      <c r="O96" s="1651" t="s">
        <v>4104</v>
      </c>
      <c r="P96" s="324"/>
    </row>
    <row r="97" spans="1:18" s="50" customFormat="1" ht="11.45" customHeight="1">
      <c r="A97" s="482"/>
      <c r="B97" s="484" t="s">
        <v>3203</v>
      </c>
      <c r="C97" s="64" t="s">
        <v>3624</v>
      </c>
      <c r="D97" s="123"/>
      <c r="E97" s="812"/>
      <c r="G97" s="507"/>
      <c r="I97" s="1715" t="s">
        <v>4134</v>
      </c>
      <c r="J97" s="1716"/>
      <c r="M97" s="482" t="str">
        <f>IF(AND($I$86="Statutory Redevelopment Plan",OR(O97="",I97="&lt;&lt;Select statute&gt;&gt;")), "X","")</f>
        <v/>
      </c>
      <c r="N97" s="484" t="s">
        <v>3203</v>
      </c>
      <c r="O97" s="1652" t="s">
        <v>4104</v>
      </c>
      <c r="P97" s="473"/>
    </row>
    <row r="98" spans="1:18" s="50" customFormat="1" ht="11.45" customHeight="1">
      <c r="A98" s="482"/>
      <c r="B98" s="505" t="s">
        <v>3204</v>
      </c>
      <c r="C98" s="670" t="s">
        <v>3626</v>
      </c>
      <c r="D98" s="123"/>
      <c r="E98" s="812"/>
      <c r="G98" s="507"/>
      <c r="I98" s="1717" t="s">
        <v>4190</v>
      </c>
      <c r="J98" s="1718"/>
      <c r="M98" s="482" t="str">
        <f>IF(AND($I$86="Statutory Redevelopment Plan",OR(O98="",I98="")), "X","")</f>
        <v/>
      </c>
      <c r="N98" s="505" t="s">
        <v>3204</v>
      </c>
      <c r="O98" s="1653" t="s">
        <v>4104</v>
      </c>
      <c r="P98" s="325"/>
    </row>
    <row r="99" spans="1:18" s="50" customFormat="1" ht="11.45" customHeight="1">
      <c r="A99" s="482"/>
      <c r="B99" s="505" t="s">
        <v>3205</v>
      </c>
      <c r="C99" s="64" t="s">
        <v>3625</v>
      </c>
      <c r="E99" s="812"/>
      <c r="G99" s="507"/>
      <c r="J99" s="64" t="s">
        <v>3628</v>
      </c>
      <c r="K99" s="1719" t="s">
        <v>4135</v>
      </c>
      <c r="L99" s="1720"/>
      <c r="M99" s="482" t="str">
        <f>IF(AND($I$86="Statutory Redevelopment Plan",OR(O99="",K99="")), "X","")</f>
        <v/>
      </c>
      <c r="N99" s="505" t="s">
        <v>3205</v>
      </c>
      <c r="O99" s="1651" t="s">
        <v>4104</v>
      </c>
      <c r="P99" s="324"/>
    </row>
    <row r="100" spans="1:18" s="50" customFormat="1" ht="11.45" customHeight="1">
      <c r="A100" s="482"/>
      <c r="B100" s="505" t="s">
        <v>3206</v>
      </c>
      <c r="C100" s="64" t="s">
        <v>3629</v>
      </c>
      <c r="D100" s="123"/>
      <c r="E100" s="812"/>
      <c r="G100" s="507"/>
      <c r="J100" s="64" t="s">
        <v>3628</v>
      </c>
      <c r="K100" s="1719" t="s">
        <v>4136</v>
      </c>
      <c r="L100" s="1720"/>
      <c r="M100" s="482" t="str">
        <f>IF(AND($I$86="Statutory Redevelopment Plan",OR(O100="",K100="")), "X","")</f>
        <v/>
      </c>
      <c r="N100" s="505" t="s">
        <v>3206</v>
      </c>
      <c r="O100" s="1653" t="s">
        <v>4104</v>
      </c>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2" t="s">
        <v>1433</v>
      </c>
      <c r="H102" s="1721" t="s">
        <v>2466</v>
      </c>
      <c r="I102" s="1722"/>
      <c r="J102" s="585" t="s">
        <v>3693</v>
      </c>
      <c r="K102" s="1715"/>
      <c r="L102" s="1716"/>
      <c r="M102" s="577">
        <v>2</v>
      </c>
      <c r="N102" s="682" t="s">
        <v>2700</v>
      </c>
      <c r="O102" s="1723"/>
      <c r="P102" s="671"/>
      <c r="Q102" s="507" t="s">
        <v>3631</v>
      </c>
    </row>
    <row r="103" spans="1:18" s="50" customFormat="1" ht="11.45" customHeight="1">
      <c r="A103" s="482" t="str">
        <f>IF($I$87="Redevelopment Zone", "*","")</f>
        <v/>
      </c>
      <c r="B103" s="483"/>
      <c r="C103" s="136"/>
      <c r="D103" s="123"/>
      <c r="E103" s="812" t="s">
        <v>3767</v>
      </c>
      <c r="I103" s="1709"/>
      <c r="J103" s="1710"/>
      <c r="K103" s="1710"/>
      <c r="L103" s="1711"/>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12"/>
      <c r="F105" s="502"/>
      <c r="H105" s="812" t="s">
        <v>552</v>
      </c>
      <c r="I105" s="1709"/>
      <c r="J105" s="1710"/>
      <c r="K105" s="1710"/>
      <c r="L105" s="1711"/>
      <c r="M105" s="577">
        <v>1</v>
      </c>
      <c r="N105" s="577"/>
      <c r="O105" s="1724"/>
      <c r="P105" s="547"/>
      <c r="Q105" s="507" t="s">
        <v>3631</v>
      </c>
    </row>
    <row r="106" spans="1:18" ht="11.45" customHeight="1">
      <c r="B106" s="484" t="s">
        <v>3202</v>
      </c>
      <c r="C106" s="812" t="s">
        <v>3636</v>
      </c>
      <c r="D106" s="121"/>
      <c r="J106" s="144" t="s">
        <v>772</v>
      </c>
      <c r="K106" s="1717"/>
      <c r="L106" s="1718"/>
      <c r="M106" s="482" t="str">
        <f>IF(AND($I$86="Local Redevelopment Plan",OR(O106="",K106="")), "X","")</f>
        <v/>
      </c>
      <c r="N106" s="505" t="s">
        <v>3126</v>
      </c>
      <c r="O106" s="1651"/>
      <c r="P106" s="324"/>
    </row>
    <row r="107" spans="1:18" ht="10.9" customHeight="1">
      <c r="B107" s="484" t="s">
        <v>3203</v>
      </c>
      <c r="C107" s="485" t="s">
        <v>3224</v>
      </c>
      <c r="D107" s="121"/>
      <c r="K107" s="162" t="s">
        <v>3628</v>
      </c>
      <c r="L107" s="1725"/>
      <c r="M107" s="482" t="str">
        <f t="shared" ref="M107:M112" si="0">IF(AND($I$86="Local Redevelopment Plan",OR(O107="",L107="")), "X","")</f>
        <v/>
      </c>
      <c r="N107" s="484" t="s">
        <v>3203</v>
      </c>
      <c r="O107" s="1726"/>
      <c r="P107" s="518"/>
    </row>
    <row r="108" spans="1:18" ht="10.9" customHeight="1">
      <c r="B108" s="484" t="s">
        <v>3204</v>
      </c>
      <c r="C108" s="485" t="s">
        <v>3225</v>
      </c>
      <c r="K108" s="162" t="s">
        <v>3628</v>
      </c>
      <c r="L108" s="1725"/>
      <c r="M108" s="482" t="str">
        <f t="shared" si="0"/>
        <v/>
      </c>
      <c r="N108" s="484" t="s">
        <v>3204</v>
      </c>
      <c r="O108" s="1652"/>
      <c r="P108" s="473"/>
    </row>
    <row r="109" spans="1:18" ht="10.9" customHeight="1">
      <c r="B109" s="484" t="s">
        <v>3205</v>
      </c>
      <c r="C109" s="485" t="s">
        <v>3226</v>
      </c>
      <c r="K109" s="162" t="s">
        <v>3628</v>
      </c>
      <c r="L109" s="1725"/>
      <c r="M109" s="482" t="str">
        <f t="shared" si="0"/>
        <v/>
      </c>
      <c r="N109" s="484" t="s">
        <v>3205</v>
      </c>
      <c r="O109" s="1652"/>
      <c r="P109" s="473"/>
    </row>
    <row r="110" spans="1:18" ht="10.9" customHeight="1">
      <c r="B110" s="484" t="s">
        <v>3206</v>
      </c>
      <c r="C110" s="68" t="s">
        <v>3227</v>
      </c>
      <c r="K110" s="162" t="s">
        <v>3628</v>
      </c>
      <c r="L110" s="1725"/>
      <c r="M110" s="482" t="str">
        <f t="shared" si="0"/>
        <v/>
      </c>
      <c r="N110" s="484" t="s">
        <v>3206</v>
      </c>
      <c r="O110" s="1652"/>
      <c r="P110" s="473"/>
    </row>
    <row r="111" spans="1:18" ht="10.9" customHeight="1">
      <c r="B111" s="484" t="s">
        <v>3222</v>
      </c>
      <c r="C111" s="485" t="s">
        <v>3228</v>
      </c>
      <c r="D111" s="121"/>
      <c r="K111" s="162" t="s">
        <v>3628</v>
      </c>
      <c r="L111" s="1725"/>
      <c r="M111" s="482" t="str">
        <f t="shared" si="0"/>
        <v/>
      </c>
      <c r="N111" s="484" t="s">
        <v>3222</v>
      </c>
      <c r="O111" s="1652"/>
      <c r="P111" s="473"/>
    </row>
    <row r="112" spans="1:18" ht="10.9" customHeight="1">
      <c r="B112" s="484" t="s">
        <v>3223</v>
      </c>
      <c r="C112" s="485" t="s">
        <v>3229</v>
      </c>
      <c r="K112" s="162" t="s">
        <v>3628</v>
      </c>
      <c r="L112" s="1725"/>
      <c r="M112" s="482" t="str">
        <f t="shared" si="0"/>
        <v/>
      </c>
      <c r="N112" s="484" t="s">
        <v>3223</v>
      </c>
      <c r="O112" s="1653"/>
      <c r="P112" s="325"/>
    </row>
    <row r="113" spans="1:17" ht="11.45" customHeight="1">
      <c r="A113" s="482" t="str">
        <f>IF($I$86="Stable Communities &lt; 20%", "*","")</f>
        <v/>
      </c>
      <c r="C113" s="499" t="s">
        <v>3233</v>
      </c>
      <c r="E113" s="142"/>
      <c r="M113" s="504"/>
      <c r="N113" s="31"/>
      <c r="O113" s="144"/>
      <c r="P113" s="144"/>
    </row>
    <row r="114" spans="1:17" ht="10.9" customHeight="1">
      <c r="B114" s="484" t="s">
        <v>3230</v>
      </c>
      <c r="C114" s="756" t="s">
        <v>3942</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03" t="s">
        <v>4189</v>
      </c>
      <c r="B117" s="1704"/>
      <c r="C117" s="1704"/>
      <c r="D117" s="1704"/>
      <c r="E117" s="1704"/>
      <c r="F117" s="1704"/>
      <c r="G117" s="1704"/>
      <c r="H117" s="1704"/>
      <c r="I117" s="1704"/>
      <c r="J117" s="1704"/>
      <c r="K117" s="1704"/>
      <c r="L117" s="1704"/>
      <c r="M117" s="1704"/>
      <c r="N117" s="1704"/>
      <c r="O117" s="1704"/>
      <c r="P117" s="1705"/>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121"/>
      <c r="B119" s="1122"/>
      <c r="C119" s="1122"/>
      <c r="D119" s="1122"/>
      <c r="E119" s="1122"/>
      <c r="F119" s="1122"/>
      <c r="G119" s="1122"/>
      <c r="H119" s="1122"/>
      <c r="I119" s="1122"/>
      <c r="J119" s="1122"/>
      <c r="K119" s="1122"/>
      <c r="L119" s="1122"/>
      <c r="M119" s="1122"/>
      <c r="N119" s="1122"/>
      <c r="O119" s="1122"/>
      <c r="P119" s="1123"/>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3</v>
      </c>
      <c r="P121" s="92">
        <f>MIN($M121,(P122+P128))</f>
        <v>0</v>
      </c>
      <c r="Q121" s="130" t="s">
        <v>566</v>
      </c>
    </row>
    <row r="122" spans="1:17" ht="12" customHeight="1">
      <c r="B122" s="801" t="s">
        <v>2694</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24">
        <v>0</v>
      </c>
      <c r="P122" s="547"/>
      <c r="Q122" s="507" t="s">
        <v>3631</v>
      </c>
    </row>
    <row r="123" spans="1:17" s="121" customFormat="1" ht="22.9" customHeight="1">
      <c r="B123" s="509" t="s">
        <v>2698</v>
      </c>
      <c r="C123" s="1124" t="s">
        <v>3758</v>
      </c>
      <c r="D123" s="1060"/>
      <c r="E123" s="1060"/>
      <c r="F123" s="1060"/>
      <c r="G123" s="1060"/>
      <c r="H123" s="1060"/>
      <c r="I123" s="1060"/>
      <c r="J123" s="1060"/>
      <c r="K123" s="1060"/>
      <c r="L123" s="1060"/>
      <c r="M123" s="546"/>
      <c r="N123" s="509" t="s">
        <v>2698</v>
      </c>
      <c r="O123" s="1593"/>
      <c r="P123" s="210"/>
    </row>
    <row r="124" spans="1:17" s="121" customFormat="1" ht="11.45" customHeight="1">
      <c r="B124" s="225"/>
      <c r="C124" s="143" t="s">
        <v>1360</v>
      </c>
      <c r="H124" s="585" t="s">
        <v>3381</v>
      </c>
      <c r="I124" s="1727"/>
      <c r="J124" s="585" t="s">
        <v>3030</v>
      </c>
      <c r="K124" s="1728"/>
      <c r="L124" s="1729"/>
      <c r="M124" s="1730"/>
    </row>
    <row r="125" spans="1:17" s="121" customFormat="1" ht="11.45" customHeight="1">
      <c r="B125" s="225" t="s">
        <v>2700</v>
      </c>
      <c r="C125" s="143" t="s">
        <v>1361</v>
      </c>
      <c r="M125" s="8"/>
      <c r="N125" s="225" t="s">
        <v>2700</v>
      </c>
      <c r="O125" s="1651"/>
      <c r="P125" s="324"/>
    </row>
    <row r="126" spans="1:17" s="121" customFormat="1" ht="11.45" customHeight="1">
      <c r="B126" s="225" t="s">
        <v>3323</v>
      </c>
      <c r="C126" s="143" t="s">
        <v>1362</v>
      </c>
      <c r="M126" s="8"/>
      <c r="N126" s="225" t="s">
        <v>3323</v>
      </c>
      <c r="O126" s="1652"/>
      <c r="P126" s="473"/>
    </row>
    <row r="127" spans="1:17" s="121" customFormat="1" ht="11.45" customHeight="1">
      <c r="B127" s="225" t="s">
        <v>1645</v>
      </c>
      <c r="C127" s="143" t="s">
        <v>1363</v>
      </c>
      <c r="M127" s="8"/>
      <c r="N127" s="225" t="s">
        <v>1645</v>
      </c>
      <c r="O127" s="1653"/>
      <c r="P127" s="325"/>
    </row>
    <row r="128" spans="1:17" ht="12" customHeight="1">
      <c r="A128" s="229" t="s">
        <v>1788</v>
      </c>
      <c r="B128" s="801" t="s">
        <v>2697</v>
      </c>
      <c r="C128" s="229" t="s">
        <v>2959</v>
      </c>
      <c r="D128" s="142"/>
      <c r="E128" s="552" t="s">
        <v>3963</v>
      </c>
      <c r="M128" s="88">
        <v>3</v>
      </c>
      <c r="N128" s="654" t="s">
        <v>2697</v>
      </c>
      <c r="O128" s="548">
        <f>IF($M129=5,3,IF($M129=4,2,0))</f>
        <v>3</v>
      </c>
      <c r="P128" s="84"/>
    </row>
    <row r="129" spans="1:17" ht="12" customHeight="1">
      <c r="B129" s="580" t="s">
        <v>3696</v>
      </c>
      <c r="D129" s="40"/>
      <c r="E129" s="40"/>
      <c r="F129" s="40"/>
      <c r="G129" s="812"/>
      <c r="H129" s="812"/>
      <c r="I129" s="812"/>
      <c r="J129" s="812"/>
      <c r="M129" s="1731">
        <v>5</v>
      </c>
      <c r="N129" s="166" t="s">
        <v>3694</v>
      </c>
      <c r="O129" s="123"/>
      <c r="P129" s="123"/>
    </row>
    <row r="130" spans="1:17" ht="12" customHeight="1">
      <c r="B130" s="580" t="s">
        <v>3695</v>
      </c>
      <c r="D130" s="40"/>
      <c r="E130" s="40"/>
      <c r="F130" s="40"/>
      <c r="G130" s="812"/>
      <c r="H130" s="812"/>
      <c r="I130" s="812"/>
      <c r="J130" s="812"/>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597" t="s">
        <v>4172</v>
      </c>
      <c r="B132" s="1598"/>
      <c r="C132" s="1598"/>
      <c r="D132" s="1598"/>
      <c r="E132" s="1598"/>
      <c r="F132" s="1598"/>
      <c r="G132" s="1598"/>
      <c r="H132" s="1598"/>
      <c r="I132" s="1598"/>
      <c r="J132" s="1598"/>
      <c r="K132" s="1598"/>
      <c r="L132" s="1598"/>
      <c r="M132" s="1598"/>
      <c r="N132" s="1598"/>
      <c r="O132" s="1598"/>
      <c r="P132" s="1599"/>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047"/>
      <c r="B134" s="1048"/>
      <c r="C134" s="1048"/>
      <c r="D134" s="1048"/>
      <c r="E134" s="1048"/>
      <c r="F134" s="1048"/>
      <c r="G134" s="1048"/>
      <c r="H134" s="1048"/>
      <c r="I134" s="1048"/>
      <c r="J134" s="1048"/>
      <c r="K134" s="1048"/>
      <c r="L134" s="1048"/>
      <c r="M134" s="1048"/>
      <c r="N134" s="1048"/>
      <c r="O134" s="1048"/>
      <c r="P134" s="1049"/>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697">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3697</v>
      </c>
      <c r="D138" s="597"/>
      <c r="M138" s="598"/>
      <c r="N138" s="506"/>
      <c r="O138" s="506" t="s">
        <v>3202</v>
      </c>
      <c r="P138" s="326"/>
    </row>
    <row r="139" spans="1:17" s="511" customFormat="1">
      <c r="A139" s="506" t="s">
        <v>3203</v>
      </c>
      <c r="B139" s="1116" t="s">
        <v>3459</v>
      </c>
      <c r="C139" s="931"/>
      <c r="D139" s="931"/>
      <c r="E139" s="931"/>
      <c r="F139" s="931"/>
      <c r="G139" s="931"/>
      <c r="H139" s="931"/>
      <c r="I139" s="931"/>
      <c r="J139" s="931"/>
      <c r="K139" s="931"/>
      <c r="L139" s="931"/>
      <c r="M139" s="931"/>
      <c r="N139" s="931"/>
      <c r="O139" s="506" t="s">
        <v>3203</v>
      </c>
      <c r="P139" s="599"/>
    </row>
    <row r="140" spans="1:17" s="511" customFormat="1" ht="24" customHeight="1">
      <c r="A140" s="506" t="s">
        <v>3204</v>
      </c>
      <c r="B140" s="1116" t="s">
        <v>3698</v>
      </c>
      <c r="C140" s="931"/>
      <c r="D140" s="931"/>
      <c r="E140" s="931"/>
      <c r="F140" s="931"/>
      <c r="G140" s="931"/>
      <c r="H140" s="931"/>
      <c r="I140" s="931"/>
      <c r="J140" s="931"/>
      <c r="K140" s="931"/>
      <c r="L140" s="931"/>
      <c r="M140" s="931"/>
      <c r="N140" s="931"/>
      <c r="O140" s="506" t="s">
        <v>3204</v>
      </c>
      <c r="P140" s="599"/>
    </row>
    <row r="141" spans="1:17" s="511" customFormat="1" ht="12.75" customHeight="1">
      <c r="A141" s="506" t="s">
        <v>3205</v>
      </c>
      <c r="B141" s="683" t="s">
        <v>3699</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597" t="s">
        <v>4173</v>
      </c>
      <c r="B144" s="1598"/>
      <c r="C144" s="1598"/>
      <c r="D144" s="1598"/>
      <c r="E144" s="1598"/>
      <c r="F144" s="1598"/>
      <c r="G144" s="1598"/>
      <c r="H144" s="1598"/>
      <c r="I144" s="1598"/>
      <c r="J144" s="1598"/>
      <c r="K144" s="1598"/>
      <c r="L144" s="1598"/>
      <c r="M144" s="1598"/>
      <c r="N144" s="1598"/>
      <c r="O144" s="1598"/>
      <c r="P144" s="1599"/>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047"/>
      <c r="B146" s="1048"/>
      <c r="C146" s="1048"/>
      <c r="D146" s="1048"/>
      <c r="E146" s="1048"/>
      <c r="F146" s="1048"/>
      <c r="G146" s="1048"/>
      <c r="H146" s="1048"/>
      <c r="I146" s="1048"/>
      <c r="J146" s="1048"/>
      <c r="K146" s="1048"/>
      <c r="L146" s="1048"/>
      <c r="M146" s="1048"/>
      <c r="N146" s="1048"/>
      <c r="O146" s="1048"/>
      <c r="P146" s="1049"/>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2961</v>
      </c>
      <c r="D149" s="72"/>
      <c r="E149" s="72"/>
      <c r="F149" s="51"/>
      <c r="G149" s="31"/>
      <c r="K149" s="654" t="s">
        <v>3594</v>
      </c>
      <c r="L149" s="1593" t="s">
        <v>4104</v>
      </c>
      <c r="M149" s="8">
        <v>1</v>
      </c>
      <c r="N149" s="654" t="s">
        <v>2694</v>
      </c>
      <c r="O149" s="1697">
        <v>1</v>
      </c>
      <c r="P149" s="84"/>
      <c r="Q149" s="507"/>
      <c r="R149" s="490" t="str">
        <f>IF(OR($O149=$M149,$O149=0,$O149=""),"","* * Check Score! * *")</f>
        <v/>
      </c>
    </row>
    <row r="150" spans="1:18" s="50" customFormat="1" ht="12" customHeight="1">
      <c r="A150" s="171" t="s">
        <v>2697</v>
      </c>
      <c r="B150" s="213" t="s">
        <v>2962</v>
      </c>
      <c r="D150" s="68"/>
      <c r="H150" s="669" t="s">
        <v>3573</v>
      </c>
      <c r="K150" s="61"/>
      <c r="L150" s="1593"/>
      <c r="M150" s="8">
        <v>1</v>
      </c>
      <c r="N150" s="654" t="s">
        <v>2697</v>
      </c>
      <c r="O150" s="1697"/>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597" t="s">
        <v>4174</v>
      </c>
      <c r="B152" s="1598"/>
      <c r="C152" s="1598"/>
      <c r="D152" s="1598"/>
      <c r="E152" s="1598"/>
      <c r="F152" s="1598"/>
      <c r="G152" s="1598"/>
      <c r="H152" s="1598"/>
      <c r="I152" s="1598"/>
      <c r="J152" s="1598"/>
      <c r="K152" s="1598"/>
      <c r="L152" s="1598"/>
      <c r="M152" s="1598"/>
      <c r="N152" s="1598"/>
      <c r="O152" s="1598"/>
      <c r="P152" s="1599"/>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047"/>
      <c r="B154" s="1048"/>
      <c r="C154" s="1048"/>
      <c r="D154" s="1048"/>
      <c r="E154" s="1048"/>
      <c r="F154" s="1048"/>
      <c r="G154" s="1048"/>
      <c r="H154" s="1048"/>
      <c r="I154" s="1048"/>
      <c r="J154" s="1048"/>
      <c r="K154" s="1048"/>
      <c r="L154" s="1048"/>
      <c r="M154" s="1048"/>
      <c r="N154" s="1048"/>
      <c r="O154" s="1048"/>
      <c r="P154" s="1049"/>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3558</v>
      </c>
      <c r="C156" s="105"/>
      <c r="D156" s="69"/>
      <c r="E156" s="61"/>
      <c r="J156" s="72"/>
      <c r="K156" s="611" t="s">
        <v>3578</v>
      </c>
      <c r="L156" s="652" t="str">
        <f>'Part I-Project Information'!$H$81</f>
        <v>No</v>
      </c>
      <c r="M156" s="2">
        <v>3</v>
      </c>
      <c r="N156" s="7"/>
      <c r="O156" s="7"/>
      <c r="P156" s="84"/>
      <c r="Q156" s="130" t="s">
        <v>566</v>
      </c>
    </row>
    <row r="157" spans="1:18" s="50" customFormat="1" ht="12" customHeight="1">
      <c r="A157" s="171"/>
      <c r="B157" s="64" t="s">
        <v>3086</v>
      </c>
      <c r="D157" s="40"/>
      <c r="N157" s="654"/>
      <c r="O157" s="1593"/>
      <c r="P157" s="210"/>
      <c r="R157" s="490"/>
    </row>
    <row r="158" spans="1:18" s="50" customFormat="1" ht="12" customHeight="1">
      <c r="A158" s="171"/>
      <c r="B158" s="64" t="s">
        <v>3586</v>
      </c>
      <c r="D158" s="40"/>
      <c r="N158" s="654"/>
      <c r="O158" s="1593"/>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597"/>
      <c r="B160" s="1598"/>
      <c r="C160" s="1598"/>
      <c r="D160" s="1598"/>
      <c r="E160" s="1598"/>
      <c r="F160" s="1598"/>
      <c r="G160" s="1598"/>
      <c r="H160" s="1598"/>
      <c r="I160" s="1598"/>
      <c r="J160" s="1598"/>
      <c r="K160" s="1598"/>
      <c r="L160" s="1598"/>
      <c r="M160" s="1598"/>
      <c r="N160" s="1598"/>
      <c r="O160" s="1598"/>
      <c r="P160" s="1599"/>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047"/>
      <c r="B162" s="1048"/>
      <c r="C162" s="1048"/>
      <c r="D162" s="1048"/>
      <c r="E162" s="1048"/>
      <c r="F162" s="1048"/>
      <c r="G162" s="1048"/>
      <c r="H162" s="1048"/>
      <c r="I162" s="1048"/>
      <c r="J162" s="1048"/>
      <c r="K162" s="1048"/>
      <c r="L162" s="1048"/>
      <c r="M162" s="1048"/>
      <c r="N162" s="1048"/>
      <c r="O162" s="1048"/>
      <c r="P162" s="1049"/>
      <c r="Q162" s="614" t="s">
        <v>1677</v>
      </c>
    </row>
    <row r="163" spans="1:18" ht="12" customHeight="1"/>
    <row r="164" spans="1:18" s="74" customFormat="1" ht="12.6" customHeight="1">
      <c r="A164" s="190" t="s">
        <v>257</v>
      </c>
      <c r="B164" s="126" t="s">
        <v>872</v>
      </c>
      <c r="D164" s="234" t="s">
        <v>3587</v>
      </c>
      <c r="G164" s="141"/>
      <c r="H164" s="551"/>
      <c r="I164" s="653">
        <f>'Part VI-Revenues &amp; Expenses'!$M$62</f>
        <v>80</v>
      </c>
      <c r="J164" s="772" t="s">
        <v>2489</v>
      </c>
      <c r="K164" s="775">
        <f>'Part VI-Revenues &amp; Expenses'!$M$74/'Part VI-Revenues &amp; Expenses'!$M$62</f>
        <v>1</v>
      </c>
      <c r="L164" s="772" t="s">
        <v>4062</v>
      </c>
      <c r="M164" s="2">
        <v>3</v>
      </c>
      <c r="N164" s="517" t="str">
        <f>IF(OR($O164=$M164,$O164=0,$O164=""),"","***")</f>
        <v/>
      </c>
      <c r="O164" s="1697">
        <v>3</v>
      </c>
      <c r="P164" s="84"/>
      <c r="Q164" s="130" t="s">
        <v>566</v>
      </c>
      <c r="R164" s="31"/>
    </row>
    <row r="165" spans="1:18" s="74" customFormat="1" ht="25.15" customHeight="1">
      <c r="A165" s="189"/>
      <c r="B165" s="1026" t="s">
        <v>3660</v>
      </c>
      <c r="C165" s="1120"/>
      <c r="D165" s="1120"/>
      <c r="E165" s="1120"/>
      <c r="F165" s="1120"/>
      <c r="G165" s="1120"/>
      <c r="H165" s="1120"/>
      <c r="I165" s="1120"/>
      <c r="J165" s="1120"/>
      <c r="K165" s="1120"/>
      <c r="L165" s="1120"/>
      <c r="M165" s="1120"/>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597" t="s">
        <v>4178</v>
      </c>
      <c r="B167" s="1598"/>
      <c r="C167" s="1598"/>
      <c r="D167" s="1598"/>
      <c r="E167" s="1598"/>
      <c r="F167" s="1598"/>
      <c r="G167" s="1598"/>
      <c r="H167" s="1598"/>
      <c r="I167" s="1599"/>
      <c r="J167" s="1047"/>
      <c r="K167" s="1048"/>
      <c r="L167" s="1048"/>
      <c r="M167" s="1048"/>
      <c r="N167" s="1048"/>
      <c r="O167" s="1048"/>
      <c r="P167" s="1049"/>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697"/>
      <c r="P169" s="84"/>
      <c r="Q169" s="130" t="s">
        <v>566</v>
      </c>
    </row>
    <row r="170" spans="1:18" s="50" customFormat="1" ht="12.6" customHeight="1">
      <c r="B170" s="136" t="s">
        <v>2546</v>
      </c>
      <c r="D170" s="123"/>
      <c r="E170" s="1732" t="s">
        <v>2479</v>
      </c>
      <c r="F170" s="1733"/>
      <c r="G170" s="1734"/>
      <c r="H170" s="1735"/>
      <c r="I170" s="60" t="s">
        <v>2545</v>
      </c>
      <c r="O170" s="144" t="s">
        <v>3297</v>
      </c>
      <c r="P170" s="144" t="s">
        <v>3297</v>
      </c>
    </row>
    <row r="171" spans="1:18" s="121" customFormat="1" ht="11.45" customHeight="1">
      <c r="A171" s="171" t="s">
        <v>2694</v>
      </c>
      <c r="B171" s="143" t="s">
        <v>2358</v>
      </c>
      <c r="D171" s="143"/>
      <c r="E171" s="143"/>
      <c r="F171" s="143"/>
      <c r="G171" s="1736" t="s">
        <v>3309</v>
      </c>
      <c r="H171" s="1737"/>
      <c r="I171" s="1738"/>
      <c r="J171" s="1736" t="s">
        <v>1607</v>
      </c>
      <c r="K171" s="1737"/>
      <c r="L171" s="1738"/>
      <c r="N171" s="654" t="s">
        <v>2694</v>
      </c>
      <c r="O171" s="1593"/>
      <c r="P171" s="210"/>
    </row>
    <row r="172" spans="1:18" s="121" customFormat="1" ht="11.45" customHeight="1">
      <c r="A172" s="171" t="s">
        <v>2697</v>
      </c>
      <c r="B172" s="143" t="s">
        <v>435</v>
      </c>
      <c r="D172" s="143"/>
      <c r="E172" s="143"/>
      <c r="F172" s="143"/>
      <c r="G172" s="143"/>
      <c r="L172" s="143"/>
      <c r="M172" s="143"/>
      <c r="N172" s="654" t="s">
        <v>2697</v>
      </c>
      <c r="O172" s="1593"/>
      <c r="P172" s="210"/>
    </row>
    <row r="173" spans="1:18" s="121" customFormat="1" ht="11.45" customHeight="1">
      <c r="A173" s="171" t="s">
        <v>1054</v>
      </c>
      <c r="B173" s="143" t="s">
        <v>2318</v>
      </c>
      <c r="D173" s="143"/>
      <c r="E173" s="143"/>
      <c r="F173" s="143"/>
      <c r="G173" s="143"/>
      <c r="H173" s="143"/>
      <c r="L173" s="143"/>
      <c r="M173" s="143"/>
      <c r="N173" s="654" t="s">
        <v>1054</v>
      </c>
      <c r="O173" s="1593"/>
      <c r="P173" s="210"/>
    </row>
    <row r="174" spans="1:18" s="121" customFormat="1" ht="11.45" customHeight="1">
      <c r="A174" s="171" t="s">
        <v>2830</v>
      </c>
      <c r="B174" s="166" t="s">
        <v>3531</v>
      </c>
      <c r="D174" s="143"/>
      <c r="E174" s="143"/>
      <c r="F174" s="143"/>
      <c r="G174" s="143"/>
      <c r="H174" s="143"/>
      <c r="I174" s="143"/>
      <c r="J174" s="143"/>
      <c r="K174" s="143"/>
      <c r="L174" s="143"/>
      <c r="M174" s="143"/>
      <c r="N174" s="654" t="s">
        <v>2830</v>
      </c>
      <c r="O174" s="1593"/>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597"/>
      <c r="B176" s="1598"/>
      <c r="C176" s="1598"/>
      <c r="D176" s="1598"/>
      <c r="E176" s="1598"/>
      <c r="F176" s="1598"/>
      <c r="G176" s="1598"/>
      <c r="H176" s="1598"/>
      <c r="I176" s="1598"/>
      <c r="J176" s="1598"/>
      <c r="K176" s="1598"/>
      <c r="L176" s="1598"/>
      <c r="M176" s="1598"/>
      <c r="N176" s="1598"/>
      <c r="O176" s="1598"/>
      <c r="P176" s="1599"/>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047"/>
      <c r="B178" s="1048"/>
      <c r="C178" s="1048"/>
      <c r="D178" s="1048"/>
      <c r="E178" s="1048"/>
      <c r="F178" s="1048"/>
      <c r="G178" s="1048"/>
      <c r="H178" s="1048"/>
      <c r="I178" s="1048"/>
      <c r="J178" s="1048"/>
      <c r="K178" s="1048"/>
      <c r="L178" s="1048"/>
      <c r="M178" s="1048"/>
      <c r="N178" s="1048"/>
      <c r="O178" s="1048"/>
      <c r="P178" s="1049"/>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4</v>
      </c>
      <c r="P180" s="76">
        <f>P188+P208+P211</f>
        <v>0</v>
      </c>
      <c r="Q180" s="130" t="s">
        <v>566</v>
      </c>
    </row>
    <row r="181" spans="1:18" s="50" customFormat="1" ht="12.75" customHeight="1">
      <c r="A181" s="49"/>
      <c r="B181" s="136" t="s">
        <v>3546</v>
      </c>
      <c r="E181" s="106"/>
      <c r="F181" s="61"/>
      <c r="G181" s="61"/>
      <c r="H181" s="61"/>
      <c r="I181" s="61"/>
      <c r="J181" s="63"/>
      <c r="K181" s="71"/>
      <c r="L181" s="67"/>
      <c r="O181" s="144" t="s">
        <v>3297</v>
      </c>
      <c r="P181" s="144" t="s">
        <v>3297</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51" t="s">
        <v>4104</v>
      </c>
      <c r="P182" s="324"/>
    </row>
    <row r="183" spans="1:18" s="121" customFormat="1" ht="11.25" customHeight="1">
      <c r="B183" s="596" t="s">
        <v>2700</v>
      </c>
      <c r="C183" s="121" t="s">
        <v>738</v>
      </c>
      <c r="N183" s="225" t="s">
        <v>2700</v>
      </c>
      <c r="O183" s="1652" t="s">
        <v>4104</v>
      </c>
      <c r="P183" s="473"/>
    </row>
    <row r="184" spans="1:18" s="121" customFormat="1" ht="11.25" customHeight="1">
      <c r="B184" s="596" t="s">
        <v>3323</v>
      </c>
      <c r="C184" s="121" t="s">
        <v>739</v>
      </c>
      <c r="N184" s="225" t="s">
        <v>3323</v>
      </c>
      <c r="O184" s="1652" t="s">
        <v>4104</v>
      </c>
      <c r="P184" s="473"/>
    </row>
    <row r="185" spans="1:18" s="121" customFormat="1" ht="11.25" customHeight="1">
      <c r="B185" s="596" t="s">
        <v>1645</v>
      </c>
      <c r="C185" s="121" t="s">
        <v>740</v>
      </c>
      <c r="N185" s="225" t="s">
        <v>1645</v>
      </c>
      <c r="O185" s="1652" t="s">
        <v>4104</v>
      </c>
      <c r="P185" s="473"/>
    </row>
    <row r="186" spans="1:18" s="121" customFormat="1" ht="11.25" customHeight="1">
      <c r="B186" s="596" t="s">
        <v>1646</v>
      </c>
      <c r="C186" s="121" t="s">
        <v>748</v>
      </c>
      <c r="N186" s="225" t="s">
        <v>1646</v>
      </c>
      <c r="O186" s="1653" t="s">
        <v>4104</v>
      </c>
      <c r="P186" s="325"/>
    </row>
    <row r="187" spans="1:18" s="121" customFormat="1" ht="6" customHeight="1">
      <c r="B187" s="596"/>
    </row>
    <row r="188" spans="1:18" s="50" customFormat="1" ht="11.25" customHeight="1">
      <c r="A188" s="171" t="s">
        <v>2694</v>
      </c>
      <c r="B188" s="231" t="s">
        <v>2548</v>
      </c>
      <c r="D188" s="812"/>
      <c r="E188" s="812"/>
      <c r="F188" s="40"/>
      <c r="G188" s="123"/>
      <c r="H188" s="123"/>
      <c r="I188" s="123"/>
      <c r="J188" s="812"/>
      <c r="K188" s="123"/>
      <c r="L188" s="40"/>
      <c r="M188" s="577">
        <v>4</v>
      </c>
      <c r="N188" s="654" t="s">
        <v>2694</v>
      </c>
      <c r="O188" s="186">
        <f>IF($I207&gt;=0.15, 4,IF($I207&gt;=0.1, 3,IF($I207&gt;=0.05, 2,IF($I207&gt;=0.02, 1,0))))</f>
        <v>4</v>
      </c>
      <c r="P188" s="186">
        <f>IF($L207&gt;=0.15, 4,IF($L207&gt;=0.1, 3,IF($L207&gt;=0.05, 2,IF($L207&gt;=0.02, 1,0))))</f>
        <v>0</v>
      </c>
    </row>
    <row r="189" spans="1:18" ht="12" customHeight="1">
      <c r="B189" s="483" t="s">
        <v>2698</v>
      </c>
      <c r="C189" s="602" t="s">
        <v>3441</v>
      </c>
      <c r="I189" s="1159" t="s">
        <v>2702</v>
      </c>
      <c r="J189" s="1159"/>
      <c r="L189" s="814" t="s">
        <v>2702</v>
      </c>
      <c r="M189" s="196"/>
      <c r="N189" s="225" t="s">
        <v>2698</v>
      </c>
    </row>
    <row r="190" spans="1:18" s="50" customFormat="1" ht="11.25" customHeight="1">
      <c r="A190" s="226"/>
      <c r="B190" s="132"/>
      <c r="C190" s="484" t="s">
        <v>3202</v>
      </c>
      <c r="D190" s="44" t="s">
        <v>1930</v>
      </c>
      <c r="H190" s="64"/>
      <c r="I190" s="1739"/>
      <c r="J190" s="1740"/>
      <c r="K190" s="228"/>
      <c r="L190" s="586"/>
      <c r="M190" s="88"/>
      <c r="N190" s="484" t="s">
        <v>3202</v>
      </c>
      <c r="O190" s="1651"/>
      <c r="P190" s="324"/>
      <c r="R190" s="490"/>
    </row>
    <row r="191" spans="1:18" ht="11.25" customHeight="1">
      <c r="A191" s="227"/>
      <c r="B191" s="97"/>
      <c r="C191" s="506" t="s">
        <v>3203</v>
      </c>
      <c r="D191" s="44" t="s">
        <v>1931</v>
      </c>
      <c r="H191" s="64"/>
      <c r="I191" s="1739"/>
      <c r="J191" s="1740"/>
      <c r="L191" s="586"/>
      <c r="M191" s="88"/>
      <c r="N191" s="506" t="s">
        <v>3203</v>
      </c>
      <c r="O191" s="1652"/>
      <c r="P191" s="473"/>
      <c r="R191" s="490"/>
    </row>
    <row r="192" spans="1:18" ht="11.25" customHeight="1">
      <c r="B192" s="596"/>
      <c r="C192" s="484" t="s">
        <v>3204</v>
      </c>
      <c r="D192" s="44" t="s">
        <v>3438</v>
      </c>
      <c r="H192" s="64"/>
      <c r="I192" s="1739">
        <v>1865000</v>
      </c>
      <c r="J192" s="1740"/>
      <c r="L192" s="586"/>
      <c r="M192" s="88"/>
      <c r="N192" s="484" t="s">
        <v>3204</v>
      </c>
      <c r="O192" s="1652" t="s">
        <v>4104</v>
      </c>
      <c r="P192" s="473"/>
      <c r="R192" s="490"/>
    </row>
    <row r="193" spans="1:18" ht="11.25" customHeight="1">
      <c r="A193" s="227"/>
      <c r="B193" s="596"/>
      <c r="C193" s="484" t="s">
        <v>3205</v>
      </c>
      <c r="D193" s="44" t="s">
        <v>3439</v>
      </c>
      <c r="I193" s="1739"/>
      <c r="J193" s="1740"/>
      <c r="L193" s="586"/>
      <c r="M193" s="88"/>
      <c r="N193" s="484" t="s">
        <v>3205</v>
      </c>
      <c r="O193" s="1652"/>
      <c r="P193" s="473"/>
      <c r="R193" s="490"/>
    </row>
    <row r="194" spans="1:18" s="50" customFormat="1" ht="11.25" customHeight="1">
      <c r="A194" s="226"/>
      <c r="B194" s="596"/>
      <c r="C194" s="506" t="s">
        <v>3206</v>
      </c>
      <c r="D194" s="44" t="s">
        <v>1932</v>
      </c>
      <c r="H194" s="64"/>
      <c r="I194" s="1739"/>
      <c r="J194" s="1740"/>
      <c r="K194" s="228"/>
      <c r="L194" s="586"/>
      <c r="M194" s="88"/>
      <c r="N194" s="506" t="s">
        <v>3206</v>
      </c>
      <c r="O194" s="1652"/>
      <c r="P194" s="473"/>
      <c r="R194" s="490"/>
    </row>
    <row r="195" spans="1:18" ht="11.25" customHeight="1">
      <c r="B195" s="596"/>
      <c r="C195" s="484" t="s">
        <v>3222</v>
      </c>
      <c r="D195" s="44" t="s">
        <v>1933</v>
      </c>
      <c r="H195" s="64"/>
      <c r="I195" s="1739"/>
      <c r="J195" s="1740"/>
      <c r="L195" s="586"/>
      <c r="M195" s="88"/>
      <c r="N195" s="484" t="s">
        <v>3222</v>
      </c>
      <c r="O195" s="1652"/>
      <c r="P195" s="473"/>
      <c r="R195" s="490"/>
    </row>
    <row r="196" spans="1:18" ht="11.25" customHeight="1">
      <c r="A196" s="227"/>
      <c r="B196" s="596"/>
      <c r="C196" s="484" t="s">
        <v>3223</v>
      </c>
      <c r="D196" s="44" t="s">
        <v>1934</v>
      </c>
      <c r="H196" s="64"/>
      <c r="I196" s="1739"/>
      <c r="J196" s="1740"/>
      <c r="L196" s="586"/>
      <c r="M196" s="88"/>
      <c r="N196" s="484" t="s">
        <v>3223</v>
      </c>
      <c r="O196" s="1652"/>
      <c r="P196" s="473"/>
      <c r="R196" s="490"/>
    </row>
    <row r="197" spans="1:18" ht="11.25" customHeight="1">
      <c r="B197" s="596"/>
      <c r="C197" s="505" t="s">
        <v>3230</v>
      </c>
      <c r="D197" s="44" t="s">
        <v>3700</v>
      </c>
      <c r="H197" s="64"/>
      <c r="I197" s="1739"/>
      <c r="J197" s="1740"/>
      <c r="L197" s="586"/>
      <c r="M197" s="88"/>
      <c r="N197" s="505" t="s">
        <v>3230</v>
      </c>
      <c r="O197" s="1652"/>
      <c r="P197" s="473"/>
      <c r="R197" s="490"/>
    </row>
    <row r="198" spans="1:18" ht="11.25" customHeight="1">
      <c r="A198" s="227"/>
      <c r="B198" s="596"/>
      <c r="C198" s="505" t="s">
        <v>3231</v>
      </c>
      <c r="D198" s="44" t="s">
        <v>3701</v>
      </c>
      <c r="H198" s="64"/>
      <c r="I198" s="1739"/>
      <c r="J198" s="1740"/>
      <c r="L198" s="586"/>
      <c r="M198" s="88"/>
      <c r="N198" s="505" t="s">
        <v>3231</v>
      </c>
      <c r="O198" s="1652"/>
      <c r="P198" s="473"/>
      <c r="R198" s="490"/>
    </row>
    <row r="199" spans="1:18" ht="11.25" customHeight="1">
      <c r="A199" s="227"/>
      <c r="B199" s="596"/>
      <c r="C199" s="505" t="s">
        <v>3232</v>
      </c>
      <c r="D199" s="44" t="s">
        <v>3702</v>
      </c>
      <c r="H199" s="64"/>
      <c r="I199" s="1739"/>
      <c r="J199" s="1740"/>
      <c r="L199" s="586"/>
      <c r="M199" s="88"/>
      <c r="N199" s="505" t="s">
        <v>3232</v>
      </c>
      <c r="O199" s="1652"/>
      <c r="P199" s="473"/>
      <c r="R199" s="490"/>
    </row>
    <row r="200" spans="1:18" ht="11.25" customHeight="1">
      <c r="A200" s="227"/>
      <c r="B200" s="596"/>
      <c r="C200" s="505" t="s">
        <v>771</v>
      </c>
      <c r="D200" s="44" t="s">
        <v>3703</v>
      </c>
      <c r="H200" s="64"/>
      <c r="I200" s="1739"/>
      <c r="J200" s="1740"/>
      <c r="L200" s="586"/>
      <c r="M200" s="88"/>
      <c r="N200" s="505" t="s">
        <v>771</v>
      </c>
      <c r="O200" s="1652"/>
      <c r="P200" s="473"/>
      <c r="R200" s="490"/>
    </row>
    <row r="201" spans="1:18" ht="11.25" customHeight="1">
      <c r="A201" s="227"/>
      <c r="B201" s="596"/>
      <c r="C201" s="505" t="s">
        <v>3706</v>
      </c>
      <c r="D201" s="44" t="s">
        <v>3704</v>
      </c>
      <c r="H201" s="64"/>
      <c r="I201" s="1739"/>
      <c r="J201" s="1740"/>
      <c r="L201" s="586"/>
      <c r="M201" s="88"/>
      <c r="N201" s="505" t="s">
        <v>3706</v>
      </c>
      <c r="O201" s="1652"/>
      <c r="P201" s="473"/>
      <c r="R201" s="490"/>
    </row>
    <row r="202" spans="1:18" ht="11.25" customHeight="1">
      <c r="A202" s="227"/>
      <c r="B202" s="596"/>
      <c r="C202" s="505" t="s">
        <v>3707</v>
      </c>
      <c r="D202" s="44" t="s">
        <v>3705</v>
      </c>
      <c r="H202" s="64"/>
      <c r="I202" s="1739"/>
      <c r="J202" s="1740"/>
      <c r="L202" s="586"/>
      <c r="M202" s="88"/>
      <c r="N202" s="505" t="s">
        <v>3707</v>
      </c>
      <c r="O202" s="1652"/>
      <c r="P202" s="473"/>
      <c r="R202" s="490"/>
    </row>
    <row r="203" spans="1:18" ht="11.25" customHeight="1" thickBot="1">
      <c r="A203" s="227"/>
      <c r="B203" s="596"/>
      <c r="C203" s="505" t="s">
        <v>3708</v>
      </c>
      <c r="D203" s="582" t="s">
        <v>3440</v>
      </c>
      <c r="E203" s="583"/>
      <c r="F203" s="583"/>
      <c r="G203" s="583"/>
      <c r="H203" s="584"/>
      <c r="I203" s="1741"/>
      <c r="J203" s="1742"/>
      <c r="L203" s="590"/>
      <c r="M203" s="88"/>
      <c r="N203" s="505" t="s">
        <v>3708</v>
      </c>
      <c r="O203" s="1653"/>
      <c r="P203" s="325"/>
      <c r="R203" s="490"/>
    </row>
    <row r="204" spans="1:18" ht="12" customHeight="1" thickBot="1">
      <c r="A204" s="227"/>
      <c r="B204" s="596"/>
      <c r="D204" s="580" t="s">
        <v>3443</v>
      </c>
      <c r="H204" s="64"/>
      <c r="I204" s="1743">
        <f>SUM(I190:J203)</f>
        <v>1865000</v>
      </c>
      <c r="J204" s="1744"/>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3442</v>
      </c>
      <c r="D206" s="580" t="s">
        <v>3444</v>
      </c>
      <c r="I206" s="1147">
        <f>'Part IV-Uses of Funds'!$G$129</f>
        <v>11360222</v>
      </c>
      <c r="J206" s="1148"/>
      <c r="M206" s="196"/>
      <c r="N206" s="31"/>
      <c r="O206" s="31"/>
      <c r="P206" s="31"/>
    </row>
    <row r="207" spans="1:18" ht="12" customHeight="1">
      <c r="B207" s="225"/>
      <c r="C207" s="579"/>
      <c r="D207" s="600" t="s">
        <v>3445</v>
      </c>
      <c r="G207" s="589"/>
      <c r="H207" s="589"/>
      <c r="I207" s="1152">
        <f>IF($I206=0,0,$I204/$I206)</f>
        <v>0.16416932697265951</v>
      </c>
      <c r="J207" s="1153"/>
      <c r="L207" s="581">
        <f>IF($I206=0,0,$L204/$I206)</f>
        <v>0</v>
      </c>
      <c r="M207" s="196"/>
      <c r="N207" s="31"/>
      <c r="O207" s="31"/>
      <c r="P207" s="31"/>
    </row>
    <row r="208" spans="1:18" s="50" customFormat="1" ht="12.75" customHeight="1">
      <c r="A208" s="171" t="s">
        <v>2697</v>
      </c>
      <c r="B208" s="231" t="s">
        <v>3574</v>
      </c>
      <c r="D208" s="47"/>
      <c r="E208" s="44"/>
      <c r="F208" s="674"/>
      <c r="H208" s="44"/>
      <c r="I208" s="674"/>
      <c r="J208" s="38"/>
      <c r="K208" s="38"/>
      <c r="L208" s="38"/>
      <c r="M208" s="88">
        <v>1</v>
      </c>
      <c r="N208" s="654" t="s">
        <v>2697</v>
      </c>
      <c r="O208" s="1593"/>
      <c r="P208" s="84"/>
      <c r="Q208" s="507" t="s">
        <v>3631</v>
      </c>
    </row>
    <row r="209" spans="1:18" s="50" customFormat="1" ht="11.25" customHeight="1">
      <c r="A209" s="171"/>
      <c r="B209" s="1026" t="s">
        <v>3709</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45"/>
      <c r="F212" s="1746"/>
      <c r="G212" s="1746"/>
      <c r="H212" s="1747"/>
      <c r="K212" s="228"/>
      <c r="M212" s="7"/>
      <c r="N212" s="7"/>
      <c r="O212" s="7"/>
      <c r="P212" s="7"/>
    </row>
    <row r="213" spans="1:18" ht="12" customHeight="1">
      <c r="A213" s="227"/>
      <c r="B213" s="510" t="s">
        <v>3110</v>
      </c>
      <c r="D213" s="511"/>
      <c r="E213" s="1748"/>
      <c r="F213" s="1749"/>
      <c r="G213" s="1749"/>
      <c r="H213" s="1749"/>
      <c r="I213" s="1749"/>
      <c r="J213" s="1749"/>
      <c r="K213" s="1749"/>
      <c r="L213" s="1749"/>
      <c r="M213" s="1749"/>
      <c r="N213" s="1749"/>
      <c r="O213" s="1749"/>
      <c r="P213" s="1318"/>
    </row>
    <row r="214" spans="1:18" ht="12.6" customHeight="1">
      <c r="B214" s="44" t="s">
        <v>3547</v>
      </c>
      <c r="E214" s="585"/>
      <c r="I214" s="1750"/>
      <c r="J214" s="1751"/>
      <c r="K214" s="581">
        <f>IF($I214=0,0,$I214/$I206)</f>
        <v>0</v>
      </c>
      <c r="L214" s="586"/>
      <c r="M214" s="1157">
        <f>IF($L214=0,0,$L214/$I206)</f>
        <v>0</v>
      </c>
      <c r="N214" s="1158"/>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597"/>
      <c r="B216" s="1598"/>
      <c r="C216" s="1598"/>
      <c r="D216" s="1598"/>
      <c r="E216" s="1598"/>
      <c r="F216" s="1598"/>
      <c r="G216" s="1598"/>
      <c r="H216" s="1598"/>
      <c r="I216" s="1598"/>
      <c r="J216" s="1598"/>
      <c r="K216" s="1598"/>
      <c r="L216" s="1598"/>
      <c r="M216" s="1598"/>
      <c r="N216" s="1598"/>
      <c r="O216" s="1598"/>
      <c r="P216" s="1599"/>
      <c r="Q216" s="614" t="s">
        <v>1677</v>
      </c>
    </row>
    <row r="217" spans="1:18" s="123" customFormat="1" ht="10.9" customHeight="1">
      <c r="A217" s="49"/>
      <c r="B217" s="118" t="s">
        <v>2571</v>
      </c>
      <c r="C217" s="119"/>
      <c r="D217" s="118"/>
      <c r="E217" s="233"/>
      <c r="F217" s="806"/>
      <c r="G217" s="806"/>
      <c r="H217" s="806"/>
      <c r="I217" s="806"/>
      <c r="J217" s="806"/>
      <c r="K217" s="806"/>
      <c r="L217" s="806"/>
      <c r="M217" s="806"/>
      <c r="N217" s="113"/>
      <c r="O217" s="232"/>
      <c r="P217" s="2"/>
      <c r="Q217" s="570"/>
    </row>
    <row r="218" spans="1:18" s="50" customFormat="1" ht="12" customHeight="1">
      <c r="A218" s="1047"/>
      <c r="B218" s="1048"/>
      <c r="C218" s="1048"/>
      <c r="D218" s="1048"/>
      <c r="E218" s="1048"/>
      <c r="F218" s="1048"/>
      <c r="G218" s="1048"/>
      <c r="H218" s="1048"/>
      <c r="I218" s="1048"/>
      <c r="J218" s="1048"/>
      <c r="K218" s="1048"/>
      <c r="L218" s="1048"/>
      <c r="M218" s="1048"/>
      <c r="N218" s="1048"/>
      <c r="O218" s="1048"/>
      <c r="P218" s="1049"/>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3711</v>
      </c>
      <c r="D221" s="40"/>
      <c r="H221" s="64" t="s">
        <v>3086</v>
      </c>
      <c r="M221" s="88">
        <v>6</v>
      </c>
      <c r="N221" s="654" t="s">
        <v>2694</v>
      </c>
      <c r="O221" s="1651"/>
      <c r="P221" s="324"/>
      <c r="R221" s="490"/>
    </row>
    <row r="222" spans="1:18" s="50" customFormat="1" ht="23.25" customHeight="1">
      <c r="A222" s="49"/>
      <c r="B222" s="1154" t="s">
        <v>3749</v>
      </c>
      <c r="C222" s="1155"/>
      <c r="D222" s="1155"/>
      <c r="E222" s="1155"/>
      <c r="F222" s="1155"/>
      <c r="G222" s="1155"/>
      <c r="H222" s="1155"/>
      <c r="I222" s="1155"/>
      <c r="J222" s="1155"/>
      <c r="K222" s="1155"/>
      <c r="L222" s="1155"/>
      <c r="M222" s="53"/>
      <c r="N222" s="73"/>
      <c r="O222" s="1653"/>
      <c r="P222" s="325"/>
    </row>
    <row r="223" spans="1:18" s="50" customFormat="1" ht="12" customHeight="1">
      <c r="A223" s="171" t="s">
        <v>2697</v>
      </c>
      <c r="B223" s="213" t="s">
        <v>3710</v>
      </c>
      <c r="D223" s="40"/>
      <c r="E223" s="40"/>
      <c r="F223" s="40"/>
      <c r="R223" s="490"/>
    </row>
    <row r="224" spans="1:18" s="50" customFormat="1" ht="12" customHeight="1">
      <c r="A224" s="171"/>
      <c r="B224" s="64" t="s">
        <v>3086</v>
      </c>
      <c r="D224" s="40"/>
      <c r="M224" s="132">
        <v>3</v>
      </c>
      <c r="N224" s="654" t="s">
        <v>2697</v>
      </c>
      <c r="O224" s="1651" t="s">
        <v>4104</v>
      </c>
      <c r="P224" s="324"/>
      <c r="R224" s="490"/>
    </row>
    <row r="225" spans="1:18" s="50" customFormat="1" ht="12" customHeight="1">
      <c r="A225" s="171"/>
      <c r="B225" s="64" t="s">
        <v>3768</v>
      </c>
      <c r="D225" s="40"/>
      <c r="N225" s="654"/>
      <c r="O225" s="1653" t="s">
        <v>4104</v>
      </c>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597" t="s">
        <v>4191</v>
      </c>
      <c r="B227" s="1598"/>
      <c r="C227" s="1598"/>
      <c r="D227" s="1598"/>
      <c r="E227" s="1598"/>
      <c r="F227" s="1598"/>
      <c r="G227" s="1598"/>
      <c r="H227" s="1598"/>
      <c r="I227" s="1598"/>
      <c r="J227" s="1598"/>
      <c r="K227" s="1598"/>
      <c r="L227" s="1598"/>
      <c r="M227" s="1598"/>
      <c r="N227" s="1598"/>
      <c r="O227" s="1598"/>
      <c r="P227" s="1599"/>
      <c r="Q227" s="614" t="s">
        <v>1677</v>
      </c>
    </row>
    <row r="228" spans="1:18" s="123" customFormat="1" ht="10.5" customHeight="1">
      <c r="A228" s="49"/>
      <c r="B228" s="118" t="s">
        <v>2571</v>
      </c>
      <c r="C228" s="119"/>
      <c r="D228" s="118"/>
      <c r="E228" s="233"/>
      <c r="F228" s="806"/>
      <c r="G228" s="806"/>
      <c r="H228" s="806"/>
      <c r="I228" s="806"/>
      <c r="J228" s="806"/>
      <c r="K228" s="806"/>
      <c r="L228" s="806"/>
      <c r="M228" s="806"/>
      <c r="N228" s="113"/>
      <c r="O228" s="232"/>
      <c r="P228" s="2"/>
      <c r="Q228" s="570"/>
    </row>
    <row r="229" spans="1:18" s="50" customFormat="1" ht="12" customHeight="1">
      <c r="A229" s="1047"/>
      <c r="B229" s="1048"/>
      <c r="C229" s="1048"/>
      <c r="D229" s="1048"/>
      <c r="E229" s="1048"/>
      <c r="F229" s="1048"/>
      <c r="G229" s="1048"/>
      <c r="H229" s="1048"/>
      <c r="I229" s="1048"/>
      <c r="J229" s="1048"/>
      <c r="K229" s="1048"/>
      <c r="L229" s="1048"/>
      <c r="M229" s="1048"/>
      <c r="N229" s="1048"/>
      <c r="O229" s="1048"/>
      <c r="P229" s="1049"/>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3661</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3662</v>
      </c>
      <c r="D232" s="40"/>
      <c r="E232" s="40"/>
      <c r="F232" s="40"/>
      <c r="L232" s="685" t="str">
        <f>IF(OR($O232=$M232,$O232=0,$O232=""),"","* * Check Score! * *")</f>
        <v/>
      </c>
      <c r="M232" s="7">
        <v>3</v>
      </c>
      <c r="N232" s="654" t="s">
        <v>2694</v>
      </c>
      <c r="O232" s="1752">
        <v>3</v>
      </c>
      <c r="P232" s="621"/>
      <c r="Q232" s="507" t="s">
        <v>3631</v>
      </c>
      <c r="R232" s="130"/>
    </row>
    <row r="233" spans="1:18" s="50" customFormat="1" ht="33" customHeight="1">
      <c r="A233" s="171"/>
      <c r="B233" s="1119" t="s">
        <v>3712</v>
      </c>
      <c r="C233" s="1119"/>
      <c r="D233" s="1119"/>
      <c r="E233" s="1119"/>
      <c r="F233" s="1119"/>
      <c r="G233" s="1119"/>
      <c r="H233" s="1119"/>
      <c r="I233" s="1119"/>
      <c r="J233" s="1119"/>
      <c r="K233" s="1119"/>
      <c r="L233" s="1119"/>
      <c r="M233" s="490"/>
      <c r="N233" s="490"/>
      <c r="O233" s="1753"/>
      <c r="P233" s="622"/>
      <c r="Q233" s="130"/>
      <c r="R233" s="490"/>
    </row>
    <row r="234" spans="1:18" s="50" customFormat="1" ht="12" customHeight="1">
      <c r="A234" s="171" t="s">
        <v>2697</v>
      </c>
      <c r="B234" s="213" t="s">
        <v>3663</v>
      </c>
      <c r="D234" s="812"/>
      <c r="F234" s="38"/>
      <c r="G234" s="123"/>
      <c r="H234" s="72"/>
      <c r="K234" s="123"/>
      <c r="L234" s="685" t="str">
        <f>IF(OR($O234=$M234,$O234=0,$O234=""),"","* * Check Score! * *")</f>
        <v/>
      </c>
      <c r="M234" s="7">
        <v>3</v>
      </c>
      <c r="N234" s="654" t="s">
        <v>2697</v>
      </c>
      <c r="O234" s="1723"/>
      <c r="P234" s="671"/>
      <c r="Q234" s="507" t="s">
        <v>3631</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597" t="s">
        <v>4175</v>
      </c>
      <c r="B236" s="1598"/>
      <c r="C236" s="1598"/>
      <c r="D236" s="1598"/>
      <c r="E236" s="1598"/>
      <c r="F236" s="1598"/>
      <c r="G236" s="1598"/>
      <c r="H236" s="1598"/>
      <c r="I236" s="1598"/>
      <c r="J236" s="1598"/>
      <c r="K236" s="1598"/>
      <c r="L236" s="1598"/>
      <c r="M236" s="1598"/>
      <c r="N236" s="1598"/>
      <c r="O236" s="1598"/>
      <c r="P236" s="1599"/>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047"/>
      <c r="B238" s="1048"/>
      <c r="C238" s="1048"/>
      <c r="D238" s="1048"/>
      <c r="E238" s="1048"/>
      <c r="F238" s="1048"/>
      <c r="G238" s="1048"/>
      <c r="H238" s="1048"/>
      <c r="I238" s="1048"/>
      <c r="J238" s="1048"/>
      <c r="K238" s="1048"/>
      <c r="L238" s="1048"/>
      <c r="M238" s="1048"/>
      <c r="N238" s="1048"/>
      <c r="O238" s="1048"/>
      <c r="P238" s="1049"/>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3664</v>
      </c>
      <c r="D240" s="812"/>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41" t="s">
        <v>3713</v>
      </c>
      <c r="D241" s="1041"/>
      <c r="E241" s="1041"/>
      <c r="F241" s="1041"/>
      <c r="G241" s="1041"/>
      <c r="H241" s="1041"/>
      <c r="I241" s="1041"/>
      <c r="J241" s="1041"/>
      <c r="K241" s="1041"/>
      <c r="L241" s="1041"/>
      <c r="M241" s="545">
        <v>3</v>
      </c>
      <c r="N241" s="199" t="s">
        <v>2694</v>
      </c>
      <c r="O241" s="1752"/>
      <c r="P241" s="621"/>
      <c r="Q241" s="221" t="s">
        <v>3631</v>
      </c>
    </row>
    <row r="242" spans="1:17" s="544" customFormat="1" ht="22.5" customHeight="1">
      <c r="A242" s="592" t="s">
        <v>1788</v>
      </c>
      <c r="B242" s="603" t="s">
        <v>2697</v>
      </c>
      <c r="C242" s="1041" t="s">
        <v>3760</v>
      </c>
      <c r="D242" s="1041"/>
      <c r="E242" s="1041"/>
      <c r="F242" s="1041"/>
      <c r="G242" s="1041"/>
      <c r="H242" s="1041"/>
      <c r="I242" s="1041"/>
      <c r="J242" s="1041"/>
      <c r="K242" s="1041"/>
      <c r="L242" s="1041"/>
      <c r="M242" s="545">
        <v>1</v>
      </c>
      <c r="N242" s="199" t="s">
        <v>2697</v>
      </c>
      <c r="O242" s="1753"/>
      <c r="P242" s="622"/>
      <c r="Q242" s="221" t="s">
        <v>3631</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597"/>
      <c r="B244" s="1598"/>
      <c r="C244" s="1598"/>
      <c r="D244" s="1598"/>
      <c r="E244" s="1598"/>
      <c r="F244" s="1598"/>
      <c r="G244" s="1598"/>
      <c r="H244" s="1598"/>
      <c r="I244" s="1598"/>
      <c r="J244" s="1598"/>
      <c r="K244" s="1598"/>
      <c r="L244" s="1598"/>
      <c r="M244" s="1598"/>
      <c r="N244" s="1598"/>
      <c r="O244" s="1598"/>
      <c r="P244" s="1599"/>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047"/>
      <c r="B246" s="1048"/>
      <c r="C246" s="1048"/>
      <c r="D246" s="1048"/>
      <c r="E246" s="1048"/>
      <c r="F246" s="1048"/>
      <c r="G246" s="1048"/>
      <c r="H246" s="1048"/>
      <c r="I246" s="1048"/>
      <c r="J246" s="1048"/>
      <c r="K246" s="1048"/>
      <c r="L246" s="1048"/>
      <c r="M246" s="1048"/>
      <c r="N246" s="1048"/>
      <c r="O246" s="1048"/>
      <c r="P246" s="1049"/>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3446</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2694</v>
      </c>
      <c r="B249" s="213" t="s">
        <v>3447</v>
      </c>
      <c r="D249" s="1156" t="s">
        <v>3740</v>
      </c>
      <c r="E249" s="1156"/>
      <c r="F249" s="1156"/>
      <c r="G249" s="1156"/>
      <c r="H249" s="1156"/>
      <c r="I249" s="1156"/>
      <c r="J249" s="1156"/>
      <c r="K249" s="1156"/>
      <c r="L249" s="1156"/>
      <c r="M249" s="88">
        <v>6</v>
      </c>
      <c r="N249" s="78" t="s">
        <v>2694</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2698</v>
      </c>
      <c r="C250" s="161" t="s">
        <v>3448</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3588</v>
      </c>
      <c r="D251" s="510"/>
      <c r="E251" s="510"/>
      <c r="F251" s="510"/>
      <c r="G251" s="510"/>
      <c r="H251" s="510"/>
      <c r="I251" s="510"/>
      <c r="J251" s="809"/>
      <c r="K251" s="809"/>
      <c r="L251" s="809"/>
      <c r="M251" s="595"/>
      <c r="O251" s="1697"/>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41" t="s">
        <v>3714</v>
      </c>
      <c r="D253" s="1041"/>
      <c r="E253" s="1041"/>
      <c r="F253" s="1041"/>
      <c r="G253" s="1041"/>
      <c r="H253" s="1041"/>
      <c r="I253" s="1041"/>
      <c r="J253" s="1041"/>
      <c r="K253" s="1041"/>
      <c r="L253" s="1041"/>
      <c r="M253" s="595"/>
      <c r="N253" s="545"/>
      <c r="O253" s="1754"/>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3202</v>
      </c>
      <c r="C255" s="1055" t="s">
        <v>3589</v>
      </c>
      <c r="D255" s="1055"/>
      <c r="E255" s="1055"/>
      <c r="F255" s="1055"/>
      <c r="G255" s="1055"/>
      <c r="H255" s="1055"/>
      <c r="I255" s="1055"/>
      <c r="J255" s="1055"/>
      <c r="K255" s="1055"/>
      <c r="L255" s="1055"/>
      <c r="M255" s="545"/>
      <c r="N255" s="506" t="s">
        <v>3202</v>
      </c>
      <c r="O255" s="1755"/>
      <c r="P255" s="618"/>
    </row>
    <row r="256" spans="1:17" s="544" customFormat="1" ht="21.75" customHeight="1">
      <c r="A256" s="543"/>
      <c r="B256" s="506" t="s">
        <v>3203</v>
      </c>
      <c r="C256" s="1041" t="s">
        <v>3715</v>
      </c>
      <c r="D256" s="1041"/>
      <c r="E256" s="1041"/>
      <c r="F256" s="1041"/>
      <c r="G256" s="1041"/>
      <c r="H256" s="1041"/>
      <c r="I256" s="1041"/>
      <c r="J256" s="1041"/>
      <c r="K256" s="1041"/>
      <c r="L256" s="1041"/>
      <c r="M256" s="545"/>
      <c r="N256" s="506" t="s">
        <v>3203</v>
      </c>
      <c r="O256" s="1756"/>
      <c r="P256" s="619"/>
    </row>
    <row r="257" spans="1:18" s="544" customFormat="1" ht="21.75" customHeight="1">
      <c r="A257" s="543"/>
      <c r="B257" s="506" t="s">
        <v>3204</v>
      </c>
      <c r="C257" s="1041" t="s">
        <v>3463</v>
      </c>
      <c r="D257" s="1041"/>
      <c r="E257" s="1041"/>
      <c r="F257" s="1041"/>
      <c r="G257" s="1041"/>
      <c r="H257" s="1041"/>
      <c r="I257" s="1041"/>
      <c r="J257" s="1041"/>
      <c r="K257" s="1041"/>
      <c r="L257" s="1041"/>
      <c r="M257" s="545"/>
      <c r="N257" s="506" t="s">
        <v>3204</v>
      </c>
      <c r="O257" s="1756"/>
      <c r="P257" s="619"/>
    </row>
    <row r="258" spans="1:18" s="544" customFormat="1" ht="21.75" customHeight="1">
      <c r="A258" s="543"/>
      <c r="B258" s="680" t="s">
        <v>3205</v>
      </c>
      <c r="C258" s="1041" t="s">
        <v>3449</v>
      </c>
      <c r="D258" s="1041"/>
      <c r="E258" s="1041"/>
      <c r="F258" s="1041"/>
      <c r="G258" s="1041"/>
      <c r="H258" s="1041"/>
      <c r="I258" s="1041"/>
      <c r="J258" s="1041"/>
      <c r="K258" s="1041"/>
      <c r="L258" s="1041"/>
      <c r="M258" s="545"/>
      <c r="N258" s="680" t="s">
        <v>3205</v>
      </c>
      <c r="O258" s="1757"/>
      <c r="P258" s="620"/>
    </row>
    <row r="259" spans="1:18" ht="13.5" customHeight="1">
      <c r="A259" s="171" t="s">
        <v>2697</v>
      </c>
      <c r="B259" s="213" t="s">
        <v>3450</v>
      </c>
      <c r="D259" s="692"/>
      <c r="E259" s="50"/>
      <c r="F259" s="40"/>
      <c r="G259" s="140"/>
      <c r="H259" s="40"/>
      <c r="I259" s="40"/>
      <c r="J259" s="40"/>
      <c r="K259" s="40"/>
      <c r="L259" s="40"/>
      <c r="M259" s="674">
        <v>14</v>
      </c>
      <c r="N259" s="654" t="s">
        <v>2697</v>
      </c>
      <c r="O259" s="114">
        <f>MIN($M259,O260+O263+O264+O267+O270+O271)</f>
        <v>0</v>
      </c>
      <c r="P259" s="114">
        <f>MIN($M259,P260+P263+P264+P267+P270+P271)</f>
        <v>0</v>
      </c>
      <c r="R259" s="544"/>
    </row>
    <row r="260" spans="1:18" s="121" customFormat="1" ht="12.75" customHeight="1">
      <c r="B260" s="483" t="s">
        <v>2698</v>
      </c>
      <c r="C260" s="604" t="s">
        <v>3716</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3202</v>
      </c>
      <c r="C261" s="1041" t="s">
        <v>3452</v>
      </c>
      <c r="D261" s="1041"/>
      <c r="E261" s="1041"/>
      <c r="F261" s="1041"/>
      <c r="G261" s="1041"/>
      <c r="H261" s="1041"/>
      <c r="I261" s="1041"/>
      <c r="J261" s="1041"/>
      <c r="K261" s="1041"/>
      <c r="L261" s="1041"/>
      <c r="M261" s="545">
        <v>4</v>
      </c>
      <c r="N261" s="506" t="s">
        <v>3202</v>
      </c>
      <c r="O261" s="1755"/>
      <c r="P261" s="618"/>
      <c r="Q261" s="221" t="s">
        <v>3631</v>
      </c>
    </row>
    <row r="262" spans="1:18" s="544" customFormat="1" ht="34.5" customHeight="1">
      <c r="A262" s="199" t="s">
        <v>3464</v>
      </c>
      <c r="B262" s="506" t="s">
        <v>3203</v>
      </c>
      <c r="C262" s="1041" t="s">
        <v>3717</v>
      </c>
      <c r="D262" s="1041"/>
      <c r="E262" s="1041"/>
      <c r="F262" s="1041"/>
      <c r="G262" s="1041"/>
      <c r="H262" s="1041"/>
      <c r="I262" s="1041"/>
      <c r="J262" s="1041"/>
      <c r="K262" s="1041"/>
      <c r="L262" s="1041"/>
      <c r="M262" s="545">
        <v>2</v>
      </c>
      <c r="N262" s="506" t="s">
        <v>3203</v>
      </c>
      <c r="O262" s="1757"/>
      <c r="P262" s="620"/>
      <c r="Q262" s="221" t="s">
        <v>3631</v>
      </c>
    </row>
    <row r="263" spans="1:18" s="121" customFormat="1" ht="12" customHeight="1">
      <c r="B263" s="483" t="s">
        <v>2700</v>
      </c>
      <c r="C263" s="604" t="s">
        <v>3451</v>
      </c>
      <c r="L263" s="490" t="str">
        <f>IF(OR($O263=$M263,$O263=0,$O263=""),"","* * Check Score! * *")</f>
        <v/>
      </c>
      <c r="M263" s="8">
        <v>1</v>
      </c>
      <c r="N263" s="225" t="s">
        <v>2700</v>
      </c>
      <c r="O263" s="1723"/>
      <c r="P263" s="671"/>
      <c r="Q263" s="221" t="s">
        <v>3631</v>
      </c>
    </row>
    <row r="264" spans="1:18" s="121" customFormat="1" ht="12" customHeight="1">
      <c r="B264" s="483" t="s">
        <v>3323</v>
      </c>
      <c r="C264" s="604" t="s">
        <v>3453</v>
      </c>
      <c r="L264" s="490" t="str">
        <f>IF(OR($O264&lt;=$M264,$O264=0,$O264=""),"","* * Check Score! * *")</f>
        <v/>
      </c>
      <c r="M264" s="8">
        <v>2</v>
      </c>
      <c r="N264" s="225" t="s">
        <v>3323</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3202</v>
      </c>
      <c r="C265" s="1041" t="s">
        <v>3455</v>
      </c>
      <c r="D265" s="1041"/>
      <c r="E265" s="1041"/>
      <c r="F265" s="1041"/>
      <c r="G265" s="1041"/>
      <c r="H265" s="1041"/>
      <c r="I265" s="1041"/>
      <c r="J265" s="1041"/>
      <c r="K265" s="1041"/>
      <c r="L265" s="1041"/>
      <c r="M265" s="545">
        <v>2</v>
      </c>
      <c r="N265" s="506" t="s">
        <v>3202</v>
      </c>
      <c r="O265" s="1752"/>
      <c r="P265" s="621"/>
      <c r="Q265" s="221" t="s">
        <v>3631</v>
      </c>
    </row>
    <row r="266" spans="1:18" s="544" customFormat="1" ht="12" customHeight="1">
      <c r="A266" s="199" t="s">
        <v>3464</v>
      </c>
      <c r="B266" s="506" t="s">
        <v>3203</v>
      </c>
      <c r="C266" s="1041" t="s">
        <v>3454</v>
      </c>
      <c r="D266" s="1041"/>
      <c r="E266" s="1041"/>
      <c r="F266" s="1041"/>
      <c r="G266" s="1041"/>
      <c r="H266" s="1041"/>
      <c r="I266" s="1041"/>
      <c r="J266" s="1041"/>
      <c r="K266" s="1041"/>
      <c r="L266" s="1041"/>
      <c r="M266" s="545">
        <v>1</v>
      </c>
      <c r="N266" s="506" t="s">
        <v>3203</v>
      </c>
      <c r="O266" s="1753"/>
      <c r="P266" s="622"/>
      <c r="Q266" s="221" t="s">
        <v>3631</v>
      </c>
    </row>
    <row r="267" spans="1:18" s="121" customFormat="1" ht="12" customHeight="1">
      <c r="B267" s="483" t="s">
        <v>1645</v>
      </c>
      <c r="C267" s="604" t="s">
        <v>3456</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041" t="s">
        <v>3718</v>
      </c>
      <c r="D268" s="1041"/>
      <c r="E268" s="1041"/>
      <c r="F268" s="1041"/>
      <c r="G268" s="1041"/>
      <c r="H268" s="1041"/>
      <c r="I268" s="1041"/>
      <c r="J268" s="1041"/>
      <c r="K268" s="1041"/>
      <c r="L268" s="1041"/>
      <c r="M268" s="545">
        <v>3</v>
      </c>
      <c r="N268" s="506" t="s">
        <v>3202</v>
      </c>
      <c r="O268" s="1752"/>
      <c r="P268" s="621"/>
      <c r="Q268" s="221" t="s">
        <v>3631</v>
      </c>
    </row>
    <row r="269" spans="1:18" s="544" customFormat="1" ht="12" customHeight="1">
      <c r="A269" s="199" t="s">
        <v>3464</v>
      </c>
      <c r="B269" s="506" t="s">
        <v>3203</v>
      </c>
      <c r="C269" s="1041" t="s">
        <v>3719</v>
      </c>
      <c r="D269" s="1041"/>
      <c r="E269" s="1041"/>
      <c r="F269" s="1041"/>
      <c r="G269" s="1041"/>
      <c r="H269" s="1041"/>
      <c r="I269" s="1041"/>
      <c r="J269" s="1041"/>
      <c r="K269" s="1041"/>
      <c r="L269" s="1041"/>
      <c r="M269" s="545">
        <v>2</v>
      </c>
      <c r="N269" s="506" t="s">
        <v>3203</v>
      </c>
      <c r="O269" s="1753"/>
      <c r="P269" s="622"/>
      <c r="Q269" s="221" t="s">
        <v>3631</v>
      </c>
    </row>
    <row r="270" spans="1:18" s="121" customFormat="1" ht="12" customHeight="1">
      <c r="B270" s="483" t="s">
        <v>1646</v>
      </c>
      <c r="C270" s="604" t="s">
        <v>3457</v>
      </c>
      <c r="F270" s="578" t="s">
        <v>3458</v>
      </c>
      <c r="J270" s="1117">
        <f>'Part IV-Uses of Funds'!$B$43/'Part IV-Uses of Funds'!$G$129</f>
        <v>0.69843705519135102</v>
      </c>
      <c r="K270" s="1118"/>
      <c r="L270" s="490"/>
      <c r="M270" s="8">
        <v>2</v>
      </c>
      <c r="N270" s="225" t="s">
        <v>1646</v>
      </c>
      <c r="O270" s="1697"/>
      <c r="P270" s="84"/>
      <c r="Q270" s="221" t="s">
        <v>3631</v>
      </c>
    </row>
    <row r="271" spans="1:18" s="121" customFormat="1" ht="12" customHeight="1">
      <c r="B271" s="483" t="s">
        <v>2589</v>
      </c>
      <c r="C271" s="604" t="s">
        <v>3720</v>
      </c>
      <c r="F271" s="578"/>
      <c r="L271" s="490"/>
      <c r="M271" s="8">
        <v>3</v>
      </c>
      <c r="N271" s="225" t="s">
        <v>2589</v>
      </c>
      <c r="O271" s="1697"/>
      <c r="P271" s="84"/>
      <c r="Q271" s="221" t="s">
        <v>3631</v>
      </c>
    </row>
    <row r="272" spans="1:18" s="50" customFormat="1" ht="12" customHeight="1">
      <c r="A272" s="171"/>
      <c r="B272" s="506"/>
      <c r="C272" s="1151" t="s">
        <v>3721</v>
      </c>
      <c r="D272" s="1151"/>
      <c r="E272" s="1151"/>
      <c r="F272" s="1151"/>
      <c r="G272" s="1151"/>
      <c r="H272" s="1151"/>
      <c r="I272" s="1151"/>
      <c r="J272" s="1151"/>
      <c r="K272" s="1151"/>
      <c r="L272" s="1151"/>
      <c r="R272" s="490"/>
    </row>
    <row r="273" spans="1:18" s="50" customFormat="1" ht="12" customHeight="1">
      <c r="A273" s="171"/>
      <c r="B273" s="506"/>
      <c r="C273" s="1151"/>
      <c r="D273" s="1151"/>
      <c r="E273" s="1151"/>
      <c r="F273" s="1151"/>
      <c r="G273" s="1151"/>
      <c r="H273" s="1151"/>
      <c r="I273" s="1151"/>
      <c r="J273" s="1151"/>
      <c r="K273" s="1151"/>
      <c r="L273" s="1151"/>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597"/>
      <c r="B275" s="1598"/>
      <c r="C275" s="1598"/>
      <c r="D275" s="1598"/>
      <c r="E275" s="1598"/>
      <c r="F275" s="1598"/>
      <c r="G275" s="1598"/>
      <c r="H275" s="1598"/>
      <c r="I275" s="1598"/>
      <c r="J275" s="1598"/>
      <c r="K275" s="1598"/>
      <c r="L275" s="1598"/>
      <c r="M275" s="1598"/>
      <c r="N275" s="1598"/>
      <c r="O275" s="1598"/>
      <c r="P275" s="1599"/>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047"/>
      <c r="B277" s="1048"/>
      <c r="C277" s="1048"/>
      <c r="D277" s="1048"/>
      <c r="E277" s="1048"/>
      <c r="F277" s="1048"/>
      <c r="G277" s="1048"/>
      <c r="H277" s="1048"/>
      <c r="I277" s="1048"/>
      <c r="J277" s="1048"/>
      <c r="K277" s="1048"/>
      <c r="L277" s="1048"/>
      <c r="M277" s="1048"/>
      <c r="N277" s="1048"/>
      <c r="O277" s="1048"/>
      <c r="P277" s="1049"/>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1593" t="s">
        <v>4104</v>
      </c>
      <c r="P280" s="210"/>
    </row>
    <row r="281" spans="1:18" ht="12.6" customHeight="1">
      <c r="A281" s="171" t="s">
        <v>2694</v>
      </c>
      <c r="B281" s="229" t="s">
        <v>1881</v>
      </c>
      <c r="D281" s="40"/>
      <c r="E281" s="40"/>
      <c r="F281" s="40"/>
      <c r="G281" s="40"/>
      <c r="H281" s="40"/>
      <c r="I281" s="40"/>
      <c r="J281" s="40"/>
      <c r="K281" s="40"/>
      <c r="L281" s="40"/>
      <c r="M281" s="139"/>
      <c r="N281" s="654" t="s">
        <v>2694</v>
      </c>
      <c r="O281" s="1758">
        <v>10</v>
      </c>
      <c r="P281" s="508"/>
      <c r="Q281" s="221" t="s">
        <v>3631</v>
      </c>
    </row>
    <row r="282" spans="1:18" ht="12.6" customHeight="1">
      <c r="A282" s="171" t="s">
        <v>2697</v>
      </c>
      <c r="B282" s="229" t="s">
        <v>291</v>
      </c>
      <c r="D282" s="40"/>
      <c r="E282" s="40"/>
      <c r="F282" s="40"/>
      <c r="G282" s="812"/>
      <c r="H282" s="812"/>
      <c r="I282" s="812"/>
      <c r="J282" s="812"/>
      <c r="K282" s="812"/>
      <c r="M282" s="123"/>
      <c r="N282" s="654" t="s">
        <v>2697</v>
      </c>
      <c r="O282" s="1593" t="s">
        <v>4133</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597" t="s">
        <v>4176</v>
      </c>
      <c r="B284" s="1598"/>
      <c r="C284" s="1598"/>
      <c r="D284" s="1598"/>
      <c r="E284" s="1598"/>
      <c r="F284" s="1598"/>
      <c r="G284" s="1598"/>
      <c r="H284" s="1598"/>
      <c r="I284" s="1598"/>
      <c r="J284" s="1598"/>
      <c r="K284" s="1598"/>
      <c r="L284" s="1598"/>
      <c r="M284" s="1598"/>
      <c r="N284" s="1598"/>
      <c r="O284" s="1598"/>
      <c r="P284" s="1599"/>
      <c r="Q284" s="614" t="s">
        <v>1677</v>
      </c>
      <c r="R284" s="615"/>
    </row>
    <row r="285" spans="1:18" s="123" customFormat="1" ht="11.25" customHeight="1">
      <c r="A285" s="79"/>
      <c r="B285" s="79" t="s">
        <v>2571</v>
      </c>
      <c r="C285" s="57"/>
      <c r="D285" s="79"/>
      <c r="E285" s="806"/>
      <c r="F285" s="806"/>
      <c r="G285" s="806"/>
      <c r="H285" s="806"/>
      <c r="I285" s="806"/>
      <c r="J285" s="806"/>
      <c r="K285" s="806"/>
      <c r="L285" s="806"/>
      <c r="M285" s="806"/>
      <c r="N285" s="113"/>
      <c r="O285" s="232"/>
      <c r="P285" s="2"/>
    </row>
    <row r="286" spans="1:18" s="50" customFormat="1" ht="12.75" customHeight="1">
      <c r="A286" s="1047"/>
      <c r="B286" s="1048"/>
      <c r="C286" s="1048"/>
      <c r="D286" s="1048"/>
      <c r="E286" s="1048"/>
      <c r="F286" s="1048"/>
      <c r="G286" s="1048"/>
      <c r="H286" s="1048"/>
      <c r="I286" s="1048"/>
      <c r="J286" s="1048"/>
      <c r="K286" s="1048"/>
      <c r="L286" s="1048"/>
      <c r="M286" s="1048"/>
      <c r="N286" s="1048"/>
      <c r="O286" s="1048"/>
      <c r="P286" s="1049"/>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3545</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55</v>
      </c>
      <c r="P288" s="194">
        <f>P8+P30+P38+P47+P56+P63+P86+P121+P136+P148+P156+P164+P169+P180+P220+P231+P240+P248+P279</f>
        <v>13</v>
      </c>
    </row>
    <row r="289" spans="1:19" s="49" customFormat="1" ht="13.5" customHeight="1">
      <c r="A289" s="63"/>
      <c r="B289" s="80"/>
      <c r="C289" s="63"/>
      <c r="D289" s="43"/>
      <c r="E289" s="43"/>
      <c r="F289" s="82"/>
      <c r="G289" s="82"/>
      <c r="H289" s="213" t="s">
        <v>3575</v>
      </c>
      <c r="I289" s="81"/>
      <c r="J289" s="81"/>
      <c r="K289" s="81"/>
      <c r="L289" s="50"/>
      <c r="M289" s="43"/>
      <c r="N289" s="2"/>
      <c r="O289" s="651">
        <f>O288-O248</f>
        <v>55</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2"/>
      <c r="G293" s="812"/>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3287</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3722</v>
      </c>
      <c r="D319" s="695"/>
      <c r="E319" s="695"/>
      <c r="F319" s="695"/>
      <c r="G319" s="704" t="s">
        <v>3309</v>
      </c>
      <c r="H319" s="704" t="s">
        <v>3310</v>
      </c>
      <c r="I319" s="704" t="s">
        <v>1607</v>
      </c>
      <c r="J319" s="695"/>
      <c r="K319" s="695"/>
      <c r="L319" s="695"/>
      <c r="M319" s="196"/>
      <c r="N319" s="148"/>
    </row>
    <row r="320" spans="1:19" ht="25.5">
      <c r="A320" s="196"/>
      <c r="B320" s="196"/>
      <c r="C320" s="703" t="s">
        <v>3727</v>
      </c>
      <c r="D320" s="695"/>
      <c r="E320" s="695"/>
      <c r="F320" s="695"/>
      <c r="G320" s="704" t="s">
        <v>2239</v>
      </c>
      <c r="H320" s="705" t="s">
        <v>1407</v>
      </c>
      <c r="I320" s="705" t="s">
        <v>1751</v>
      </c>
      <c r="J320" s="695"/>
      <c r="K320" s="695"/>
      <c r="L320" s="695"/>
      <c r="M320" s="196"/>
      <c r="N320" s="148"/>
    </row>
    <row r="321" spans="1:14">
      <c r="A321" s="196"/>
      <c r="B321" s="196"/>
      <c r="C321" s="703" t="s">
        <v>3724</v>
      </c>
      <c r="D321" s="695"/>
      <c r="E321" s="695"/>
      <c r="F321" s="695"/>
      <c r="G321" s="704" t="s">
        <v>2786</v>
      </c>
      <c r="H321" s="705" t="s">
        <v>1766</v>
      </c>
      <c r="I321" s="705" t="s">
        <v>1763</v>
      </c>
      <c r="J321" s="695"/>
      <c r="K321" s="695"/>
      <c r="L321" s="695"/>
      <c r="M321" s="196"/>
      <c r="N321" s="148"/>
    </row>
    <row r="322" spans="1:14">
      <c r="A322" s="196"/>
      <c r="B322" s="196"/>
      <c r="C322" s="703" t="s">
        <v>3728</v>
      </c>
      <c r="D322" s="695"/>
      <c r="E322" s="695"/>
      <c r="F322" s="695"/>
      <c r="G322" s="704" t="s">
        <v>2240</v>
      </c>
      <c r="H322" s="705" t="s">
        <v>3329</v>
      </c>
      <c r="I322" s="705" t="s">
        <v>1766</v>
      </c>
      <c r="J322" s="695"/>
      <c r="K322" s="695"/>
      <c r="L322" s="695"/>
      <c r="M322" s="196"/>
      <c r="N322" s="148"/>
    </row>
    <row r="323" spans="1:14" ht="25.5">
      <c r="A323" s="196"/>
      <c r="B323" s="196"/>
      <c r="C323" s="703" t="s">
        <v>3729</v>
      </c>
      <c r="D323" s="695"/>
      <c r="E323" s="695"/>
      <c r="F323" s="695"/>
      <c r="G323" s="704" t="s">
        <v>12</v>
      </c>
      <c r="H323" s="705" t="s">
        <v>3330</v>
      </c>
      <c r="I323" s="705" t="s">
        <v>3263</v>
      </c>
      <c r="J323" s="695"/>
      <c r="K323" s="695"/>
      <c r="L323" s="695"/>
      <c r="M323" s="196"/>
      <c r="N323" s="148"/>
    </row>
    <row r="324" spans="1:14">
      <c r="A324" s="196"/>
      <c r="B324" s="196"/>
      <c r="C324" s="703" t="s">
        <v>3725</v>
      </c>
      <c r="D324" s="695"/>
      <c r="E324" s="695"/>
      <c r="F324" s="695"/>
      <c r="G324" s="704" t="s">
        <v>1766</v>
      </c>
      <c r="H324" s="705" t="s">
        <v>2638</v>
      </c>
      <c r="I324" s="705" t="s">
        <v>3269</v>
      </c>
      <c r="J324" s="695"/>
      <c r="K324" s="695"/>
      <c r="L324" s="695"/>
      <c r="M324" s="196"/>
      <c r="N324" s="148"/>
    </row>
    <row r="325" spans="1:14">
      <c r="A325" s="196"/>
      <c r="B325" s="196"/>
      <c r="C325" s="703" t="s">
        <v>3630</v>
      </c>
      <c r="D325" s="695"/>
      <c r="E325" s="695"/>
      <c r="F325" s="695"/>
      <c r="G325" s="704" t="s">
        <v>1958</v>
      </c>
      <c r="H325" s="705" t="s">
        <v>3007</v>
      </c>
      <c r="I325" s="705" t="s">
        <v>3271</v>
      </c>
      <c r="J325" s="695"/>
      <c r="K325" s="695"/>
      <c r="L325" s="695"/>
      <c r="M325" s="196"/>
      <c r="N325" s="148"/>
    </row>
    <row r="326" spans="1:14">
      <c r="A326" s="196"/>
      <c r="B326" s="196"/>
      <c r="C326" s="703" t="s">
        <v>3726</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2628</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 ref="I198:J198"/>
    <mergeCell ref="I199:J199"/>
    <mergeCell ref="I201:J201"/>
    <mergeCell ref="I200:J200"/>
    <mergeCell ref="I202:J202"/>
    <mergeCell ref="B209:L210"/>
    <mergeCell ref="I206:J206"/>
    <mergeCell ref="E212:H212"/>
    <mergeCell ref="I214:J214"/>
    <mergeCell ref="E213:P213"/>
    <mergeCell ref="I203:J203"/>
    <mergeCell ref="I204:J204"/>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1" t="s">
        <v>3748</v>
      </c>
    </row>
    <row r="2" spans="1:6" ht="16.5">
      <c r="A2" s="1282" t="str">
        <f>'Part I-Project Information'!F23</f>
        <v>Forest Mill Apartments</v>
      </c>
    </row>
    <row r="3" spans="1:6" ht="16.5">
      <c r="A3" s="1282" t="str">
        <f>CONCATENATE('Part I-Project Information'!F26,", ", 'Part I-Project Information'!J27," County")</f>
        <v>West Point, Troup County</v>
      </c>
    </row>
    <row r="4" spans="1:6" ht="16.5">
      <c r="A4" s="1759" t="str">
        <f>IF('Part IX A-Scoring Criteria'!$O$221="Yes",'Part IX A-Scoring Criteria'!B221,IF('Part IX A-Scoring Criteria'!O223="Yes",'Part IX A-Scoring Criteria'!B223,""))</f>
        <v/>
      </c>
    </row>
    <row r="5" spans="1:6" ht="6.75" customHeight="1"/>
    <row r="6" spans="1:6" ht="113.25" customHeight="1">
      <c r="A6" s="1283" t="s">
        <v>3592</v>
      </c>
      <c r="B6" s="1160" t="s">
        <v>3593</v>
      </c>
      <c r="C6" s="816"/>
      <c r="D6" s="816"/>
      <c r="E6" s="816"/>
      <c r="F6" s="816"/>
    </row>
    <row r="7" spans="1:6" ht="6.6" customHeight="1">
      <c r="A7" s="1283"/>
      <c r="B7" s="1160"/>
      <c r="C7" s="816"/>
      <c r="D7" s="816"/>
      <c r="E7" s="816"/>
      <c r="F7" s="816"/>
    </row>
    <row r="8" spans="1:6" ht="134.25" customHeight="1">
      <c r="A8" s="1283"/>
      <c r="C8" s="1760"/>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61"/>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Z58"/>
  <sheetViews>
    <sheetView showGridLines="0" workbookViewId="0">
      <selection sqref="A1:XFD1048576"/>
    </sheetView>
  </sheetViews>
  <sheetFormatPr defaultColWidth="8.85546875" defaultRowHeight="15.75"/>
  <cols>
    <col min="1" max="1" width="2.28515625" style="1762" customWidth="1"/>
    <col min="2" max="12" width="7.28515625" style="1762" customWidth="1"/>
    <col min="13" max="13" width="8.7109375" style="1762" customWidth="1"/>
    <col min="14" max="15" width="5.85546875" style="1762" customWidth="1"/>
    <col min="16" max="16384" width="8.85546875" style="1762"/>
  </cols>
  <sheetData>
    <row r="1" spans="1:26" ht="19.5">
      <c r="N1" s="1763" t="s">
        <v>1950</v>
      </c>
      <c r="O1" s="1763"/>
      <c r="P1" s="1763"/>
      <c r="Q1" s="1763"/>
      <c r="R1" s="1763"/>
      <c r="S1" s="1763"/>
      <c r="T1" s="1763"/>
      <c r="U1" s="1763"/>
      <c r="V1" s="1763"/>
      <c r="W1" s="1763"/>
      <c r="X1" s="1763"/>
      <c r="Y1" s="1763"/>
      <c r="Z1" s="1763"/>
    </row>
    <row r="3" spans="1:26">
      <c r="N3" s="1764" t="s">
        <v>1951</v>
      </c>
      <c r="O3" s="1764"/>
      <c r="P3" s="1764"/>
      <c r="Q3" s="1764"/>
      <c r="R3" s="1764"/>
      <c r="S3" s="1764"/>
      <c r="T3" s="1764"/>
      <c r="U3" s="1764"/>
      <c r="V3" s="1764"/>
      <c r="W3" s="1764"/>
      <c r="X3" s="1764"/>
      <c r="Y3" s="1764"/>
      <c r="Z3" s="1764"/>
    </row>
    <row r="4" spans="1:26">
      <c r="N4" s="1765" t="s">
        <v>1952</v>
      </c>
      <c r="O4" s="1765"/>
      <c r="P4" s="1765"/>
      <c r="Q4" s="1765"/>
      <c r="R4" s="1765"/>
      <c r="S4" s="1765"/>
      <c r="T4" s="1765"/>
      <c r="U4" s="1765"/>
      <c r="V4" s="1765"/>
      <c r="W4" s="1765"/>
      <c r="X4" s="1765"/>
      <c r="Y4" s="1765"/>
      <c r="Z4" s="1765"/>
    </row>
    <row r="6" spans="1:26">
      <c r="B6" s="1766"/>
      <c r="C6" s="1766"/>
      <c r="D6" s="1766"/>
      <c r="E6" s="1766"/>
      <c r="F6" s="1766"/>
      <c r="G6" s="1766"/>
      <c r="H6" s="1766"/>
      <c r="I6" s="1766"/>
      <c r="J6" s="1766"/>
      <c r="K6" s="1766"/>
      <c r="L6" s="1766"/>
      <c r="M6" s="1766"/>
      <c r="N6" s="1767" t="s">
        <v>891</v>
      </c>
    </row>
    <row r="7" spans="1:26" ht="57" customHeight="1">
      <c r="A7" s="1768" t="s">
        <v>3916</v>
      </c>
      <c r="B7" s="1768"/>
      <c r="C7" s="1768"/>
      <c r="D7" s="1768"/>
      <c r="E7" s="1768"/>
      <c r="F7" s="1768"/>
      <c r="G7" s="1768"/>
      <c r="H7" s="1768"/>
      <c r="I7" s="1768"/>
      <c r="J7" s="1768"/>
      <c r="K7" s="1768"/>
      <c r="L7" s="1768"/>
      <c r="M7" s="1768"/>
    </row>
    <row r="8" spans="1:26" ht="11.45" customHeight="1">
      <c r="A8" s="1766"/>
      <c r="B8" s="1766"/>
      <c r="C8" s="1766"/>
      <c r="D8" s="1766"/>
      <c r="E8" s="1766"/>
      <c r="F8" s="1766"/>
      <c r="G8" s="1766"/>
      <c r="H8" s="1766"/>
      <c r="I8" s="1766"/>
      <c r="J8" s="1766"/>
      <c r="K8" s="1766"/>
      <c r="L8" s="1766"/>
      <c r="M8" s="1766"/>
    </row>
    <row r="9" spans="1:26">
      <c r="A9" s="1766" t="s">
        <v>896</v>
      </c>
      <c r="B9" s="1766"/>
      <c r="C9" s="1766"/>
      <c r="D9" s="1766"/>
      <c r="E9" s="1766"/>
      <c r="F9" s="1766"/>
      <c r="G9" s="1766"/>
      <c r="H9" s="1766"/>
      <c r="I9" s="1766"/>
      <c r="J9" s="1766"/>
      <c r="K9" s="1766"/>
      <c r="L9" s="1766"/>
      <c r="M9" s="1766"/>
    </row>
    <row r="10" spans="1:26" ht="11.45" customHeight="1">
      <c r="A10" s="1766"/>
      <c r="B10" s="1766"/>
      <c r="C10" s="1766"/>
      <c r="D10" s="1766"/>
      <c r="E10" s="1766"/>
      <c r="F10" s="1766"/>
      <c r="G10" s="1766"/>
      <c r="H10" s="1766"/>
      <c r="I10" s="1766"/>
      <c r="J10" s="1766"/>
      <c r="K10" s="1766"/>
      <c r="L10" s="1766"/>
      <c r="M10" s="1766"/>
    </row>
    <row r="11" spans="1:26">
      <c r="A11" s="1769" t="s">
        <v>2614</v>
      </c>
      <c r="B11" s="1769"/>
      <c r="C11" s="1769"/>
      <c r="D11" s="1769"/>
      <c r="E11" s="1769"/>
      <c r="F11" s="1769"/>
      <c r="G11" s="1769"/>
      <c r="H11" s="1769"/>
      <c r="I11" s="1769"/>
      <c r="J11" s="1769"/>
      <c r="K11" s="1769"/>
      <c r="L11" s="1769"/>
      <c r="M11" s="1769"/>
    </row>
    <row r="12" spans="1:26" ht="6.75" customHeight="1">
      <c r="A12" s="1769"/>
      <c r="B12" s="1769"/>
      <c r="C12" s="1769"/>
      <c r="D12" s="1769"/>
      <c r="E12" s="1769"/>
      <c r="F12" s="1769"/>
      <c r="G12" s="1769"/>
      <c r="H12" s="1769"/>
      <c r="I12" s="1769"/>
      <c r="J12" s="1769"/>
      <c r="K12" s="1769"/>
      <c r="L12" s="1769"/>
      <c r="M12" s="1769"/>
    </row>
    <row r="13" spans="1:26" ht="44.25" customHeight="1">
      <c r="A13" s="1770" t="s">
        <v>3917</v>
      </c>
      <c r="B13" s="1770"/>
      <c r="C13" s="1770"/>
      <c r="D13" s="1770"/>
      <c r="E13" s="1770"/>
      <c r="F13" s="1770"/>
      <c r="G13" s="1770"/>
      <c r="H13" s="1770"/>
      <c r="I13" s="1770"/>
      <c r="J13" s="1770"/>
      <c r="K13" s="1770"/>
      <c r="L13" s="1770"/>
      <c r="M13" s="1770"/>
    </row>
    <row r="14" spans="1:26" ht="3" customHeight="1">
      <c r="A14" s="1769"/>
      <c r="B14" s="1769"/>
      <c r="C14" s="1769"/>
      <c r="D14" s="1769"/>
      <c r="E14" s="1769"/>
      <c r="F14" s="1769"/>
      <c r="G14" s="1769"/>
      <c r="H14" s="1769"/>
      <c r="I14" s="1769"/>
      <c r="J14" s="1769"/>
      <c r="K14" s="1769"/>
      <c r="L14" s="1769"/>
      <c r="M14" s="1769"/>
    </row>
    <row r="15" spans="1:26" ht="87.75" customHeight="1">
      <c r="A15" s="1771" t="s">
        <v>2430</v>
      </c>
      <c r="B15" s="1772" t="s">
        <v>3918</v>
      </c>
      <c r="C15" s="1772"/>
      <c r="D15" s="1772"/>
      <c r="E15" s="1772"/>
      <c r="F15" s="1772"/>
      <c r="G15" s="1772"/>
      <c r="H15" s="1772"/>
      <c r="I15" s="1772"/>
      <c r="J15" s="1772"/>
      <c r="K15" s="1772"/>
      <c r="L15" s="1772"/>
      <c r="M15" s="1772"/>
    </row>
    <row r="16" spans="1:26" ht="3" customHeight="1">
      <c r="A16" s="1769"/>
      <c r="B16" s="1769"/>
      <c r="C16" s="1769"/>
      <c r="D16" s="1769"/>
      <c r="E16" s="1769"/>
      <c r="F16" s="1769"/>
      <c r="G16" s="1769"/>
      <c r="H16" s="1769"/>
      <c r="I16" s="1769"/>
      <c r="J16" s="1769"/>
      <c r="K16" s="1769"/>
      <c r="L16" s="1769"/>
      <c r="M16" s="1769"/>
    </row>
    <row r="17" spans="1:13" ht="58.5" customHeight="1">
      <c r="A17" s="1771" t="s">
        <v>2431</v>
      </c>
      <c r="B17" s="1772" t="s">
        <v>3919</v>
      </c>
      <c r="C17" s="1772"/>
      <c r="D17" s="1772"/>
      <c r="E17" s="1772"/>
      <c r="F17" s="1772"/>
      <c r="G17" s="1772"/>
      <c r="H17" s="1772"/>
      <c r="I17" s="1772"/>
      <c r="J17" s="1772"/>
      <c r="K17" s="1772"/>
      <c r="L17" s="1772"/>
      <c r="M17" s="1772"/>
    </row>
    <row r="18" spans="1:13" ht="3" customHeight="1">
      <c r="A18" s="1769"/>
      <c r="B18" s="1769"/>
      <c r="C18" s="1769"/>
      <c r="D18" s="1769"/>
      <c r="E18" s="1769"/>
      <c r="F18" s="1769"/>
      <c r="G18" s="1769"/>
      <c r="H18" s="1769"/>
      <c r="I18" s="1769"/>
      <c r="J18" s="1769"/>
      <c r="K18" s="1769"/>
      <c r="L18" s="1769"/>
      <c r="M18" s="1769"/>
    </row>
    <row r="19" spans="1:13" ht="115.5" customHeight="1">
      <c r="A19" s="1771" t="s">
        <v>2432</v>
      </c>
      <c r="B19" s="1772" t="s">
        <v>824</v>
      </c>
      <c r="C19" s="1772"/>
      <c r="D19" s="1772"/>
      <c r="E19" s="1772"/>
      <c r="F19" s="1772"/>
      <c r="G19" s="1772"/>
      <c r="H19" s="1772"/>
      <c r="I19" s="1772"/>
      <c r="J19" s="1772"/>
      <c r="K19" s="1772"/>
      <c r="L19" s="1772"/>
      <c r="M19" s="1772"/>
    </row>
    <row r="20" spans="1:13" ht="3" customHeight="1">
      <c r="A20" s="1769"/>
      <c r="B20" s="1769"/>
      <c r="C20" s="1769"/>
      <c r="D20" s="1769"/>
      <c r="E20" s="1769"/>
      <c r="F20" s="1769"/>
      <c r="G20" s="1769"/>
      <c r="H20" s="1769"/>
      <c r="I20" s="1769"/>
      <c r="J20" s="1769"/>
      <c r="K20" s="1769"/>
      <c r="L20" s="1769"/>
      <c r="M20" s="1769"/>
    </row>
    <row r="21" spans="1:13" ht="115.5" customHeight="1">
      <c r="A21" s="1771" t="s">
        <v>3120</v>
      </c>
      <c r="B21" s="1772" t="s">
        <v>3920</v>
      </c>
      <c r="C21" s="1772"/>
      <c r="D21" s="1772"/>
      <c r="E21" s="1772"/>
      <c r="F21" s="1772"/>
      <c r="G21" s="1772"/>
      <c r="H21" s="1772"/>
      <c r="I21" s="1772"/>
      <c r="J21" s="1772"/>
      <c r="K21" s="1772"/>
      <c r="L21" s="1772"/>
      <c r="M21" s="1772"/>
    </row>
    <row r="22" spans="1:13" ht="3" customHeight="1">
      <c r="A22" s="1769"/>
      <c r="B22" s="1769"/>
      <c r="C22" s="1769"/>
      <c r="D22" s="1769"/>
      <c r="E22" s="1769"/>
      <c r="F22" s="1769"/>
      <c r="G22" s="1769"/>
      <c r="H22" s="1769"/>
      <c r="I22" s="1769"/>
      <c r="J22" s="1769"/>
      <c r="K22" s="1769"/>
      <c r="L22" s="1769"/>
      <c r="M22" s="1769"/>
    </row>
    <row r="23" spans="1:13" ht="44.25" customHeight="1">
      <c r="A23" s="1771" t="s">
        <v>2009</v>
      </c>
      <c r="B23" s="1772" t="s">
        <v>869</v>
      </c>
      <c r="C23" s="1772"/>
      <c r="D23" s="1772"/>
      <c r="E23" s="1772"/>
      <c r="F23" s="1772"/>
      <c r="G23" s="1772"/>
      <c r="H23" s="1772"/>
      <c r="I23" s="1772"/>
      <c r="J23" s="1772"/>
      <c r="K23" s="1772"/>
      <c r="L23" s="1772"/>
      <c r="M23" s="1772"/>
    </row>
    <row r="24" spans="1:13" ht="144.75" customHeight="1">
      <c r="A24" s="1771" t="s">
        <v>2010</v>
      </c>
      <c r="B24" s="1772" t="s">
        <v>3921</v>
      </c>
      <c r="C24" s="1772"/>
      <c r="D24" s="1772"/>
      <c r="E24" s="1772"/>
      <c r="F24" s="1772"/>
      <c r="G24" s="1772"/>
      <c r="H24" s="1772"/>
      <c r="I24" s="1772"/>
      <c r="J24" s="1772"/>
      <c r="K24" s="1772"/>
      <c r="L24" s="1772"/>
      <c r="M24" s="1772"/>
    </row>
    <row r="25" spans="1:13" ht="3" customHeight="1">
      <c r="A25" s="1769"/>
      <c r="B25" s="1769"/>
      <c r="C25" s="1769"/>
      <c r="D25" s="1769"/>
      <c r="E25" s="1769"/>
      <c r="F25" s="1769"/>
      <c r="G25" s="1769"/>
      <c r="H25" s="1769"/>
      <c r="I25" s="1769"/>
      <c r="J25" s="1769"/>
      <c r="K25" s="1769"/>
      <c r="L25" s="1769"/>
      <c r="M25" s="1769"/>
    </row>
    <row r="26" spans="1:13" ht="44.25" customHeight="1">
      <c r="A26" s="1771" t="s">
        <v>104</v>
      </c>
      <c r="B26" s="1772" t="s">
        <v>3922</v>
      </c>
      <c r="C26" s="1772"/>
      <c r="D26" s="1772"/>
      <c r="E26" s="1772"/>
      <c r="F26" s="1772"/>
      <c r="G26" s="1772"/>
      <c r="H26" s="1772"/>
      <c r="I26" s="1772"/>
      <c r="J26" s="1772"/>
      <c r="K26" s="1772"/>
      <c r="L26" s="1772"/>
      <c r="M26" s="1772"/>
    </row>
    <row r="27" spans="1:13" ht="3" customHeight="1">
      <c r="A27" s="1769"/>
      <c r="B27" s="1769"/>
      <c r="C27" s="1769"/>
      <c r="D27" s="1769"/>
      <c r="E27" s="1769"/>
      <c r="F27" s="1769"/>
      <c r="G27" s="1769"/>
      <c r="H27" s="1769"/>
      <c r="I27" s="1769"/>
      <c r="J27" s="1769"/>
      <c r="K27" s="1769"/>
      <c r="L27" s="1769"/>
      <c r="M27" s="1769"/>
    </row>
    <row r="28" spans="1:13" ht="15" customHeight="1">
      <c r="A28" s="1771" t="s">
        <v>678</v>
      </c>
      <c r="B28" s="1772" t="s">
        <v>1911</v>
      </c>
      <c r="C28" s="1772"/>
      <c r="D28" s="1772"/>
      <c r="E28" s="1772"/>
      <c r="F28" s="1772"/>
      <c r="G28" s="1772"/>
      <c r="H28" s="1772"/>
      <c r="I28" s="1772"/>
      <c r="J28" s="1772"/>
      <c r="K28" s="1772"/>
      <c r="L28" s="1772"/>
      <c r="M28" s="1772"/>
    </row>
    <row r="29" spans="1:13" ht="4.5" customHeight="1">
      <c r="A29" s="1769"/>
      <c r="B29" s="1769"/>
      <c r="C29" s="1769"/>
      <c r="D29" s="1769"/>
      <c r="E29" s="1769"/>
      <c r="F29" s="1769"/>
      <c r="G29" s="1769"/>
      <c r="H29" s="1769"/>
      <c r="I29" s="1769"/>
      <c r="J29" s="1769"/>
      <c r="K29" s="1769"/>
      <c r="L29" s="1769"/>
      <c r="M29" s="1769"/>
    </row>
    <row r="30" spans="1:13" ht="15" customHeight="1">
      <c r="A30" s="1769" t="s">
        <v>1912</v>
      </c>
      <c r="B30" s="1769"/>
      <c r="C30" s="1769"/>
      <c r="D30" s="1769"/>
      <c r="E30" s="1769"/>
      <c r="F30" s="1769"/>
      <c r="G30" s="1769"/>
      <c r="H30" s="1769"/>
      <c r="I30" s="1769"/>
      <c r="J30" s="1769"/>
      <c r="K30" s="1769"/>
      <c r="L30" s="1769"/>
      <c r="M30" s="1769"/>
    </row>
    <row r="31" spans="1:13" ht="3" customHeight="1">
      <c r="A31" s="1769"/>
      <c r="B31" s="1769"/>
      <c r="C31" s="1769"/>
      <c r="D31" s="1769"/>
      <c r="E31" s="1769"/>
      <c r="F31" s="1769"/>
      <c r="G31" s="1769"/>
      <c r="H31" s="1769"/>
      <c r="I31" s="1769"/>
      <c r="J31" s="1769"/>
      <c r="K31" s="1769"/>
      <c r="L31" s="1769"/>
      <c r="M31" s="1769"/>
    </row>
    <row r="32" spans="1:13" ht="28.5" customHeight="1">
      <c r="A32" s="1773" t="s">
        <v>1913</v>
      </c>
      <c r="B32" s="1772" t="s">
        <v>3923</v>
      </c>
      <c r="C32" s="1772"/>
      <c r="D32" s="1772"/>
      <c r="E32" s="1772"/>
      <c r="F32" s="1772"/>
      <c r="G32" s="1772"/>
      <c r="H32" s="1772"/>
      <c r="I32" s="1772"/>
      <c r="J32" s="1772"/>
      <c r="K32" s="1772"/>
      <c r="L32" s="1772"/>
      <c r="M32" s="1772"/>
    </row>
    <row r="33" spans="1:13" ht="3" customHeight="1">
      <c r="A33" s="1769"/>
      <c r="B33" s="1769"/>
      <c r="C33" s="1769"/>
      <c r="D33" s="1769"/>
      <c r="E33" s="1769"/>
      <c r="F33" s="1769"/>
      <c r="G33" s="1769"/>
      <c r="H33" s="1769"/>
      <c r="I33" s="1769"/>
      <c r="J33" s="1769"/>
      <c r="K33" s="1769"/>
      <c r="L33" s="1769"/>
      <c r="M33" s="1769"/>
    </row>
    <row r="34" spans="1:13" ht="43.5" customHeight="1">
      <c r="A34" s="1773" t="s">
        <v>1913</v>
      </c>
      <c r="B34" s="1772" t="s">
        <v>3924</v>
      </c>
      <c r="C34" s="1772"/>
      <c r="D34" s="1772"/>
      <c r="E34" s="1772"/>
      <c r="F34" s="1772"/>
      <c r="G34" s="1772"/>
      <c r="H34" s="1772"/>
      <c r="I34" s="1772"/>
      <c r="J34" s="1772"/>
      <c r="K34" s="1772"/>
      <c r="L34" s="1772"/>
      <c r="M34" s="1772"/>
    </row>
    <row r="35" spans="1:13" ht="3" customHeight="1">
      <c r="A35" s="1769"/>
      <c r="B35" s="1769"/>
      <c r="C35" s="1769"/>
      <c r="D35" s="1769"/>
      <c r="E35" s="1769"/>
      <c r="F35" s="1769"/>
      <c r="G35" s="1769"/>
      <c r="H35" s="1769"/>
      <c r="I35" s="1769"/>
      <c r="J35" s="1769"/>
      <c r="K35" s="1769"/>
      <c r="L35" s="1769"/>
      <c r="M35" s="1769"/>
    </row>
    <row r="36" spans="1:13" ht="72.75" customHeight="1">
      <c r="A36" s="1773" t="s">
        <v>1913</v>
      </c>
      <c r="B36" s="1772" t="s">
        <v>3925</v>
      </c>
      <c r="C36" s="1772"/>
      <c r="D36" s="1772"/>
      <c r="E36" s="1772"/>
      <c r="F36" s="1772"/>
      <c r="G36" s="1772"/>
      <c r="H36" s="1772"/>
      <c r="I36" s="1772"/>
      <c r="J36" s="1772"/>
      <c r="K36" s="1772"/>
      <c r="L36" s="1772"/>
      <c r="M36" s="1772"/>
    </row>
    <row r="37" spans="1:13" ht="9" customHeight="1">
      <c r="A37" s="1769"/>
      <c r="B37" s="1769"/>
      <c r="C37" s="1769"/>
      <c r="D37" s="1769"/>
      <c r="E37" s="1769"/>
      <c r="F37" s="1769"/>
      <c r="G37" s="1769"/>
      <c r="H37" s="1769"/>
      <c r="I37" s="1769"/>
      <c r="J37" s="1769"/>
      <c r="K37" s="1769"/>
      <c r="L37" s="1769"/>
      <c r="M37" s="1769"/>
    </row>
    <row r="38" spans="1:13" ht="29.25" customHeight="1">
      <c r="A38" s="1772" t="s">
        <v>1342</v>
      </c>
      <c r="B38" s="1772"/>
      <c r="C38" s="1772"/>
      <c r="D38" s="1772"/>
      <c r="E38" s="1772"/>
      <c r="F38" s="1772"/>
      <c r="G38" s="1772"/>
      <c r="H38" s="1772"/>
      <c r="I38" s="1772"/>
      <c r="J38" s="1772"/>
      <c r="K38" s="1772"/>
      <c r="L38" s="1772"/>
      <c r="M38" s="1772"/>
    </row>
    <row r="39" spans="1:13" ht="3" customHeight="1">
      <c r="A39" s="1769"/>
      <c r="B39" s="1769"/>
      <c r="C39" s="1769"/>
      <c r="D39" s="1769"/>
      <c r="E39" s="1769"/>
      <c r="F39" s="1769"/>
      <c r="G39" s="1769"/>
      <c r="H39" s="1769"/>
      <c r="I39" s="1769"/>
      <c r="J39" s="1769"/>
      <c r="K39" s="1769"/>
      <c r="L39" s="1769"/>
      <c r="M39" s="1769"/>
    </row>
    <row r="40" spans="1:13" ht="29.25" customHeight="1">
      <c r="A40" s="1772" t="s">
        <v>3926</v>
      </c>
      <c r="B40" s="1772"/>
      <c r="C40" s="1772"/>
      <c r="D40" s="1772"/>
      <c r="E40" s="1772"/>
      <c r="F40" s="1772"/>
      <c r="G40" s="1772"/>
      <c r="H40" s="1772"/>
      <c r="I40" s="1772"/>
      <c r="J40" s="1772"/>
      <c r="K40" s="1772"/>
      <c r="L40" s="1772"/>
      <c r="M40" s="1772"/>
    </row>
    <row r="41" spans="1:13" ht="3" customHeight="1">
      <c r="A41" s="1769"/>
      <c r="B41" s="1769"/>
      <c r="C41" s="1769"/>
      <c r="D41" s="1769"/>
      <c r="E41" s="1769"/>
      <c r="F41" s="1769"/>
      <c r="G41" s="1769"/>
      <c r="H41" s="1769"/>
      <c r="I41" s="1769"/>
      <c r="J41" s="1769"/>
      <c r="K41" s="1769"/>
      <c r="L41" s="1769"/>
      <c r="M41" s="1769"/>
    </row>
    <row r="42" spans="1:13">
      <c r="A42" s="1769" t="s">
        <v>1318</v>
      </c>
      <c r="B42" s="1769"/>
      <c r="C42" s="1769"/>
      <c r="D42" s="1769"/>
      <c r="E42" s="1769"/>
      <c r="F42" s="1769"/>
      <c r="G42" s="1769"/>
      <c r="H42" s="1769"/>
      <c r="I42" s="1769"/>
      <c r="J42" s="1769"/>
      <c r="K42" s="1769"/>
      <c r="L42" s="1769"/>
      <c r="M42" s="1769"/>
    </row>
    <row r="43" spans="1:13">
      <c r="A43" s="1774"/>
      <c r="B43" s="1774"/>
      <c r="C43" s="1774"/>
      <c r="D43" s="1774"/>
      <c r="E43" s="1774"/>
      <c r="F43" s="1774"/>
      <c r="G43" s="1774"/>
      <c r="H43" s="1774"/>
      <c r="I43" s="1774"/>
      <c r="J43" s="1774"/>
      <c r="K43" s="1774"/>
      <c r="L43" s="1774"/>
      <c r="M43" s="1774"/>
    </row>
    <row r="44" spans="1:13">
      <c r="A44" s="1775" t="s">
        <v>4200</v>
      </c>
      <c r="B44" s="1775"/>
      <c r="C44" s="1775"/>
      <c r="D44" s="1775"/>
      <c r="E44" s="1775"/>
      <c r="F44" s="1775"/>
      <c r="G44" s="1776"/>
      <c r="H44" s="1775" t="s">
        <v>4154</v>
      </c>
      <c r="I44" s="1775"/>
      <c r="J44" s="1775"/>
      <c r="K44" s="1775"/>
      <c r="L44" s="1775"/>
      <c r="M44" s="1775"/>
    </row>
    <row r="45" spans="1:13" ht="12" customHeight="1">
      <c r="A45" s="1777" t="s">
        <v>1319</v>
      </c>
      <c r="B45" s="1777"/>
      <c r="C45" s="1777"/>
      <c r="D45" s="1777"/>
      <c r="E45" s="1777"/>
      <c r="F45" s="1777"/>
      <c r="G45" s="1776"/>
      <c r="H45" s="1777" t="s">
        <v>2691</v>
      </c>
      <c r="I45" s="1777"/>
      <c r="J45" s="1777"/>
      <c r="K45" s="1777"/>
      <c r="L45" s="1777"/>
      <c r="M45" s="1777"/>
    </row>
    <row r="46" spans="1:13">
      <c r="A46" s="1776"/>
      <c r="B46" s="1776"/>
      <c r="C46" s="1776"/>
      <c r="D46" s="1776"/>
      <c r="E46" s="1776"/>
      <c r="F46" s="1776"/>
      <c r="G46" s="1776"/>
      <c r="H46" s="1776"/>
      <c r="I46" s="1776"/>
      <c r="J46" s="1776"/>
      <c r="K46" s="1776"/>
      <c r="L46" s="1776"/>
      <c r="M46" s="1776"/>
    </row>
    <row r="47" spans="1:13">
      <c r="A47" s="1775"/>
      <c r="B47" s="1775"/>
      <c r="C47" s="1775"/>
      <c r="D47" s="1775"/>
      <c r="E47" s="1775"/>
      <c r="F47" s="1775"/>
      <c r="G47" s="1776"/>
      <c r="H47" s="1778" t="s">
        <v>4155</v>
      </c>
      <c r="I47" s="1778"/>
      <c r="J47" s="1778"/>
      <c r="K47" s="1778"/>
      <c r="L47" s="1778"/>
      <c r="M47" s="1778"/>
    </row>
    <row r="48" spans="1:13" ht="12" customHeight="1">
      <c r="A48" s="1777" t="s">
        <v>1320</v>
      </c>
      <c r="B48" s="1777"/>
      <c r="C48" s="1777"/>
      <c r="D48" s="1777"/>
      <c r="E48" s="1777"/>
      <c r="F48" s="1777"/>
      <c r="G48" s="1776"/>
      <c r="H48" s="1777" t="s">
        <v>1321</v>
      </c>
      <c r="I48" s="1777"/>
      <c r="J48" s="1777"/>
      <c r="K48" s="1777"/>
      <c r="L48" s="1777"/>
      <c r="M48" s="1777"/>
    </row>
    <row r="49" spans="1:13" ht="11.45" customHeight="1">
      <c r="A49" s="1769"/>
      <c r="B49" s="1769"/>
      <c r="C49" s="1769"/>
      <c r="D49" s="1769"/>
      <c r="E49" s="1769"/>
      <c r="F49" s="1769"/>
      <c r="G49" s="1769"/>
      <c r="H49" s="1769"/>
      <c r="I49" s="1769"/>
      <c r="J49" s="1769"/>
      <c r="K49" s="1769"/>
      <c r="L49" s="1769"/>
      <c r="M49" s="1769"/>
    </row>
    <row r="50" spans="1:13" ht="11.45" customHeight="1">
      <c r="A50" s="1766"/>
      <c r="B50" s="1766"/>
      <c r="C50" s="1766"/>
      <c r="D50" s="1766"/>
      <c r="E50" s="1766"/>
      <c r="F50" s="1766"/>
      <c r="G50" s="1766"/>
      <c r="H50" s="1779" t="s">
        <v>1322</v>
      </c>
      <c r="I50" s="1779"/>
      <c r="J50" s="1779"/>
      <c r="K50" s="1779"/>
      <c r="L50" s="1779"/>
      <c r="M50" s="1779"/>
    </row>
    <row r="51" spans="1:13" ht="11.45" customHeight="1">
      <c r="A51" s="1766"/>
      <c r="B51" s="1766"/>
      <c r="C51" s="1766"/>
      <c r="D51" s="1766"/>
      <c r="E51" s="1766"/>
      <c r="F51" s="1766"/>
      <c r="G51" s="1766"/>
    </row>
    <row r="52" spans="1:13" ht="11.45" customHeight="1">
      <c r="A52" s="1766"/>
      <c r="B52" s="1766"/>
      <c r="C52" s="1766"/>
      <c r="D52" s="1766"/>
      <c r="E52" s="1766"/>
      <c r="F52" s="1766"/>
      <c r="G52" s="1766"/>
      <c r="H52" s="1766"/>
      <c r="I52" s="1766"/>
      <c r="J52" s="1766"/>
      <c r="K52" s="1766"/>
      <c r="L52" s="1766"/>
      <c r="M52" s="1766"/>
    </row>
    <row r="53" spans="1:13" ht="11.45" customHeight="1">
      <c r="A53" s="1766"/>
      <c r="B53" s="1766"/>
      <c r="C53" s="1766"/>
      <c r="D53" s="1766"/>
      <c r="E53" s="1766"/>
      <c r="F53" s="1766"/>
      <c r="G53" s="1766"/>
      <c r="H53" s="1766"/>
      <c r="I53" s="1766"/>
      <c r="J53" s="1766"/>
      <c r="K53" s="1766"/>
      <c r="L53" s="1766"/>
      <c r="M53" s="1766"/>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D43" sqref="D4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12967968</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14264760</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3537</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3641</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3538</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3637</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3542</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3539</v>
      </c>
      <c r="G45" s="218"/>
      <c r="H45" s="216"/>
      <c r="I45" s="216"/>
      <c r="J45" s="218" t="s">
        <v>3540</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161" t="s">
        <v>3130</v>
      </c>
      <c r="R53" s="1161"/>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3533</v>
      </c>
      <c r="B71" s="218"/>
      <c r="C71" s="218"/>
      <c r="D71" s="216"/>
      <c r="E71" s="216"/>
      <c r="F71" s="218" t="s">
        <v>3398</v>
      </c>
      <c r="G71" s="218"/>
      <c r="H71" s="216"/>
      <c r="I71" s="216"/>
      <c r="J71" s="218" t="s">
        <v>3535</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3397</v>
      </c>
      <c r="G72" s="218"/>
      <c r="H72" s="216"/>
      <c r="I72" s="216"/>
      <c r="J72" s="218" t="s">
        <v>3535</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3535</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3534</v>
      </c>
      <c r="G74" s="218"/>
      <c r="H74" s="216"/>
      <c r="I74" s="216"/>
      <c r="J74" s="218" t="s">
        <v>3536</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51:R51"/>
    <mergeCell ref="Q47:R47"/>
    <mergeCell ref="Q42:R42"/>
    <mergeCell ref="Q68:R68"/>
    <mergeCell ref="Q69:R69"/>
    <mergeCell ref="Q64:R64"/>
    <mergeCell ref="Q65:R65"/>
    <mergeCell ref="Q66:R66"/>
    <mergeCell ref="Q67:R67"/>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Forest Mill Apartments</v>
      </c>
    </row>
    <row r="3" spans="1:6" ht="16.5">
      <c r="A3" s="1282" t="str">
        <f>CONCATENATE('Part I-Project Information'!F26,", ", 'Part I-Project Information'!J27," County")</f>
        <v>West Point, Troup County</v>
      </c>
    </row>
    <row r="4" spans="1:6" ht="12" customHeight="1"/>
    <row r="5" spans="1:6" ht="111" customHeight="1">
      <c r="A5" s="1283" t="s">
        <v>4131</v>
      </c>
      <c r="B5" s="816" t="s">
        <v>3596</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6" type="noConversion"/>
  <printOptions horizontalCentered="1"/>
  <pageMargins left="0.2" right="0.2" top="0.5" bottom="0.5" header="0.3" footer="0.3"/>
  <pageSetup scale="95" fitToHeight="0" orientation="landscape" r:id="rId1"/>
  <headerFooter>
    <oddHeader>&amp;LGeorgia Department of Community Affairs&amp;RHousing  Finance and Development Division</oddHeader>
    <oddFooter>&amp;C&amp;9&amp;P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5" t="str">
        <f>CONCATENATE("PART ONE - PROJECT INFORMATION"," - ",$O$4," ",$F$23,", ",'Part I-Project Information'!F26,", ",'Part I-Project Information'!J27," County")</f>
        <v>PART ONE - PROJECT INFORMATION - 2013-001 Forest Mill Apartments, West Point, Troup County</v>
      </c>
      <c r="B1" s="826"/>
      <c r="C1" s="826"/>
      <c r="D1" s="826"/>
      <c r="E1" s="826"/>
      <c r="F1" s="826"/>
      <c r="G1" s="826"/>
      <c r="H1" s="826"/>
      <c r="I1" s="826"/>
      <c r="J1" s="826"/>
      <c r="K1" s="826"/>
      <c r="L1" s="826"/>
      <c r="M1" s="826"/>
      <c r="N1" s="826"/>
      <c r="O1" s="826"/>
      <c r="P1" s="827"/>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834" t="s">
        <v>3549</v>
      </c>
      <c r="P3" s="834"/>
    </row>
    <row r="4" spans="1:16" s="386" customFormat="1" ht="12" customHeight="1" thickBot="1">
      <c r="A4" s="687"/>
      <c r="B4" s="389"/>
      <c r="C4" s="389"/>
      <c r="F4" s="390"/>
      <c r="G4" s="352" t="s">
        <v>569</v>
      </c>
      <c r="H4" s="789"/>
      <c r="I4" s="789"/>
      <c r="J4" s="789"/>
      <c r="O4" s="1284" t="s">
        <v>4203</v>
      </c>
      <c r="P4" s="1285"/>
    </row>
    <row r="5" spans="1:16" s="386" customFormat="1" ht="9" customHeight="1">
      <c r="A5" s="687"/>
      <c r="B5" s="389"/>
      <c r="C5" s="389"/>
      <c r="D5" s="389"/>
      <c r="E5" s="789"/>
      <c r="H5" s="789"/>
      <c r="I5" s="789"/>
      <c r="J5" s="789"/>
      <c r="K5" s="350"/>
      <c r="M5" s="789"/>
    </row>
    <row r="6" spans="1:16" s="386" customFormat="1" ht="13.15" customHeight="1">
      <c r="A6" s="389" t="s">
        <v>796</v>
      </c>
      <c r="C6" s="389" t="s">
        <v>3132</v>
      </c>
      <c r="D6" s="353"/>
      <c r="E6" s="391"/>
      <c r="F6" s="392" t="s">
        <v>2407</v>
      </c>
      <c r="J6" s="830">
        <f>'Part IV-Uses of Funds'!J172</f>
        <v>898319</v>
      </c>
      <c r="K6" s="831"/>
      <c r="M6" s="789"/>
    </row>
    <row r="7" spans="1:16" s="1" customFormat="1" ht="13.15" customHeight="1">
      <c r="A7" s="5"/>
      <c r="C7" s="5"/>
      <c r="D7" s="31"/>
      <c r="E7" s="481"/>
      <c r="F7" s="386" t="s">
        <v>1717</v>
      </c>
      <c r="J7" s="832">
        <f>'Part III-Sources of Funds'!J5</f>
        <v>1865000</v>
      </c>
      <c r="K7" s="833"/>
      <c r="L7" s="386"/>
      <c r="M7" s="789"/>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286" t="s">
        <v>4118</v>
      </c>
      <c r="G9" s="1287"/>
      <c r="H9" s="1288"/>
      <c r="I9" s="426"/>
      <c r="J9" s="773" t="s">
        <v>3966</v>
      </c>
      <c r="K9" s="398"/>
      <c r="L9" s="789"/>
      <c r="O9" s="1289" t="s">
        <v>4177</v>
      </c>
      <c r="P9" s="1290"/>
    </row>
    <row r="10" spans="1:16" s="386" customFormat="1" ht="12.75" customHeight="1">
      <c r="A10" s="687"/>
      <c r="B10" s="389"/>
      <c r="H10" s="789"/>
      <c r="J10" s="774" t="s">
        <v>3732</v>
      </c>
      <c r="K10" s="350"/>
      <c r="M10" s="789"/>
      <c r="O10" s="1291" t="s">
        <v>4103</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293" t="s">
        <v>4068</v>
      </c>
      <c r="G14" s="1294"/>
      <c r="H14" s="1294"/>
      <c r="I14" s="1294"/>
      <c r="J14" s="1294"/>
      <c r="K14" s="1294"/>
      <c r="L14" s="1295"/>
      <c r="M14" s="781" t="s">
        <v>2691</v>
      </c>
      <c r="N14" s="1293" t="s">
        <v>4076</v>
      </c>
      <c r="O14" s="1294"/>
      <c r="P14" s="1295"/>
    </row>
    <row r="15" spans="1:16" s="386" customFormat="1" ht="13.15" customHeight="1">
      <c r="C15" s="392" t="s">
        <v>2692</v>
      </c>
      <c r="F15" s="1293" t="s">
        <v>4064</v>
      </c>
      <c r="G15" s="1294"/>
      <c r="H15" s="1294"/>
      <c r="I15" s="1294"/>
      <c r="J15" s="1294"/>
      <c r="K15" s="1294"/>
      <c r="L15" s="1295"/>
      <c r="M15" s="781" t="s">
        <v>2413</v>
      </c>
      <c r="O15" s="1296">
        <v>2567609657</v>
      </c>
      <c r="P15" s="1297"/>
    </row>
    <row r="16" spans="1:16" s="386" customFormat="1" ht="13.15" customHeight="1">
      <c r="C16" s="392" t="s">
        <v>798</v>
      </c>
      <c r="F16" s="1298" t="s">
        <v>4065</v>
      </c>
      <c r="G16" s="1299"/>
      <c r="H16" s="1300"/>
      <c r="M16" s="781" t="s">
        <v>2498</v>
      </c>
      <c r="O16" s="1301">
        <v>2567675804</v>
      </c>
      <c r="P16" s="1302"/>
    </row>
    <row r="17" spans="1:16" s="386" customFormat="1" ht="13.15" customHeight="1">
      <c r="C17" s="392" t="s">
        <v>2495</v>
      </c>
      <c r="F17" s="1303" t="s">
        <v>1232</v>
      </c>
      <c r="I17" s="789" t="s">
        <v>2954</v>
      </c>
      <c r="J17" s="1304">
        <v>356303731</v>
      </c>
      <c r="K17" s="1305"/>
      <c r="M17" s="781" t="s">
        <v>2690</v>
      </c>
      <c r="O17" s="1301">
        <v>2563354030</v>
      </c>
      <c r="P17" s="1302"/>
    </row>
    <row r="18" spans="1:16" s="386" customFormat="1" ht="13.15" customHeight="1">
      <c r="B18" s="786"/>
      <c r="C18" s="392" t="s">
        <v>2412</v>
      </c>
      <c r="F18" s="1301">
        <v>2567609657</v>
      </c>
      <c r="G18" s="1306"/>
      <c r="H18" s="1302"/>
      <c r="I18" s="778" t="s">
        <v>2411</v>
      </c>
      <c r="J18" s="1307"/>
      <c r="K18" s="789" t="s">
        <v>2695</v>
      </c>
      <c r="L18" s="1293" t="s">
        <v>4066</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89"/>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4116</v>
      </c>
      <c r="G23" s="1309"/>
      <c r="H23" s="1309"/>
      <c r="I23" s="1309"/>
      <c r="J23" s="1309"/>
      <c r="K23" s="1309"/>
      <c r="L23" s="1310"/>
      <c r="M23" s="781" t="s">
        <v>2911</v>
      </c>
      <c r="O23" s="1293" t="s">
        <v>4103</v>
      </c>
      <c r="P23" s="1295"/>
    </row>
    <row r="24" spans="1:16" s="386" customFormat="1" ht="13.15" customHeight="1">
      <c r="A24" s="399"/>
      <c r="B24" s="389"/>
      <c r="C24" s="386" t="s">
        <v>3603</v>
      </c>
      <c r="D24" s="400"/>
      <c r="F24" s="1293" t="s">
        <v>4117</v>
      </c>
      <c r="G24" s="1294"/>
      <c r="H24" s="1294"/>
      <c r="I24" s="1294"/>
      <c r="J24" s="1294"/>
      <c r="K24" s="1294"/>
      <c r="L24" s="1295"/>
      <c r="M24" s="781" t="s">
        <v>2765</v>
      </c>
      <c r="O24" s="1293" t="s">
        <v>4103</v>
      </c>
      <c r="P24" s="1295"/>
    </row>
    <row r="25" spans="1:16" s="386" customFormat="1" ht="13.15" customHeight="1">
      <c r="A25" s="399"/>
      <c r="B25" s="389"/>
      <c r="C25" s="386" t="s">
        <v>3746</v>
      </c>
      <c r="D25" s="400"/>
      <c r="F25" s="1293" t="s">
        <v>4199</v>
      </c>
      <c r="G25" s="1294"/>
      <c r="H25" s="1294"/>
      <c r="I25" s="1294"/>
      <c r="J25" s="1294"/>
      <c r="K25" s="1294"/>
      <c r="L25" s="1295"/>
      <c r="M25" s="781" t="s">
        <v>3747</v>
      </c>
      <c r="O25" s="1311"/>
      <c r="P25" s="1312"/>
    </row>
    <row r="26" spans="1:16" s="386" customFormat="1" ht="13.15" customHeight="1">
      <c r="A26" s="687"/>
      <c r="B26" s="389"/>
      <c r="C26" s="386" t="s">
        <v>798</v>
      </c>
      <c r="F26" s="1293" t="s">
        <v>328</v>
      </c>
      <c r="G26" s="1294"/>
      <c r="H26" s="1295"/>
      <c r="I26" s="404" t="s">
        <v>3604</v>
      </c>
      <c r="J26" s="1304">
        <v>318335230</v>
      </c>
      <c r="K26" s="1305"/>
      <c r="L26" s="472" t="str">
        <f>IF(AND(NOT(F23=""),NOT(F26="Select from list"),J26=""),"Enter Zip!","")</f>
        <v/>
      </c>
      <c r="M26" s="781" t="s">
        <v>3011</v>
      </c>
      <c r="O26" s="1313">
        <v>8.59</v>
      </c>
      <c r="P26" s="1314"/>
    </row>
    <row r="27" spans="1:16" s="386" customFormat="1" ht="13.15" customHeight="1">
      <c r="A27" s="687"/>
      <c r="B27" s="389"/>
      <c r="C27" s="819" t="s">
        <v>2764</v>
      </c>
      <c r="D27" s="819"/>
      <c r="F27" s="1315" t="s">
        <v>4104</v>
      </c>
      <c r="I27" s="401" t="s">
        <v>799</v>
      </c>
      <c r="J27" s="1316" t="str">
        <f>IF($F$26="","",VLOOKUP($F$26,$N$177:$O$780,2,FALSE))</f>
        <v>Troup</v>
      </c>
      <c r="K27" s="1317"/>
      <c r="M27" s="402" t="s">
        <v>3023</v>
      </c>
      <c r="O27" s="1293">
        <v>9610</v>
      </c>
      <c r="P27" s="1318"/>
    </row>
    <row r="28" spans="1:16" s="386" customFormat="1" ht="13.15" customHeight="1">
      <c r="A28" s="687"/>
      <c r="B28" s="389"/>
      <c r="C28" s="386" t="s">
        <v>2018</v>
      </c>
      <c r="F28" s="1319" t="s">
        <v>4104</v>
      </c>
      <c r="H28" s="394" t="s">
        <v>3411</v>
      </c>
      <c r="I28" s="565" t="str">
        <f>VLOOKUP($J$27,$C$177:$F$336,4)</f>
        <v>Non-MSA</v>
      </c>
      <c r="J28" s="1320" t="str">
        <f>IF($F$26="","",VLOOKUP($J$27,$C$177:$H$336,3,FALSE))</f>
        <v>Troup Co.</v>
      </c>
      <c r="K28" s="1321"/>
      <c r="L28" s="1322"/>
      <c r="M28" s="781" t="s">
        <v>578</v>
      </c>
      <c r="N28" s="1323" t="s">
        <v>4103</v>
      </c>
      <c r="O28" s="394" t="s">
        <v>579</v>
      </c>
      <c r="P28" s="1323" t="s">
        <v>4104</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3764</v>
      </c>
      <c r="F30" s="829" t="s">
        <v>3957</v>
      </c>
      <c r="G30" s="829"/>
      <c r="H30" s="828" t="s">
        <v>1041</v>
      </c>
      <c r="I30" s="828"/>
      <c r="J30" s="828" t="s">
        <v>1042</v>
      </c>
      <c r="K30" s="828"/>
      <c r="L30" s="764" t="s">
        <v>3605</v>
      </c>
    </row>
    <row r="31" spans="1:16" s="386" customFormat="1" ht="13.15" customHeight="1">
      <c r="A31" s="687"/>
      <c r="B31" s="389"/>
      <c r="C31" s="386" t="s">
        <v>3956</v>
      </c>
      <c r="D31" s="389"/>
      <c r="F31" s="1324">
        <v>3</v>
      </c>
      <c r="G31" s="1325"/>
      <c r="H31" s="1324">
        <v>29</v>
      </c>
      <c r="I31" s="1325"/>
      <c r="J31" s="1324">
        <v>133</v>
      </c>
      <c r="K31" s="1325"/>
      <c r="L31" s="760" t="s">
        <v>1709</v>
      </c>
      <c r="N31" s="817" t="s">
        <v>1710</v>
      </c>
      <c r="O31" s="817"/>
      <c r="P31" s="817"/>
    </row>
    <row r="32" spans="1:16" s="386" customFormat="1" ht="12.75" customHeight="1">
      <c r="A32" s="687"/>
      <c r="B32" s="389"/>
      <c r="C32" s="392" t="s">
        <v>1043</v>
      </c>
      <c r="F32" s="1324"/>
      <c r="G32" s="1325"/>
      <c r="H32" s="1324"/>
      <c r="I32" s="1325"/>
      <c r="J32" s="1324"/>
      <c r="K32" s="1325"/>
      <c r="L32" s="760" t="s">
        <v>3955</v>
      </c>
      <c r="N32" s="818" t="s">
        <v>3953</v>
      </c>
      <c r="O32" s="818"/>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4126</v>
      </c>
      <c r="G34" s="1327"/>
      <c r="H34" s="1327"/>
      <c r="I34" s="1327"/>
      <c r="J34" s="1328"/>
      <c r="K34" s="1329"/>
      <c r="M34" s="749" t="s">
        <v>3621</v>
      </c>
      <c r="N34" s="1330" t="s">
        <v>4123</v>
      </c>
      <c r="O34" s="1331"/>
      <c r="P34" s="1332"/>
    </row>
    <row r="35" spans="1:19" s="386" customFormat="1" ht="13.15" customHeight="1">
      <c r="A35" s="687"/>
      <c r="B35" s="687"/>
      <c r="C35" s="386" t="s">
        <v>818</v>
      </c>
      <c r="F35" s="1333" t="s">
        <v>4121</v>
      </c>
      <c r="G35" s="1334"/>
      <c r="H35" s="1335"/>
      <c r="I35" s="779" t="s">
        <v>2691</v>
      </c>
      <c r="J35" s="1330" t="s">
        <v>4122</v>
      </c>
      <c r="K35" s="1331"/>
      <c r="L35" s="1332"/>
      <c r="M35" s="392" t="s">
        <v>2496</v>
      </c>
      <c r="N35" s="1333" t="s">
        <v>4124</v>
      </c>
      <c r="O35" s="1334"/>
      <c r="P35" s="1335"/>
    </row>
    <row r="36" spans="1:19" s="386" customFormat="1" ht="13.15" customHeight="1">
      <c r="A36" s="687"/>
      <c r="B36" s="687"/>
      <c r="C36" s="386" t="s">
        <v>2692</v>
      </c>
      <c r="F36" s="1333" t="s">
        <v>4125</v>
      </c>
      <c r="G36" s="1334"/>
      <c r="H36" s="1334"/>
      <c r="I36" s="1334"/>
      <c r="J36" s="1336"/>
      <c r="K36" s="1337"/>
      <c r="M36" s="424" t="s">
        <v>798</v>
      </c>
      <c r="N36" s="1330" t="s">
        <v>328</v>
      </c>
      <c r="O36" s="1331"/>
      <c r="P36" s="1332"/>
    </row>
    <row r="37" spans="1:19" s="386" customFormat="1" ht="13.15" customHeight="1">
      <c r="A37" s="687"/>
      <c r="B37" s="687"/>
      <c r="C37" s="781" t="s">
        <v>2954</v>
      </c>
      <c r="F37" s="1338">
        <v>318331518</v>
      </c>
      <c r="G37" s="1339"/>
      <c r="H37" s="778" t="s">
        <v>2693</v>
      </c>
      <c r="I37" s="1340">
        <v>7066433294</v>
      </c>
      <c r="J37" s="1341"/>
      <c r="K37" s="1342"/>
      <c r="M37" s="392" t="s">
        <v>2498</v>
      </c>
      <c r="N37" s="1343"/>
      <c r="O37" s="1344"/>
    </row>
    <row r="38" spans="1:19" s="386" customFormat="1" ht="6" customHeight="1">
      <c r="A38" s="687"/>
      <c r="B38" s="687"/>
      <c r="C38" s="403"/>
      <c r="D38" s="404"/>
      <c r="E38" s="404"/>
      <c r="F38" s="789"/>
      <c r="G38" s="789"/>
      <c r="H38" s="789"/>
      <c r="I38" s="789"/>
      <c r="J38" s="404"/>
      <c r="K38" s="789"/>
      <c r="L38" s="789"/>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2694</v>
      </c>
      <c r="C41" s="389" t="s">
        <v>3025</v>
      </c>
      <c r="F41" s="1307" t="s">
        <v>4103</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89"/>
    </row>
    <row r="44" spans="1:19" ht="13.15" customHeight="1">
      <c r="B44" s="687"/>
      <c r="C44" s="386" t="s">
        <v>3024</v>
      </c>
      <c r="D44" s="386"/>
      <c r="E44" s="386"/>
      <c r="F44" s="407">
        <f>'Part VI-Revenues &amp; Expenses'!$M$74</f>
        <v>80</v>
      </c>
      <c r="H44" s="392" t="s">
        <v>399</v>
      </c>
      <c r="J44" s="386"/>
      <c r="M44" s="407">
        <f>'Part VI-Revenues &amp; Expenses'!$M$81</f>
        <v>0</v>
      </c>
      <c r="Q44" s="789"/>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3741</v>
      </c>
      <c r="H46" s="386" t="s">
        <v>380</v>
      </c>
      <c r="M46" s="1345"/>
      <c r="Q46" s="789"/>
    </row>
    <row r="47" spans="1:19" s="386" customFormat="1" ht="3.6" customHeight="1">
      <c r="A47" s="687"/>
      <c r="P47" s="786"/>
    </row>
    <row r="48" spans="1:19" s="386" customFormat="1" ht="13.15" customHeight="1">
      <c r="A48" s="687"/>
      <c r="B48" s="399" t="s">
        <v>1054</v>
      </c>
      <c r="C48" s="398" t="s">
        <v>3004</v>
      </c>
      <c r="D48" s="786"/>
      <c r="I48" s="840" t="s">
        <v>1859</v>
      </c>
      <c r="J48" s="399" t="s">
        <v>2830</v>
      </c>
      <c r="K48" s="409" t="s">
        <v>3031</v>
      </c>
      <c r="M48" s="786"/>
      <c r="N48" s="786"/>
      <c r="O48" s="786"/>
      <c r="P48" s="789"/>
      <c r="Q48" s="789"/>
      <c r="R48" s="789"/>
      <c r="S48" s="786"/>
    </row>
    <row r="49" spans="1:16" s="386" customFormat="1" ht="13.15" customHeight="1">
      <c r="A49" s="687"/>
      <c r="B49" s="780"/>
      <c r="C49" s="396" t="s">
        <v>3005</v>
      </c>
      <c r="D49" s="786"/>
      <c r="E49" s="786"/>
      <c r="H49" s="410">
        <f>SUM(H50:H51)</f>
        <v>71</v>
      </c>
      <c r="I49" s="841"/>
      <c r="J49" s="687"/>
      <c r="K49" s="396" t="s">
        <v>3032</v>
      </c>
      <c r="M49" s="786"/>
      <c r="N49" s="786"/>
      <c r="O49" s="786"/>
      <c r="P49" s="410">
        <f>'Part VI-Revenues &amp; Expenses'!$M$96</f>
        <v>83722</v>
      </c>
    </row>
    <row r="50" spans="1:16" s="386" customFormat="1" ht="13.15" customHeight="1">
      <c r="A50" s="687"/>
      <c r="B50" s="406"/>
      <c r="D50" s="411" t="s">
        <v>419</v>
      </c>
      <c r="E50" s="411"/>
      <c r="H50" s="410">
        <f>'Part VI-Revenues &amp; Expenses'!$M$57</f>
        <v>16</v>
      </c>
      <c r="I50" s="410">
        <f>'Part VI-Revenues &amp; Expenses'!$M$65</f>
        <v>0</v>
      </c>
      <c r="K50" s="396" t="s">
        <v>277</v>
      </c>
      <c r="M50" s="786"/>
      <c r="N50" s="786"/>
      <c r="O50" s="786"/>
      <c r="P50" s="410">
        <f>'Part VI-Revenues &amp; Expenses'!$M$97</f>
        <v>9222</v>
      </c>
    </row>
    <row r="51" spans="1:16" s="386" customFormat="1" ht="13.15" customHeight="1">
      <c r="A51" s="687"/>
      <c r="D51" s="411" t="s">
        <v>2521</v>
      </c>
      <c r="E51" s="411"/>
      <c r="H51" s="410">
        <f>'Part VI-Revenues &amp; Expenses'!$M$56</f>
        <v>55</v>
      </c>
      <c r="I51" s="410">
        <f>'Part VI-Revenues &amp; Expenses'!$M$64</f>
        <v>0</v>
      </c>
      <c r="K51" s="396" t="s">
        <v>3033</v>
      </c>
      <c r="M51" s="786"/>
      <c r="N51" s="786"/>
      <c r="O51" s="786"/>
      <c r="P51" s="410">
        <f>+P49+P50</f>
        <v>92944</v>
      </c>
    </row>
    <row r="52" spans="1:16" s="386" customFormat="1" ht="13.15" customHeight="1">
      <c r="A52" s="687"/>
      <c r="C52" s="396" t="s">
        <v>278</v>
      </c>
      <c r="D52" s="786"/>
      <c r="E52" s="786"/>
      <c r="H52" s="410">
        <f>'Part VI-Revenues &amp; Expenses'!$M$59</f>
        <v>8</v>
      </c>
      <c r="J52" s="687"/>
      <c r="K52" s="396" t="s">
        <v>1862</v>
      </c>
      <c r="M52" s="786"/>
      <c r="N52" s="786"/>
      <c r="O52" s="786"/>
      <c r="P52" s="410">
        <f>'Part VI-Revenues &amp; Expenses'!$M$99</f>
        <v>1192</v>
      </c>
    </row>
    <row r="53" spans="1:16" s="386" customFormat="1" ht="13.15" customHeight="1">
      <c r="A53" s="687"/>
      <c r="C53" s="396" t="s">
        <v>3172</v>
      </c>
      <c r="D53" s="786"/>
      <c r="E53" s="786"/>
      <c r="H53" s="410">
        <f>+H49+H52</f>
        <v>79</v>
      </c>
      <c r="J53" s="687"/>
      <c r="K53" s="396" t="s">
        <v>1861</v>
      </c>
      <c r="M53" s="786"/>
      <c r="N53" s="786"/>
      <c r="O53" s="786"/>
      <c r="P53" s="410">
        <f>+P51+P52</f>
        <v>94136</v>
      </c>
    </row>
    <row r="54" spans="1:16" s="386" customFormat="1" ht="13.15" customHeight="1">
      <c r="A54" s="687"/>
      <c r="C54" s="396" t="s">
        <v>3173</v>
      </c>
      <c r="D54" s="786"/>
      <c r="E54" s="786"/>
      <c r="H54" s="410">
        <f>'Part VI-Revenues &amp; Expenses'!$M$61</f>
        <v>1</v>
      </c>
      <c r="J54" s="687"/>
    </row>
    <row r="55" spans="1:16" s="386" customFormat="1" ht="13.15" customHeight="1">
      <c r="A55" s="687"/>
      <c r="C55" s="396" t="s">
        <v>2489</v>
      </c>
      <c r="D55" s="786"/>
      <c r="E55" s="786"/>
      <c r="H55" s="410">
        <f>+H53+H54</f>
        <v>80</v>
      </c>
      <c r="J55" s="786"/>
    </row>
    <row r="56" spans="1:16" s="386" customFormat="1" ht="3" customHeight="1">
      <c r="A56" s="687"/>
      <c r="I56" s="789"/>
      <c r="L56" s="789"/>
      <c r="M56" s="789"/>
      <c r="N56" s="786"/>
      <c r="P56" s="397"/>
    </row>
    <row r="57" spans="1:16" s="386" customFormat="1" ht="13.15" customHeight="1">
      <c r="A57" s="687"/>
      <c r="B57" s="687" t="s">
        <v>2428</v>
      </c>
      <c r="C57" s="398" t="s">
        <v>3026</v>
      </c>
      <c r="D57" s="411" t="s">
        <v>2708</v>
      </c>
      <c r="G57" s="786"/>
      <c r="H57" s="1346">
        <v>10</v>
      </c>
      <c r="K57" s="396" t="s">
        <v>1536</v>
      </c>
      <c r="O57" s="786"/>
      <c r="P57" s="1346">
        <v>1724</v>
      </c>
    </row>
    <row r="58" spans="1:16" s="386" customFormat="1" ht="13.15" customHeight="1">
      <c r="A58" s="687"/>
      <c r="B58" s="687"/>
      <c r="D58" s="780" t="s">
        <v>2709</v>
      </c>
      <c r="H58" s="1346">
        <v>1</v>
      </c>
      <c r="I58" s="786"/>
      <c r="K58" s="396" t="s">
        <v>276</v>
      </c>
      <c r="O58" s="786"/>
      <c r="P58" s="410">
        <f>+P53+P57</f>
        <v>95860</v>
      </c>
    </row>
    <row r="59" spans="1:16" s="386" customFormat="1" ht="13.15" customHeight="1">
      <c r="A59" s="687"/>
      <c r="B59" s="687"/>
      <c r="D59" s="780" t="s">
        <v>2710</v>
      </c>
      <c r="H59" s="410">
        <f>+H57+H58</f>
        <v>11</v>
      </c>
      <c r="I59" s="786"/>
    </row>
    <row r="60" spans="1:16" s="386" customFormat="1" ht="3" customHeight="1">
      <c r="A60" s="687"/>
      <c r="B60" s="687"/>
      <c r="C60" s="786"/>
      <c r="D60" s="786"/>
      <c r="E60" s="786"/>
      <c r="F60" s="786"/>
      <c r="G60" s="789"/>
      <c r="I60" s="396"/>
      <c r="J60" s="786"/>
      <c r="P60" s="397"/>
    </row>
    <row r="61" spans="1:16" s="386" customFormat="1" ht="13.15" customHeight="1">
      <c r="A61" s="687"/>
      <c r="B61" s="687" t="s">
        <v>2429</v>
      </c>
      <c r="C61" s="398" t="s">
        <v>910</v>
      </c>
      <c r="D61" s="786"/>
      <c r="E61" s="786"/>
      <c r="F61" s="786"/>
      <c r="G61" s="786"/>
      <c r="H61" s="1346">
        <v>160</v>
      </c>
    </row>
    <row r="62" spans="1:16" s="386" customFormat="1" ht="9" customHeight="1">
      <c r="A62" s="687"/>
      <c r="B62" s="687"/>
      <c r="C62" s="396"/>
      <c r="D62" s="786"/>
      <c r="E62" s="786"/>
      <c r="F62" s="786"/>
      <c r="G62" s="789"/>
      <c r="H62" s="786"/>
      <c r="I62" s="396"/>
      <c r="J62" s="396"/>
      <c r="K62" s="786"/>
      <c r="P62" s="397"/>
    </row>
    <row r="63" spans="1:16" s="386" customFormat="1" ht="13.15" customHeight="1">
      <c r="A63" s="687" t="s">
        <v>697</v>
      </c>
      <c r="C63" s="412" t="s">
        <v>1606</v>
      </c>
      <c r="D63" s="412"/>
      <c r="E63" s="412"/>
      <c r="F63" s="786"/>
      <c r="G63" s="789"/>
      <c r="K63" s="786"/>
      <c r="P63" s="397"/>
    </row>
    <row r="64" spans="1:16" s="386" customFormat="1" ht="3" customHeight="1">
      <c r="A64" s="687"/>
      <c r="C64" s="783"/>
      <c r="D64" s="783"/>
      <c r="E64" s="783"/>
      <c r="F64" s="786"/>
      <c r="G64" s="789"/>
      <c r="K64" s="786"/>
      <c r="P64" s="397"/>
    </row>
    <row r="65" spans="1:16" s="386" customFormat="1" ht="13.15" customHeight="1">
      <c r="A65" s="687"/>
      <c r="B65" s="687" t="s">
        <v>2694</v>
      </c>
      <c r="C65" s="350" t="s">
        <v>3595</v>
      </c>
      <c r="D65" s="783"/>
      <c r="E65" s="783"/>
      <c r="F65" s="786"/>
      <c r="G65" s="789"/>
      <c r="H65" s="1347" t="s">
        <v>4067</v>
      </c>
      <c r="I65" s="1348"/>
      <c r="K65" s="819" t="s">
        <v>2467</v>
      </c>
      <c r="L65" s="819"/>
      <c r="N65" s="1293"/>
      <c r="O65" s="1294"/>
      <c r="P65" s="1295"/>
    </row>
    <row r="66" spans="1:16" s="386" customFormat="1" ht="3" customHeight="1">
      <c r="A66" s="687"/>
      <c r="B66" s="687"/>
      <c r="D66" s="780"/>
      <c r="E66" s="780"/>
      <c r="F66" s="780"/>
      <c r="G66" s="780"/>
      <c r="I66" s="789"/>
      <c r="K66" s="781"/>
      <c r="L66" s="781"/>
      <c r="M66" s="789"/>
      <c r="N66" s="786"/>
      <c r="P66" s="397"/>
    </row>
    <row r="67" spans="1:16" s="386" customFormat="1" ht="13.15" customHeight="1">
      <c r="A67" s="687"/>
      <c r="B67" s="687" t="s">
        <v>2697</v>
      </c>
      <c r="C67" s="398" t="s">
        <v>1851</v>
      </c>
      <c r="D67" s="786"/>
      <c r="E67" s="411"/>
      <c r="F67" s="780" t="s">
        <v>1189</v>
      </c>
      <c r="H67" s="1346">
        <v>4</v>
      </c>
      <c r="K67" s="819" t="s">
        <v>687</v>
      </c>
      <c r="L67" s="819"/>
      <c r="P67" s="414">
        <f>IF('Part VI-Revenues &amp; Expenses'!$M$62=0,0,$H67/'Part VI-Revenues &amp; Expenses'!$M$62)</f>
        <v>0.05</v>
      </c>
    </row>
    <row r="68" spans="1:16" s="386" customFormat="1" ht="3" customHeight="1">
      <c r="A68" s="687"/>
      <c r="B68" s="687"/>
      <c r="D68" s="780"/>
      <c r="E68" s="780"/>
      <c r="F68" s="780"/>
      <c r="I68" s="789"/>
      <c r="K68" s="781"/>
      <c r="L68" s="781"/>
      <c r="M68" s="789"/>
      <c r="P68" s="789"/>
    </row>
    <row r="69" spans="1:16" s="386" customFormat="1" ht="13.15" customHeight="1">
      <c r="A69" s="687"/>
      <c r="B69" s="687" t="s">
        <v>1054</v>
      </c>
      <c r="C69" s="398" t="s">
        <v>2544</v>
      </c>
      <c r="D69" s="411"/>
      <c r="E69" s="411"/>
      <c r="F69" s="780" t="s">
        <v>1189</v>
      </c>
      <c r="H69" s="1346">
        <v>2</v>
      </c>
      <c r="K69" s="819" t="s">
        <v>687</v>
      </c>
      <c r="L69" s="819"/>
      <c r="P69" s="414">
        <f>IF('Part VI-Revenues &amp; Expenses'!$M$62=0,0,$H69/'Part VI-Revenues &amp; Expenses'!$M$62)</f>
        <v>2.5000000000000001E-2</v>
      </c>
    </row>
    <row r="70" spans="1:16" s="386" customFormat="1" ht="3" customHeight="1">
      <c r="A70" s="687"/>
      <c r="B70" s="687"/>
      <c r="D70" s="780"/>
      <c r="E70" s="780"/>
      <c r="F70" s="780"/>
      <c r="I70" s="789"/>
      <c r="K70" s="781"/>
      <c r="L70" s="781"/>
      <c r="M70" s="789"/>
      <c r="P70" s="789"/>
    </row>
    <row r="71" spans="1:16" s="386" customFormat="1" ht="13.15" customHeight="1">
      <c r="A71" s="687"/>
      <c r="B71" s="687" t="s">
        <v>2830</v>
      </c>
      <c r="C71" s="398" t="s">
        <v>1714</v>
      </c>
      <c r="D71" s="411"/>
      <c r="E71" s="411"/>
      <c r="F71" s="780" t="s">
        <v>1715</v>
      </c>
      <c r="H71" s="1346"/>
      <c r="K71" s="819" t="s">
        <v>687</v>
      </c>
      <c r="L71" s="819"/>
      <c r="P71" s="414">
        <f>IF('Part VI-Revenues &amp; Expenses'!$M$62=0,0,$H71/'Part VI-Revenues &amp; Expenses'!$M$62)</f>
        <v>0</v>
      </c>
    </row>
    <row r="72" spans="1:16" s="386" customFormat="1" ht="9" customHeight="1">
      <c r="A72" s="687"/>
      <c r="B72" s="687"/>
      <c r="D72" s="780"/>
      <c r="E72" s="780"/>
      <c r="F72" s="780"/>
      <c r="G72" s="780"/>
      <c r="I72" s="789"/>
      <c r="J72" s="789"/>
      <c r="K72" s="789"/>
      <c r="L72" s="789"/>
      <c r="M72" s="789"/>
      <c r="N72" s="786"/>
      <c r="P72" s="397"/>
    </row>
    <row r="73" spans="1:16" s="386" customFormat="1" ht="13.15" customHeight="1">
      <c r="A73" s="415" t="s">
        <v>1160</v>
      </c>
      <c r="B73" s="687"/>
      <c r="C73" s="783" t="s">
        <v>3134</v>
      </c>
      <c r="D73" s="780"/>
      <c r="E73" s="780"/>
      <c r="F73" s="780"/>
      <c r="G73" s="780"/>
      <c r="H73" s="780"/>
      <c r="I73" s="789"/>
      <c r="M73" s="789"/>
      <c r="N73" s="786"/>
      <c r="P73" s="397"/>
    </row>
    <row r="74" spans="1:16" s="386" customFormat="1" ht="3" customHeight="1">
      <c r="A74" s="687"/>
      <c r="B74" s="687"/>
      <c r="C74" s="783"/>
      <c r="D74" s="780"/>
      <c r="E74" s="780"/>
      <c r="F74" s="780"/>
      <c r="L74" s="789"/>
      <c r="M74" s="789"/>
      <c r="N74" s="786"/>
      <c r="P74" s="397"/>
    </row>
    <row r="75" spans="1:16" s="386" customFormat="1" ht="13.15" customHeight="1">
      <c r="A75" s="687"/>
      <c r="B75" s="687" t="s">
        <v>2694</v>
      </c>
      <c r="C75" s="350" t="s">
        <v>3133</v>
      </c>
      <c r="D75" s="780"/>
      <c r="E75" s="780"/>
      <c r="F75" s="780"/>
      <c r="H75" s="1349" t="s">
        <v>1264</v>
      </c>
      <c r="I75" s="1350"/>
      <c r="J75" s="1351"/>
      <c r="M75" s="789"/>
      <c r="N75" s="786"/>
      <c r="P75" s="397"/>
    </row>
    <row r="76" spans="1:16" s="386" customFormat="1" ht="3" customHeight="1">
      <c r="A76" s="687"/>
      <c r="B76" s="687"/>
      <c r="D76" s="780"/>
      <c r="E76" s="780"/>
      <c r="F76" s="780"/>
      <c r="G76" s="780"/>
      <c r="I76" s="789"/>
      <c r="J76" s="789"/>
      <c r="K76" s="789"/>
      <c r="L76" s="789"/>
      <c r="M76" s="789"/>
      <c r="N76" s="786"/>
      <c r="P76" s="397"/>
    </row>
    <row r="77" spans="1:16" s="386" customFormat="1" ht="13.15" customHeight="1">
      <c r="B77" s="687" t="s">
        <v>2697</v>
      </c>
      <c r="C77" s="389" t="s">
        <v>1991</v>
      </c>
      <c r="K77" s="392" t="s">
        <v>1263</v>
      </c>
      <c r="N77" s="416"/>
      <c r="P77" s="1307" t="s">
        <v>4104</v>
      </c>
    </row>
    <row r="78" spans="1:16" s="386" customFormat="1" ht="9" customHeight="1">
      <c r="A78" s="687"/>
      <c r="B78" s="687"/>
      <c r="C78" s="389"/>
      <c r="D78" s="780"/>
      <c r="E78" s="780"/>
      <c r="F78" s="780"/>
      <c r="G78" s="780"/>
      <c r="I78" s="789"/>
      <c r="J78" s="789"/>
      <c r="K78" s="789"/>
      <c r="L78" s="789"/>
      <c r="M78" s="789"/>
      <c r="N78" s="786"/>
      <c r="P78" s="397"/>
    </row>
    <row r="79" spans="1:16" s="386" customFormat="1" ht="13.15" customHeight="1">
      <c r="A79" s="415" t="s">
        <v>322</v>
      </c>
      <c r="B79" s="687"/>
      <c r="C79" s="783" t="s">
        <v>2755</v>
      </c>
      <c r="D79" s="780"/>
    </row>
    <row r="80" spans="1:16" s="386" customFormat="1" ht="3" customHeight="1">
      <c r="A80" s="687"/>
      <c r="B80" s="687"/>
      <c r="D80" s="780"/>
      <c r="N80" s="786"/>
      <c r="P80" s="397"/>
    </row>
    <row r="81" spans="1:16" s="386" customFormat="1" ht="13.15" customHeight="1">
      <c r="A81" s="415"/>
      <c r="B81" s="687" t="s">
        <v>2694</v>
      </c>
      <c r="C81" s="389" t="s">
        <v>3638</v>
      </c>
      <c r="F81" s="411" t="s">
        <v>3398</v>
      </c>
      <c r="H81" s="1307" t="s">
        <v>4103</v>
      </c>
      <c r="I81" s="394" t="s">
        <v>3397</v>
      </c>
      <c r="J81" s="1307" t="s">
        <v>4104</v>
      </c>
      <c r="L81" s="394" t="s">
        <v>565</v>
      </c>
      <c r="M81" s="1307" t="s">
        <v>4103</v>
      </c>
    </row>
    <row r="82" spans="1:16" s="386" customFormat="1" ht="3" customHeight="1">
      <c r="A82" s="687"/>
      <c r="B82" s="687"/>
      <c r="C82" s="783"/>
      <c r="F82" s="780"/>
      <c r="H82" s="780"/>
      <c r="J82" s="789"/>
      <c r="K82" s="789"/>
      <c r="L82" s="789"/>
      <c r="M82" s="789"/>
      <c r="N82" s="789"/>
      <c r="P82" s="397"/>
    </row>
    <row r="83" spans="1:16" s="386" customFormat="1" ht="13.15" customHeight="1">
      <c r="A83" s="415"/>
      <c r="B83" s="687" t="s">
        <v>2697</v>
      </c>
      <c r="C83" s="389" t="s">
        <v>3639</v>
      </c>
      <c r="F83" s="781" t="s">
        <v>3534</v>
      </c>
      <c r="H83" s="1307" t="s">
        <v>4103</v>
      </c>
      <c r="I83" s="672" t="s">
        <v>3640</v>
      </c>
      <c r="J83" s="789"/>
      <c r="K83" s="789"/>
      <c r="L83" s="789"/>
      <c r="M83" s="789"/>
      <c r="N83" s="789"/>
      <c r="O83" s="789"/>
    </row>
    <row r="84" spans="1:16" s="386" customFormat="1" ht="3" customHeight="1">
      <c r="A84" s="687"/>
      <c r="B84" s="687"/>
      <c r="D84" s="780"/>
      <c r="E84" s="780"/>
      <c r="F84" s="780"/>
      <c r="G84" s="780"/>
      <c r="I84" s="789"/>
      <c r="J84" s="789"/>
      <c r="K84" s="789"/>
      <c r="L84" s="789"/>
      <c r="M84" s="789"/>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43" t="s">
        <v>720</v>
      </c>
      <c r="N88" s="843"/>
      <c r="O88" s="1352"/>
      <c r="P88" s="1353"/>
    </row>
    <row r="89" spans="1:16" s="386" customFormat="1" ht="13.15" customHeight="1">
      <c r="C89" s="392" t="s">
        <v>1424</v>
      </c>
      <c r="D89" s="400"/>
      <c r="E89" s="1293"/>
      <c r="F89" s="1294"/>
      <c r="G89" s="1294"/>
      <c r="H89" s="1294"/>
      <c r="I89" s="1294"/>
      <c r="J89" s="1294"/>
      <c r="K89" s="1294"/>
      <c r="L89" s="1295"/>
      <c r="M89" s="843" t="s">
        <v>1201</v>
      </c>
      <c r="N89" s="843"/>
      <c r="O89" s="1308"/>
      <c r="P89" s="1310"/>
    </row>
    <row r="90" spans="1:16" s="386" customFormat="1" ht="13.15" customHeight="1">
      <c r="C90" s="392" t="s">
        <v>798</v>
      </c>
      <c r="E90" s="1293"/>
      <c r="F90" s="1354"/>
      <c r="G90" s="1355"/>
      <c r="H90" s="778" t="s">
        <v>2495</v>
      </c>
      <c r="I90" s="1307"/>
      <c r="J90" s="417" t="s">
        <v>2954</v>
      </c>
      <c r="K90" s="1304"/>
      <c r="L90" s="1355"/>
      <c r="M90" s="353"/>
      <c r="N90" s="353"/>
      <c r="O90" s="353"/>
      <c r="P90" s="353"/>
    </row>
    <row r="91" spans="1:16" s="386" customFormat="1" ht="13.15" customHeight="1">
      <c r="C91" s="386" t="s">
        <v>2913</v>
      </c>
      <c r="E91" s="1293"/>
      <c r="F91" s="1354"/>
      <c r="G91" s="1355"/>
      <c r="H91" s="789" t="s">
        <v>2691</v>
      </c>
      <c r="I91" s="1293"/>
      <c r="J91" s="1354"/>
      <c r="K91" s="1355"/>
      <c r="L91" s="797" t="s">
        <v>2695</v>
      </c>
      <c r="M91" s="1293"/>
      <c r="N91" s="1354"/>
      <c r="O91" s="1354"/>
      <c r="P91" s="1355"/>
    </row>
    <row r="92" spans="1:16" s="386" customFormat="1" ht="13.15" customHeight="1">
      <c r="C92" s="392" t="s">
        <v>2912</v>
      </c>
      <c r="E92" s="1301"/>
      <c r="F92" s="1306"/>
      <c r="G92" s="1302"/>
      <c r="H92" s="789" t="s">
        <v>2498</v>
      </c>
      <c r="I92" s="1340"/>
      <c r="J92" s="1355"/>
      <c r="K92" s="417" t="s">
        <v>2499</v>
      </c>
      <c r="L92" s="1340"/>
      <c r="M92" s="1355"/>
      <c r="N92" s="417" t="s">
        <v>2690</v>
      </c>
      <c r="O92" s="1340"/>
      <c r="P92" s="1355"/>
    </row>
    <row r="93" spans="1:16" s="386" customFormat="1" ht="3" customHeight="1">
      <c r="A93" s="687"/>
      <c r="B93" s="687"/>
      <c r="G93" s="404"/>
      <c r="H93" s="789"/>
      <c r="I93" s="789"/>
      <c r="M93" s="397"/>
    </row>
    <row r="94" spans="1:16" s="386" customFormat="1" ht="13.15" customHeight="1">
      <c r="A94" s="415" t="s">
        <v>396</v>
      </c>
      <c r="B94" s="687"/>
      <c r="C94" s="783" t="s">
        <v>2350</v>
      </c>
      <c r="D94" s="404"/>
      <c r="E94" s="404"/>
      <c r="F94" s="789"/>
      <c r="G94" s="789"/>
      <c r="H94" s="789"/>
      <c r="I94" s="789"/>
      <c r="J94" s="404"/>
      <c r="K94" s="789"/>
      <c r="L94" s="789"/>
      <c r="N94" s="786"/>
      <c r="O94" s="786"/>
      <c r="P94" s="397"/>
    </row>
    <row r="95" spans="1:16" s="386" customFormat="1" ht="3.6" customHeight="1">
      <c r="A95" s="415"/>
      <c r="B95" s="687"/>
      <c r="C95" s="783"/>
      <c r="D95" s="404"/>
      <c r="E95" s="404"/>
      <c r="F95" s="789"/>
      <c r="G95" s="789"/>
      <c r="H95" s="789"/>
      <c r="I95" s="789"/>
      <c r="J95" s="404"/>
      <c r="K95" s="789"/>
      <c r="L95" s="789"/>
      <c r="N95" s="786"/>
      <c r="O95" s="78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83" t="s">
        <v>1852</v>
      </c>
      <c r="D98" s="780"/>
      <c r="E98" s="780"/>
      <c r="F98" s="789"/>
      <c r="G98" s="789"/>
      <c r="H98" s="1356">
        <v>1</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83" t="s">
        <v>451</v>
      </c>
      <c r="D100" s="780"/>
      <c r="E100" s="780"/>
      <c r="F100" s="789"/>
      <c r="G100" s="789"/>
      <c r="H100" s="1357">
        <v>898319</v>
      </c>
      <c r="J100" s="404"/>
      <c r="K100" s="781"/>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83" t="s">
        <v>332</v>
      </c>
      <c r="D102" s="780"/>
      <c r="E102" s="780"/>
      <c r="F102" s="789"/>
      <c r="G102" s="789"/>
      <c r="H102" s="789"/>
      <c r="I102" s="789"/>
      <c r="J102" s="404"/>
      <c r="K102" s="789"/>
      <c r="L102" s="789"/>
      <c r="N102" s="786"/>
      <c r="O102" s="786"/>
    </row>
    <row r="103" spans="1:16" s="386" customFormat="1" ht="13.15" customHeight="1">
      <c r="B103" s="687"/>
      <c r="C103" s="780" t="s">
        <v>2851</v>
      </c>
      <c r="D103" s="780"/>
      <c r="F103" s="780" t="s">
        <v>1546</v>
      </c>
      <c r="G103" s="789"/>
      <c r="H103" s="789"/>
      <c r="I103" s="789"/>
      <c r="J103" s="780" t="s">
        <v>2851</v>
      </c>
      <c r="K103" s="780"/>
      <c r="M103" s="780" t="s">
        <v>1546</v>
      </c>
      <c r="N103" s="789"/>
      <c r="O103" s="789"/>
      <c r="P103" s="789"/>
    </row>
    <row r="104" spans="1:16" s="386" customFormat="1" ht="13.15" customHeight="1">
      <c r="A104" s="687"/>
      <c r="B104" s="687"/>
      <c r="C104" s="1358" t="s">
        <v>4068</v>
      </c>
      <c r="D104" s="1359"/>
      <c r="E104" s="1359"/>
      <c r="F104" s="1359" t="s">
        <v>4116</v>
      </c>
      <c r="G104" s="1359"/>
      <c r="H104" s="1359"/>
      <c r="I104" s="1360"/>
      <c r="J104" s="1358">
        <v>6</v>
      </c>
      <c r="K104" s="1359"/>
      <c r="L104" s="1359"/>
      <c r="M104" s="1359"/>
      <c r="N104" s="1359"/>
      <c r="O104" s="1359"/>
      <c r="P104" s="1360"/>
    </row>
    <row r="105" spans="1:16" s="386" customFormat="1" ht="13.15" customHeight="1">
      <c r="A105" s="687"/>
      <c r="B105" s="687"/>
      <c r="C105" s="1361">
        <v>2</v>
      </c>
      <c r="D105" s="1362"/>
      <c r="E105" s="1362"/>
      <c r="F105" s="1362"/>
      <c r="G105" s="1362"/>
      <c r="H105" s="1362"/>
      <c r="I105" s="1363"/>
      <c r="J105" s="1361">
        <v>7</v>
      </c>
      <c r="K105" s="1362"/>
      <c r="L105" s="1362"/>
      <c r="M105" s="1362"/>
      <c r="N105" s="1362"/>
      <c r="O105" s="1362"/>
      <c r="P105" s="1363"/>
    </row>
    <row r="106" spans="1:16" s="386" customFormat="1" ht="13.15" customHeight="1">
      <c r="A106" s="687"/>
      <c r="B106" s="687"/>
      <c r="C106" s="1361">
        <v>3</v>
      </c>
      <c r="D106" s="1362"/>
      <c r="E106" s="1362"/>
      <c r="F106" s="1362"/>
      <c r="G106" s="1362"/>
      <c r="H106" s="1362"/>
      <c r="I106" s="1363"/>
      <c r="J106" s="1361">
        <v>8</v>
      </c>
      <c r="K106" s="1362"/>
      <c r="L106" s="1362"/>
      <c r="M106" s="1362"/>
      <c r="N106" s="1362"/>
      <c r="O106" s="1362"/>
      <c r="P106" s="1363"/>
    </row>
    <row r="107" spans="1:16" s="386" customFormat="1" ht="13.15" customHeight="1">
      <c r="A107" s="687"/>
      <c r="B107" s="687"/>
      <c r="C107" s="1361">
        <v>4</v>
      </c>
      <c r="D107" s="1362"/>
      <c r="E107" s="1362"/>
      <c r="F107" s="1362"/>
      <c r="G107" s="1362"/>
      <c r="H107" s="1362"/>
      <c r="I107" s="1363"/>
      <c r="J107" s="1361">
        <v>9</v>
      </c>
      <c r="K107" s="1362"/>
      <c r="L107" s="1362"/>
      <c r="M107" s="1362"/>
      <c r="N107" s="1362"/>
      <c r="O107" s="1362"/>
      <c r="P107" s="1363"/>
    </row>
    <row r="108" spans="1:16" s="386" customFormat="1" ht="13.1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42" t="s">
        <v>2551</v>
      </c>
      <c r="D110" s="842"/>
      <c r="E110" s="842"/>
      <c r="F110" s="842"/>
      <c r="G110" s="842"/>
      <c r="H110" s="842"/>
      <c r="I110" s="842"/>
      <c r="J110" s="842"/>
      <c r="K110" s="842"/>
      <c r="L110" s="842"/>
      <c r="M110" s="842"/>
      <c r="N110" s="842"/>
      <c r="O110" s="842"/>
      <c r="P110" s="842"/>
    </row>
    <row r="111" spans="1:16" s="386" customFormat="1" ht="13.15" customHeight="1">
      <c r="A111" s="687"/>
      <c r="B111" s="687"/>
      <c r="C111" s="842"/>
      <c r="D111" s="842"/>
      <c r="E111" s="842"/>
      <c r="F111" s="842"/>
      <c r="G111" s="842"/>
      <c r="H111" s="842"/>
      <c r="I111" s="842"/>
      <c r="J111" s="842"/>
      <c r="K111" s="842"/>
      <c r="L111" s="842"/>
      <c r="M111" s="842"/>
      <c r="N111" s="842"/>
      <c r="O111" s="842"/>
      <c r="P111" s="842"/>
    </row>
    <row r="112" spans="1:16" s="386" customFormat="1" ht="13.15" customHeight="1">
      <c r="B112" s="687"/>
      <c r="C112" s="780" t="s">
        <v>2851</v>
      </c>
      <c r="D112" s="780"/>
      <c r="F112" s="780" t="s">
        <v>1546</v>
      </c>
      <c r="G112" s="789"/>
      <c r="H112" s="789"/>
      <c r="I112" s="789"/>
      <c r="J112" s="780" t="s">
        <v>2851</v>
      </c>
      <c r="K112" s="780"/>
      <c r="M112" s="780" t="s">
        <v>1546</v>
      </c>
      <c r="N112" s="789"/>
      <c r="O112" s="789"/>
      <c r="P112" s="789"/>
    </row>
    <row r="113" spans="1:16" s="386" customFormat="1" ht="13.15" customHeight="1">
      <c r="A113" s="687"/>
      <c r="B113" s="687"/>
      <c r="C113" s="1358" t="s">
        <v>4106</v>
      </c>
      <c r="D113" s="1359"/>
      <c r="E113" s="1359"/>
      <c r="F113" s="1359"/>
      <c r="G113" s="1359"/>
      <c r="H113" s="1359"/>
      <c r="I113" s="1360"/>
      <c r="J113" s="1358">
        <v>6</v>
      </c>
      <c r="K113" s="1359"/>
      <c r="L113" s="1359"/>
      <c r="M113" s="1359"/>
      <c r="N113" s="1359"/>
      <c r="O113" s="1359"/>
      <c r="P113" s="1360"/>
    </row>
    <row r="114" spans="1:16" s="386" customFormat="1" ht="13.15" customHeight="1">
      <c r="A114" s="687"/>
      <c r="B114" s="687"/>
      <c r="C114" s="1361">
        <v>2</v>
      </c>
      <c r="D114" s="1362"/>
      <c r="E114" s="1362"/>
      <c r="F114" s="1362"/>
      <c r="G114" s="1362"/>
      <c r="H114" s="1362"/>
      <c r="I114" s="1363"/>
      <c r="J114" s="1361">
        <v>7</v>
      </c>
      <c r="K114" s="1362"/>
      <c r="L114" s="1362"/>
      <c r="M114" s="1362"/>
      <c r="N114" s="1362"/>
      <c r="O114" s="1362"/>
      <c r="P114" s="1363"/>
    </row>
    <row r="115" spans="1:16" s="386" customFormat="1" ht="13.15" customHeight="1">
      <c r="A115" s="687"/>
      <c r="B115" s="687"/>
      <c r="C115" s="1361">
        <v>3</v>
      </c>
      <c r="D115" s="1362"/>
      <c r="E115" s="1362"/>
      <c r="F115" s="1362"/>
      <c r="G115" s="1362"/>
      <c r="H115" s="1362"/>
      <c r="I115" s="1363"/>
      <c r="J115" s="1361">
        <v>8</v>
      </c>
      <c r="K115" s="1362"/>
      <c r="L115" s="1362"/>
      <c r="M115" s="1362"/>
      <c r="N115" s="1362"/>
      <c r="O115" s="1362"/>
      <c r="P115" s="1363"/>
    </row>
    <row r="116" spans="1:16" s="386" customFormat="1" ht="13.15" customHeight="1">
      <c r="A116" s="687"/>
      <c r="B116" s="687"/>
      <c r="C116" s="1361">
        <v>4</v>
      </c>
      <c r="D116" s="1362"/>
      <c r="E116" s="1362"/>
      <c r="F116" s="1362"/>
      <c r="G116" s="1362"/>
      <c r="H116" s="1362"/>
      <c r="I116" s="1363"/>
      <c r="J116" s="1361">
        <v>9</v>
      </c>
      <c r="K116" s="1362"/>
      <c r="L116" s="1362"/>
      <c r="M116" s="1362"/>
      <c r="N116" s="1362"/>
      <c r="O116" s="1362"/>
      <c r="P116" s="1363"/>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0"/>
      <c r="D118" s="780"/>
      <c r="E118" s="780"/>
      <c r="F118" s="789"/>
      <c r="G118" s="789"/>
      <c r="H118" s="789"/>
      <c r="I118" s="789"/>
      <c r="J118" s="404"/>
      <c r="K118" s="789"/>
      <c r="L118" s="789"/>
      <c r="N118" s="786"/>
      <c r="O118" s="786"/>
      <c r="P118" s="397"/>
    </row>
    <row r="119" spans="1:16" s="386" customFormat="1" ht="13.15" customHeight="1">
      <c r="A119" s="415" t="s">
        <v>397</v>
      </c>
      <c r="B119" s="687"/>
      <c r="C119" s="412" t="s">
        <v>3185</v>
      </c>
      <c r="D119" s="412"/>
      <c r="E119" s="412"/>
      <c r="F119" s="412"/>
      <c r="H119" s="1307" t="s">
        <v>4103</v>
      </c>
      <c r="M119" s="789"/>
      <c r="N119" s="786"/>
      <c r="O119" s="786"/>
      <c r="P119" s="397"/>
    </row>
    <row r="120" spans="1:16" s="386" customFormat="1" ht="3" customHeight="1">
      <c r="A120" s="415"/>
      <c r="B120" s="687"/>
      <c r="C120" s="783"/>
      <c r="D120" s="783"/>
      <c r="E120" s="783"/>
      <c r="F120" s="783"/>
      <c r="G120" s="789"/>
      <c r="M120" s="789"/>
      <c r="N120" s="786"/>
      <c r="O120" s="786"/>
    </row>
    <row r="121" spans="1:16" s="386" customFormat="1" ht="13.15" customHeight="1">
      <c r="A121" s="687"/>
      <c r="B121" s="687" t="s">
        <v>2694</v>
      </c>
      <c r="C121" s="393" t="s">
        <v>2403</v>
      </c>
      <c r="H121" s="1307"/>
      <c r="M121" s="789"/>
      <c r="N121" s="786"/>
      <c r="O121" s="786"/>
      <c r="P121" s="397"/>
    </row>
    <row r="122" spans="1:16" s="386" customFormat="1" ht="13.15" customHeight="1">
      <c r="A122" s="687"/>
      <c r="B122" s="687"/>
      <c r="C122" s="780" t="s">
        <v>3187</v>
      </c>
      <c r="D122" s="780"/>
      <c r="E122" s="780"/>
      <c r="F122" s="789"/>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0" t="s">
        <v>3188</v>
      </c>
      <c r="D124" s="780"/>
      <c r="E124" s="780"/>
      <c r="F124" s="789"/>
      <c r="H124" s="1367"/>
      <c r="K124" s="353" t="s">
        <v>2973</v>
      </c>
      <c r="O124" s="1293" t="s">
        <v>617</v>
      </c>
      <c r="P124" s="1295"/>
    </row>
    <row r="125" spans="1:16" s="386" customFormat="1" ht="13.15" customHeight="1">
      <c r="A125" s="687"/>
      <c r="B125" s="687"/>
      <c r="C125" s="780" t="s">
        <v>3186</v>
      </c>
      <c r="F125" s="789"/>
      <c r="H125" s="1356"/>
      <c r="K125" s="353" t="s">
        <v>2974</v>
      </c>
      <c r="O125" s="1293" t="s">
        <v>617</v>
      </c>
      <c r="P125" s="1295"/>
    </row>
    <row r="126" spans="1:16" s="386" customFormat="1" ht="13.15" customHeight="1">
      <c r="A126" s="687"/>
      <c r="B126" s="687"/>
      <c r="C126" s="780" t="s">
        <v>2884</v>
      </c>
      <c r="D126" s="780"/>
      <c r="E126" s="780"/>
      <c r="F126" s="789"/>
      <c r="H126" s="1352"/>
      <c r="I126" s="1353"/>
      <c r="N126" s="786"/>
      <c r="O126" s="786"/>
      <c r="P126" s="397"/>
    </row>
    <row r="127" spans="1:16" s="386" customFormat="1" ht="3" customHeight="1">
      <c r="A127" s="687"/>
      <c r="B127" s="687"/>
      <c r="C127" s="780"/>
      <c r="D127" s="780"/>
      <c r="E127" s="780"/>
      <c r="F127" s="789"/>
      <c r="N127" s="786"/>
      <c r="O127" s="786"/>
      <c r="P127" s="397"/>
    </row>
    <row r="128" spans="1:16" s="386" customFormat="1" ht="13.15" customHeight="1">
      <c r="A128" s="687"/>
      <c r="B128" s="687" t="s">
        <v>2697</v>
      </c>
      <c r="C128" s="783" t="s">
        <v>3272</v>
      </c>
      <c r="D128" s="780"/>
      <c r="E128" s="780"/>
      <c r="F128" s="789"/>
      <c r="H128" s="1356" t="s">
        <v>4103</v>
      </c>
      <c r="N128" s="786"/>
      <c r="O128" s="786"/>
      <c r="P128" s="397"/>
    </row>
    <row r="129" spans="1:16" s="386" customFormat="1" ht="3" customHeight="1">
      <c r="A129" s="687"/>
      <c r="B129" s="687"/>
      <c r="C129" s="780"/>
      <c r="D129" s="780"/>
      <c r="E129" s="780"/>
      <c r="F129" s="789"/>
      <c r="G129" s="789"/>
      <c r="M129" s="789"/>
      <c r="N129" s="786"/>
      <c r="O129" s="786"/>
      <c r="P129" s="397"/>
    </row>
    <row r="130" spans="1:16" s="386" customFormat="1" ht="13.15" customHeight="1">
      <c r="A130" s="687"/>
      <c r="B130" s="687" t="s">
        <v>1054</v>
      </c>
      <c r="C130" s="783" t="s">
        <v>3606</v>
      </c>
      <c r="D130" s="780"/>
      <c r="E130" s="780"/>
      <c r="F130" s="789"/>
      <c r="G130" s="789"/>
      <c r="N130" s="786"/>
      <c r="O130" s="786"/>
      <c r="P130" s="397"/>
    </row>
    <row r="131" spans="1:16" s="386" customFormat="1" ht="13.15" customHeight="1">
      <c r="A131" s="687"/>
      <c r="B131" s="687"/>
      <c r="C131" s="780" t="s">
        <v>911</v>
      </c>
      <c r="D131" s="780"/>
      <c r="E131" s="780"/>
      <c r="F131" s="789"/>
      <c r="G131" s="789"/>
      <c r="H131" s="1356" t="s">
        <v>4103</v>
      </c>
      <c r="K131" s="780" t="s">
        <v>1992</v>
      </c>
      <c r="L131" s="780"/>
      <c r="M131" s="789"/>
      <c r="N131" s="789"/>
      <c r="O131" s="1356"/>
      <c r="P131" s="397"/>
    </row>
    <row r="132" spans="1:16" s="386" customFormat="1" ht="6" customHeight="1">
      <c r="A132" s="687"/>
      <c r="B132" s="687"/>
      <c r="C132" s="780"/>
      <c r="D132" s="780"/>
      <c r="E132" s="780"/>
      <c r="F132" s="789"/>
      <c r="G132" s="789"/>
      <c r="H132" s="789"/>
      <c r="I132" s="789"/>
      <c r="J132" s="404"/>
      <c r="K132" s="789"/>
      <c r="L132" s="789"/>
      <c r="N132" s="786"/>
      <c r="O132" s="786"/>
      <c r="P132" s="397"/>
    </row>
    <row r="133" spans="1:16" s="386" customFormat="1" ht="13.15" customHeight="1">
      <c r="A133" s="415" t="s">
        <v>398</v>
      </c>
      <c r="B133" s="687"/>
      <c r="C133" s="412" t="s">
        <v>1605</v>
      </c>
      <c r="D133" s="412"/>
      <c r="E133" s="412"/>
      <c r="F133" s="412"/>
      <c r="G133" s="789"/>
      <c r="H133" s="789"/>
      <c r="I133" s="789"/>
      <c r="J133" s="404"/>
      <c r="K133" s="789"/>
      <c r="L133" s="789"/>
      <c r="N133" s="786"/>
      <c r="O133" s="786"/>
      <c r="P133" s="397"/>
    </row>
    <row r="134" spans="1:16" s="386" customFormat="1" ht="1.9" customHeight="1">
      <c r="A134" s="415"/>
      <c r="B134" s="687"/>
      <c r="C134" s="783"/>
      <c r="D134" s="783"/>
      <c r="E134" s="783"/>
      <c r="F134" s="783"/>
      <c r="G134" s="789"/>
      <c r="H134" s="789"/>
      <c r="I134" s="789"/>
      <c r="J134" s="404"/>
      <c r="K134" s="789"/>
      <c r="L134" s="789"/>
      <c r="N134" s="786"/>
      <c r="O134" s="786"/>
    </row>
    <row r="135" spans="1:16" s="386" customFormat="1" ht="13.15" customHeight="1">
      <c r="A135" s="687"/>
      <c r="B135" s="687" t="s">
        <v>2694</v>
      </c>
      <c r="C135" s="403" t="s">
        <v>2522</v>
      </c>
      <c r="F135" s="789"/>
      <c r="G135" s="789"/>
      <c r="H135" s="789"/>
      <c r="I135" s="789"/>
      <c r="J135" s="404"/>
      <c r="K135" s="789"/>
      <c r="L135" s="789"/>
      <c r="N135" s="786"/>
      <c r="O135" s="786"/>
      <c r="P135" s="397"/>
    </row>
    <row r="136" spans="1:16" s="386" customFormat="1" ht="12.6" customHeight="1">
      <c r="A136" s="687"/>
      <c r="B136" s="687"/>
      <c r="C136" s="411" t="s">
        <v>1984</v>
      </c>
      <c r="D136" s="404"/>
      <c r="E136" s="404"/>
      <c r="F136" s="789"/>
      <c r="G136" s="789"/>
      <c r="H136" s="789"/>
      <c r="I136" s="789"/>
      <c r="K136" s="1356" t="s">
        <v>4103</v>
      </c>
      <c r="N136" s="786"/>
      <c r="O136" s="786"/>
      <c r="P136" s="397"/>
    </row>
    <row r="137" spans="1:16" s="386" customFormat="1" ht="12.6" customHeight="1">
      <c r="A137" s="687"/>
      <c r="B137" s="687"/>
      <c r="C137" s="386" t="s">
        <v>795</v>
      </c>
      <c r="K137" s="1346"/>
      <c r="L137" s="392" t="s">
        <v>2491</v>
      </c>
      <c r="P137" s="421">
        <f>IF('Part VI-Revenues &amp; Expenses'!$M$60=0,0,$K137/'Part VI-Revenues &amp; Expenses'!$M$60)</f>
        <v>0</v>
      </c>
    </row>
    <row r="138" spans="1:16" s="386" customFormat="1" ht="12.6" customHeight="1">
      <c r="A138" s="687"/>
      <c r="B138" s="687"/>
      <c r="C138" s="386" t="s">
        <v>2885</v>
      </c>
      <c r="K138" s="1346"/>
      <c r="L138" s="392" t="s">
        <v>2491</v>
      </c>
      <c r="P138" s="421">
        <f>IF('Part VI-Revenues &amp; Expenses'!$M$60=0,0,$K138/'Part VI-Revenues &amp; Expenses'!$M$60)</f>
        <v>0</v>
      </c>
    </row>
    <row r="139" spans="1:16" s="386" customFormat="1" ht="12.6" customHeight="1">
      <c r="A139" s="687"/>
      <c r="B139" s="687"/>
      <c r="C139" s="386" t="s">
        <v>2492</v>
      </c>
      <c r="E139" s="1293"/>
      <c r="F139" s="1294"/>
      <c r="G139" s="1294"/>
      <c r="H139" s="1294"/>
      <c r="I139" s="1294"/>
      <c r="J139" s="1294"/>
      <c r="K139" s="1295"/>
      <c r="L139" s="422" t="s">
        <v>2493</v>
      </c>
      <c r="M139" s="1293"/>
      <c r="N139" s="1294"/>
      <c r="O139" s="1294"/>
      <c r="P139" s="1295"/>
    </row>
    <row r="140" spans="1:16" s="386" customFormat="1" ht="12.6" customHeight="1">
      <c r="A140" s="687"/>
      <c r="B140" s="687"/>
      <c r="C140" s="392" t="s">
        <v>2494</v>
      </c>
      <c r="D140" s="400"/>
      <c r="E140" s="1293"/>
      <c r="F140" s="1294"/>
      <c r="G140" s="1294"/>
      <c r="H140" s="1294"/>
      <c r="I140" s="1294"/>
      <c r="J140" s="1294"/>
      <c r="K140" s="1368"/>
      <c r="L140" s="781" t="s">
        <v>2496</v>
      </c>
      <c r="M140" s="1308"/>
      <c r="N140" s="1309"/>
      <c r="O140" s="1309"/>
      <c r="P140" s="1310"/>
    </row>
    <row r="141" spans="1:16" s="386" customFormat="1" ht="12.6" customHeight="1">
      <c r="A141" s="687"/>
      <c r="B141" s="687"/>
      <c r="C141" s="392" t="s">
        <v>798</v>
      </c>
      <c r="E141" s="1293"/>
      <c r="F141" s="1294"/>
      <c r="G141" s="1294"/>
      <c r="H141" s="1295"/>
      <c r="I141" s="417" t="s">
        <v>2954</v>
      </c>
      <c r="J141" s="1304"/>
      <c r="K141" s="1305"/>
      <c r="L141" s="422" t="s">
        <v>2499</v>
      </c>
      <c r="M141" s="1301"/>
      <c r="N141" s="1306"/>
      <c r="O141" s="1302"/>
    </row>
    <row r="142" spans="1:16" s="386" customFormat="1" ht="12.6" customHeight="1">
      <c r="A142" s="687"/>
      <c r="B142" s="687"/>
      <c r="C142" s="392" t="s">
        <v>2497</v>
      </c>
      <c r="E142" s="1301"/>
      <c r="F142" s="1306"/>
      <c r="G142" s="1302"/>
      <c r="H142" s="423" t="s">
        <v>2498</v>
      </c>
      <c r="I142" s="1301"/>
      <c r="J142" s="1306"/>
      <c r="K142" s="1302"/>
      <c r="L142" s="424" t="s">
        <v>2690</v>
      </c>
      <c r="M142" s="1301"/>
      <c r="N142" s="1306"/>
      <c r="O142" s="1302"/>
    </row>
    <row r="143" spans="1:16" s="386" customFormat="1" ht="6" customHeight="1">
      <c r="A143" s="687"/>
      <c r="B143" s="687"/>
      <c r="C143" s="392"/>
      <c r="E143" s="425"/>
      <c r="F143" s="425"/>
      <c r="G143" s="425"/>
      <c r="H143" s="789"/>
      <c r="I143" s="425"/>
      <c r="J143" s="425"/>
      <c r="K143" s="789"/>
      <c r="L143" s="425"/>
      <c r="M143" s="425"/>
      <c r="N143" s="789"/>
      <c r="O143" s="425"/>
      <c r="P143" s="425"/>
    </row>
    <row r="144" spans="1:16" s="386" customFormat="1" ht="12.6" customHeight="1">
      <c r="A144" s="687"/>
      <c r="B144" s="687" t="s">
        <v>2697</v>
      </c>
      <c r="C144" s="783" t="s">
        <v>3619</v>
      </c>
      <c r="D144" s="783"/>
      <c r="E144" s="783"/>
      <c r="F144" s="783"/>
      <c r="G144" s="783"/>
      <c r="I144" s="1356" t="s">
        <v>4103</v>
      </c>
      <c r="J144" s="838" t="s">
        <v>1067</v>
      </c>
      <c r="K144" s="839"/>
      <c r="L144" s="1356"/>
      <c r="M144" s="835" t="s">
        <v>3057</v>
      </c>
      <c r="N144" s="836"/>
      <c r="O144" s="837"/>
      <c r="P144" s="1367"/>
    </row>
    <row r="145" spans="1:16" s="386" customFormat="1" ht="6" customHeight="1">
      <c r="A145" s="687"/>
      <c r="B145" s="687"/>
      <c r="C145" s="783"/>
      <c r="D145" s="783"/>
      <c r="E145" s="389"/>
      <c r="F145" s="783"/>
      <c r="G145" s="783"/>
      <c r="J145" s="396"/>
      <c r="K145" s="426"/>
      <c r="M145" s="786"/>
      <c r="O145" s="789"/>
      <c r="P145" s="397"/>
    </row>
    <row r="146" spans="1:16" s="386" customFormat="1" ht="12.6" customHeight="1">
      <c r="A146" s="687"/>
      <c r="B146" s="687"/>
      <c r="C146" s="783" t="s">
        <v>3620</v>
      </c>
      <c r="D146" s="783"/>
      <c r="E146" s="783"/>
      <c r="F146" s="783"/>
      <c r="G146" s="783"/>
      <c r="I146" s="1356" t="s">
        <v>4104</v>
      </c>
      <c r="J146" s="838" t="s">
        <v>1067</v>
      </c>
      <c r="K146" s="839"/>
      <c r="L146" s="1356">
        <v>2035</v>
      </c>
      <c r="M146" s="835" t="s">
        <v>3057</v>
      </c>
      <c r="N146" s="836"/>
      <c r="O146" s="837"/>
      <c r="P146" s="1367">
        <v>5</v>
      </c>
    </row>
    <row r="147" spans="1:16" s="386" customFormat="1" ht="6" customHeight="1">
      <c r="A147" s="687"/>
      <c r="B147" s="687"/>
      <c r="C147" s="783"/>
      <c r="D147" s="783"/>
      <c r="E147" s="389"/>
      <c r="F147" s="783"/>
      <c r="G147" s="783"/>
      <c r="J147" s="396"/>
      <c r="K147" s="426"/>
      <c r="M147" s="786"/>
      <c r="O147" s="789"/>
      <c r="P147" s="397"/>
    </row>
    <row r="148" spans="1:16" s="386" customFormat="1" ht="12.6" customHeight="1">
      <c r="A148" s="687"/>
      <c r="B148" s="687" t="s">
        <v>1054</v>
      </c>
      <c r="C148" s="783" t="s">
        <v>2451</v>
      </c>
      <c r="D148" s="783"/>
      <c r="E148" s="783"/>
      <c r="F148" s="783"/>
      <c r="G148" s="783"/>
      <c r="I148" s="1356" t="s">
        <v>4103</v>
      </c>
      <c r="L148" s="353"/>
      <c r="M148" s="353"/>
      <c r="P148" s="397"/>
    </row>
    <row r="149" spans="1:16" s="386" customFormat="1" ht="6" customHeight="1">
      <c r="A149" s="687"/>
      <c r="B149" s="687"/>
      <c r="C149" s="392"/>
      <c r="E149" s="425"/>
      <c r="F149" s="425"/>
      <c r="G149" s="425"/>
      <c r="I149" s="425"/>
      <c r="J149" s="425"/>
      <c r="K149" s="789"/>
      <c r="L149" s="425"/>
      <c r="M149" s="425"/>
      <c r="N149" s="789"/>
      <c r="O149" s="425"/>
      <c r="P149" s="425"/>
    </row>
    <row r="150" spans="1:16" s="386" customFormat="1" ht="12.6" customHeight="1">
      <c r="A150" s="687"/>
      <c r="B150" s="687" t="s">
        <v>2830</v>
      </c>
      <c r="C150" s="824" t="s">
        <v>2689</v>
      </c>
      <c r="D150" s="824"/>
      <c r="E150" s="824"/>
      <c r="F150" s="824"/>
      <c r="G150" s="783"/>
      <c r="I150" s="1356" t="s">
        <v>4103</v>
      </c>
      <c r="J150" s="428" t="s">
        <v>3938</v>
      </c>
      <c r="L150" s="823" t="s">
        <v>1924</v>
      </c>
      <c r="M150" s="823"/>
      <c r="N150" s="783"/>
      <c r="O150" s="783"/>
      <c r="P150" s="1369"/>
    </row>
    <row r="151" spans="1:16" s="386" customFormat="1" ht="12.6" customHeight="1">
      <c r="B151" s="687"/>
      <c r="L151" s="819" t="s">
        <v>1190</v>
      </c>
      <c r="M151" s="819"/>
      <c r="N151" s="783"/>
      <c r="O151" s="783"/>
      <c r="P151" s="1369"/>
    </row>
    <row r="152" spans="1:16" s="386" customFormat="1" ht="12.6" customHeight="1">
      <c r="A152" s="687"/>
      <c r="B152" s="687"/>
      <c r="L152" s="819" t="s">
        <v>2487</v>
      </c>
      <c r="M152" s="819"/>
      <c r="N152" s="783"/>
      <c r="O152" s="783"/>
      <c r="P152" s="427" t="str">
        <f>IF(P150="","",P151/P150)</f>
        <v/>
      </c>
    </row>
    <row r="153" spans="1:16" s="386" customFormat="1" ht="13.15" customHeight="1">
      <c r="A153" s="687"/>
      <c r="B153" s="687" t="s">
        <v>2428</v>
      </c>
      <c r="C153" s="350" t="s">
        <v>2075</v>
      </c>
      <c r="D153" s="780"/>
      <c r="E153" s="780"/>
      <c r="F153" s="780"/>
      <c r="G153" s="780"/>
      <c r="H153" s="789"/>
      <c r="J153" s="396"/>
      <c r="K153" s="404"/>
      <c r="M153" s="786"/>
      <c r="O153" s="789"/>
      <c r="P153" s="397"/>
    </row>
    <row r="154" spans="1:16" s="386" customFormat="1" ht="12.6" customHeight="1">
      <c r="A154" s="687"/>
      <c r="B154" s="687"/>
      <c r="C154" s="786" t="s">
        <v>2934</v>
      </c>
      <c r="D154" s="398"/>
      <c r="E154" s="786"/>
      <c r="F154" s="786"/>
      <c r="I154" s="1356" t="s">
        <v>4103</v>
      </c>
      <c r="L154" s="786" t="s">
        <v>3672</v>
      </c>
      <c r="M154" s="786"/>
      <c r="P154" s="1356" t="s">
        <v>4103</v>
      </c>
    </row>
    <row r="155" spans="1:16" s="386" customFormat="1" ht="12.6" customHeight="1">
      <c r="A155" s="687"/>
      <c r="B155" s="687"/>
      <c r="C155" s="786" t="s">
        <v>2936</v>
      </c>
      <c r="I155" s="1356" t="s">
        <v>4103</v>
      </c>
      <c r="L155" s="786" t="s">
        <v>2076</v>
      </c>
      <c r="M155" s="786"/>
      <c r="N155" s="786"/>
      <c r="P155" s="1356" t="s">
        <v>4104</v>
      </c>
    </row>
    <row r="156" spans="1:16" s="386" customFormat="1" ht="12.6" customHeight="1">
      <c r="A156" s="687"/>
      <c r="C156" s="786" t="s">
        <v>3671</v>
      </c>
      <c r="I156" s="1356" t="s">
        <v>4103</v>
      </c>
      <c r="L156" s="786" t="s">
        <v>1995</v>
      </c>
      <c r="M156" s="786"/>
      <c r="N156" s="786"/>
      <c r="P156" s="1356" t="s">
        <v>4103</v>
      </c>
    </row>
    <row r="157" spans="1:16" s="386" customFormat="1" ht="12.6" customHeight="1">
      <c r="A157" s="687"/>
      <c r="B157" s="687"/>
      <c r="C157" s="786" t="s">
        <v>1716</v>
      </c>
      <c r="D157" s="429"/>
      <c r="I157" s="1356" t="s">
        <v>4104</v>
      </c>
      <c r="K157" s="398"/>
      <c r="L157" s="786" t="s">
        <v>3591</v>
      </c>
      <c r="N157" s="1370"/>
      <c r="O157" s="1371"/>
      <c r="P157" s="1356"/>
    </row>
    <row r="158" spans="1:16" s="386" customFormat="1" ht="12.6" customHeight="1">
      <c r="A158" s="687"/>
      <c r="B158" s="389"/>
      <c r="C158" s="786" t="s">
        <v>2506</v>
      </c>
      <c r="I158" s="1356" t="s">
        <v>4103</v>
      </c>
      <c r="J158" s="428" t="s">
        <v>3939</v>
      </c>
      <c r="O158" s="1372"/>
      <c r="P158" s="1373"/>
    </row>
    <row r="159" spans="1:16" s="386" customFormat="1" ht="12.6" customHeight="1">
      <c r="A159" s="687"/>
      <c r="B159" s="687"/>
      <c r="C159" s="786" t="s">
        <v>3670</v>
      </c>
      <c r="I159" s="1356" t="s">
        <v>4103</v>
      </c>
      <c r="J159" s="428" t="s">
        <v>3939</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0"/>
      <c r="E162" s="780"/>
      <c r="F162" s="789"/>
      <c r="G162" s="789"/>
      <c r="H162" s="1352"/>
      <c r="I162" s="1353"/>
      <c r="N162" s="786"/>
      <c r="O162" s="786"/>
      <c r="P162" s="397"/>
    </row>
    <row r="163" spans="1:21" s="386" customFormat="1" ht="12.6" customHeight="1">
      <c r="A163" s="687"/>
      <c r="B163" s="687"/>
      <c r="C163" s="392" t="s">
        <v>305</v>
      </c>
      <c r="D163" s="780"/>
      <c r="E163" s="780"/>
      <c r="F163" s="789"/>
      <c r="G163" s="789"/>
      <c r="H163" s="1352"/>
      <c r="I163" s="1353"/>
      <c r="N163" s="786"/>
      <c r="O163" s="786"/>
      <c r="P163" s="397"/>
    </row>
    <row r="164" spans="1:21" s="386" customFormat="1" ht="12.6" customHeight="1">
      <c r="A164" s="687"/>
      <c r="B164" s="687"/>
      <c r="C164" s="392" t="s">
        <v>3024</v>
      </c>
      <c r="D164" s="780"/>
      <c r="E164" s="780"/>
      <c r="F164" s="789"/>
      <c r="G164" s="789"/>
      <c r="H164" s="1352">
        <v>42064</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2979</v>
      </c>
      <c r="L166" s="415" t="s">
        <v>83</v>
      </c>
    </row>
    <row r="167" spans="1:21" ht="114" customHeight="1">
      <c r="A167" s="1374"/>
      <c r="B167" s="1375"/>
      <c r="C167" s="1375"/>
      <c r="D167" s="1375"/>
      <c r="E167" s="1375"/>
      <c r="F167" s="1375"/>
      <c r="G167" s="1375"/>
      <c r="H167" s="1375"/>
      <c r="I167" s="1375"/>
      <c r="J167" s="1376"/>
      <c r="K167" s="1377"/>
      <c r="L167" s="1378"/>
      <c r="M167" s="1378"/>
      <c r="N167" s="1378"/>
      <c r="O167" s="1378"/>
      <c r="P167" s="1379"/>
      <c r="Q167" s="816" t="s">
        <v>3596</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2795</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3412</v>
      </c>
      <c r="G182" s="732" t="s">
        <v>2523</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2552</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2626</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3266</v>
      </c>
      <c r="D208" s="626" t="s">
        <v>1632</v>
      </c>
      <c r="E208" s="731" t="s">
        <v>3267</v>
      </c>
      <c r="F208" s="731" t="s">
        <v>3412</v>
      </c>
      <c r="G208" s="732" t="s">
        <v>802</v>
      </c>
      <c r="H208" s="733" t="s">
        <v>458</v>
      </c>
      <c r="I208" s="734"/>
      <c r="J208" s="735" t="s">
        <v>2787</v>
      </c>
      <c r="K208" s="627"/>
      <c r="L208" s="727"/>
      <c r="M208" s="728"/>
      <c r="N208" s="737" t="s">
        <v>2789</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2788</v>
      </c>
      <c r="K209" s="627"/>
      <c r="L209" s="727"/>
      <c r="M209" s="728"/>
      <c r="N209" s="737" t="s">
        <v>2711</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2669</v>
      </c>
      <c r="H221" s="733" t="s">
        <v>458</v>
      </c>
      <c r="I221" s="734"/>
      <c r="J221" s="735" t="s">
        <v>2967</v>
      </c>
      <c r="K221" s="627"/>
      <c r="L221" s="727"/>
      <c r="M221" s="728"/>
      <c r="N221" s="626" t="s">
        <v>3359</v>
      </c>
      <c r="O221" s="626" t="s">
        <v>808</v>
      </c>
      <c r="P221" s="1381" t="s">
        <v>2857</v>
      </c>
      <c r="Q221" s="732"/>
      <c r="R221" s="626"/>
      <c r="S221" s="626"/>
    </row>
    <row r="222" spans="2:19" s="723" customFormat="1" ht="12" customHeight="1">
      <c r="B222" s="626" t="s">
        <v>1796</v>
      </c>
      <c r="C222" s="626" t="s">
        <v>1350</v>
      </c>
      <c r="D222" s="626" t="s">
        <v>1632</v>
      </c>
      <c r="E222" s="731" t="s">
        <v>1351</v>
      </c>
      <c r="F222" s="731" t="s">
        <v>3412</v>
      </c>
      <c r="G222" s="732" t="s">
        <v>2670</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2671</v>
      </c>
      <c r="H225" s="733" t="s">
        <v>458</v>
      </c>
      <c r="I225" s="734"/>
      <c r="J225" s="735" t="s">
        <v>2876</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1380"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1381"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2629</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1381"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2584</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3413</v>
      </c>
      <c r="G274" s="732" t="s">
        <v>3379</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3413</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2774</v>
      </c>
      <c r="K277" s="736"/>
      <c r="L277" s="727"/>
      <c r="M277" s="728"/>
      <c r="N277" s="737" t="s">
        <v>2781</v>
      </c>
      <c r="O277" s="737" t="s">
        <v>3384</v>
      </c>
      <c r="P277" s="626" t="s">
        <v>2172</v>
      </c>
      <c r="Q277" s="732"/>
    </row>
    <row r="278" spans="2:17" s="723" customFormat="1" ht="12" customHeight="1">
      <c r="B278" s="740"/>
      <c r="C278" s="626" t="s">
        <v>2238</v>
      </c>
      <c r="D278" s="626" t="s">
        <v>1769</v>
      </c>
      <c r="E278" s="738" t="s">
        <v>2756</v>
      </c>
      <c r="F278" s="738" t="s">
        <v>3413</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2778</v>
      </c>
      <c r="K279" s="736"/>
      <c r="L279" s="727"/>
      <c r="M279" s="728"/>
      <c r="N279" s="626" t="s">
        <v>3363</v>
      </c>
      <c r="O279" s="626" t="s">
        <v>2719</v>
      </c>
      <c r="P279" s="1381"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3384</v>
      </c>
      <c r="D281" s="626" t="s">
        <v>1745</v>
      </c>
      <c r="E281" s="731" t="s">
        <v>3385</v>
      </c>
      <c r="F281" s="731" t="s">
        <v>3413</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2757</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2757</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2665</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3412</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2480</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3412</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2482</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1380" t="s">
        <v>1218</v>
      </c>
    </row>
    <row r="299" spans="2:17" s="723" customFormat="1" ht="12" customHeight="1">
      <c r="B299" s="740"/>
      <c r="C299" s="626" t="s">
        <v>1519</v>
      </c>
      <c r="D299" s="626" t="s">
        <v>1769</v>
      </c>
      <c r="E299" s="731" t="s">
        <v>2886</v>
      </c>
      <c r="F299" s="731" t="s">
        <v>3412</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1381"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2773</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1380"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2724</v>
      </c>
      <c r="H308" s="733" t="s">
        <v>458</v>
      </c>
      <c r="I308" s="734"/>
      <c r="J308" s="735" t="s">
        <v>2770</v>
      </c>
      <c r="K308" s="736"/>
      <c r="L308" s="727"/>
      <c r="M308" s="728"/>
      <c r="N308" s="626" t="s">
        <v>3365</v>
      </c>
      <c r="O308" s="626" t="s">
        <v>1761</v>
      </c>
      <c r="P308" s="1381" t="s">
        <v>2857</v>
      </c>
      <c r="Q308" s="732"/>
    </row>
    <row r="309" spans="2:17" s="723" customFormat="1" ht="12" customHeight="1">
      <c r="B309" s="740"/>
      <c r="C309" s="626" t="s">
        <v>2902</v>
      </c>
      <c r="D309" s="626" t="s">
        <v>1632</v>
      </c>
      <c r="E309" s="731" t="s">
        <v>2903</v>
      </c>
      <c r="F309" s="731" t="s">
        <v>3412</v>
      </c>
      <c r="G309" s="732" t="s">
        <v>2725</v>
      </c>
      <c r="H309" s="733" t="s">
        <v>458</v>
      </c>
      <c r="I309" s="734"/>
      <c r="J309" s="735" t="s">
        <v>2772</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2726</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2727</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3412</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2618</v>
      </c>
      <c r="D315" s="626" t="s">
        <v>1632</v>
      </c>
      <c r="E315" s="738" t="s">
        <v>2619</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3412</v>
      </c>
      <c r="G318" s="732" t="s">
        <v>1584</v>
      </c>
      <c r="H318" s="733" t="s">
        <v>458</v>
      </c>
      <c r="I318" s="739"/>
      <c r="J318" s="735" t="s">
        <v>714</v>
      </c>
      <c r="K318" s="736"/>
      <c r="L318" s="727"/>
      <c r="M318" s="728"/>
      <c r="N318" s="737" t="s">
        <v>2676</v>
      </c>
      <c r="O318" s="737" t="s">
        <v>2972</v>
      </c>
      <c r="P318" s="626" t="s">
        <v>2206</v>
      </c>
      <c r="Q318" s="732"/>
    </row>
    <row r="319" spans="2:17" s="723" customFormat="1" ht="12" customHeight="1">
      <c r="B319" s="740"/>
      <c r="C319" s="626" t="s">
        <v>2626</v>
      </c>
      <c r="D319" s="626" t="s">
        <v>1632</v>
      </c>
      <c r="E319" s="738" t="s">
        <v>2627</v>
      </c>
      <c r="F319" s="731" t="s">
        <v>3412</v>
      </c>
      <c r="G319" s="732" t="s">
        <v>1585</v>
      </c>
      <c r="H319" s="733" t="s">
        <v>458</v>
      </c>
      <c r="I319" s="739"/>
      <c r="J319" s="735" t="s">
        <v>1570</v>
      </c>
      <c r="K319" s="736"/>
      <c r="L319" s="727"/>
      <c r="M319" s="728"/>
      <c r="N319" s="737" t="s">
        <v>2678</v>
      </c>
      <c r="O319" s="737" t="s">
        <v>3390</v>
      </c>
      <c r="P319" s="626" t="s">
        <v>2207</v>
      </c>
      <c r="Q319" s="732"/>
    </row>
    <row r="320" spans="2:17" s="723" customFormat="1" ht="12" customHeight="1">
      <c r="B320" s="740"/>
      <c r="C320" s="626" t="s">
        <v>2628</v>
      </c>
      <c r="D320" s="626" t="s">
        <v>1769</v>
      </c>
      <c r="E320" s="738" t="s">
        <v>1754</v>
      </c>
      <c r="F320" s="738" t="s">
        <v>3413</v>
      </c>
      <c r="G320" s="732" t="s">
        <v>3377</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3412</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3413</v>
      </c>
      <c r="G323" s="732" t="s">
        <v>2370</v>
      </c>
      <c r="H323" s="733" t="s">
        <v>459</v>
      </c>
      <c r="I323" s="739"/>
      <c r="J323" s="735" t="s">
        <v>2677</v>
      </c>
      <c r="K323" s="736"/>
      <c r="L323" s="727"/>
      <c r="M323" s="728"/>
      <c r="N323" s="737" t="s">
        <v>373</v>
      </c>
      <c r="O323" s="737" t="s">
        <v>3159</v>
      </c>
      <c r="P323" s="626" t="s">
        <v>2211</v>
      </c>
      <c r="Q323" s="732"/>
    </row>
    <row r="324" spans="2:19" s="723" customFormat="1" ht="12" customHeight="1">
      <c r="B324" s="740"/>
      <c r="C324" s="626" t="s">
        <v>2720</v>
      </c>
      <c r="D324" s="626" t="s">
        <v>1769</v>
      </c>
      <c r="E324" s="738" t="s">
        <v>1152</v>
      </c>
      <c r="F324" s="738" t="s">
        <v>3413</v>
      </c>
      <c r="G324" s="732" t="s">
        <v>3374</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3413</v>
      </c>
      <c r="G332" s="732" t="s">
        <v>3114</v>
      </c>
      <c r="H332" s="733" t="s">
        <v>459</v>
      </c>
      <c r="I332" s="739"/>
      <c r="J332" s="735" t="s">
        <v>2871</v>
      </c>
      <c r="K332" s="736"/>
      <c r="L332" s="727"/>
      <c r="M332" s="728"/>
      <c r="N332" s="626" t="s">
        <v>3366</v>
      </c>
      <c r="O332" s="626" t="s">
        <v>2721</v>
      </c>
      <c r="P332" s="1381" t="s">
        <v>2857</v>
      </c>
      <c r="Q332" s="732"/>
    </row>
    <row r="333" spans="2:19" s="723" customFormat="1" ht="12" customHeight="1">
      <c r="B333" s="740"/>
      <c r="C333" s="626" t="s">
        <v>2661</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1381"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3368</v>
      </c>
      <c r="O345" s="626" t="s">
        <v>808</v>
      </c>
      <c r="P345" s="1381" t="s">
        <v>2857</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3266</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1381" t="s">
        <v>2857</v>
      </c>
    </row>
    <row r="354" spans="2:16" s="723" customFormat="1" ht="12" customHeight="1">
      <c r="B354" s="722"/>
      <c r="J354" s="735" t="s">
        <v>1552</v>
      </c>
      <c r="K354" s="736"/>
      <c r="L354" s="727"/>
      <c r="M354" s="728"/>
      <c r="N354" s="626" t="s">
        <v>3370</v>
      </c>
      <c r="O354" s="626" t="s">
        <v>3320</v>
      </c>
      <c r="P354" s="1381"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2600</v>
      </c>
      <c r="O362" s="737" t="s">
        <v>3271</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3384</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2972</v>
      </c>
      <c r="O369" s="626" t="s">
        <v>3317</v>
      </c>
      <c r="P369" s="1381" t="s">
        <v>2857</v>
      </c>
    </row>
    <row r="370" spans="2:16" s="723" customFormat="1" ht="12" customHeight="1">
      <c r="B370" s="722"/>
      <c r="J370" s="735" t="s">
        <v>2645</v>
      </c>
      <c r="K370" s="736"/>
      <c r="L370" s="727"/>
      <c r="M370" s="728"/>
      <c r="N370" s="626" t="s">
        <v>3371</v>
      </c>
      <c r="O370" s="626" t="s">
        <v>2891</v>
      </c>
      <c r="P370" s="1381" t="s">
        <v>2857</v>
      </c>
    </row>
    <row r="371" spans="2:16" s="723" customFormat="1" ht="12" customHeight="1">
      <c r="B371" s="722"/>
      <c r="J371" s="735" t="s">
        <v>2647</v>
      </c>
      <c r="K371" s="736"/>
      <c r="L371" s="727"/>
      <c r="M371" s="728"/>
      <c r="N371" s="626" t="s">
        <v>3372</v>
      </c>
      <c r="O371" s="626" t="s">
        <v>3268</v>
      </c>
      <c r="P371" s="1381" t="s">
        <v>2857</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2719</v>
      </c>
      <c r="P374" s="1381"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2586</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381"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381"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381"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381"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1381" t="s">
        <v>2857</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1381" t="s">
        <v>2857</v>
      </c>
    </row>
    <row r="450" spans="2:16" s="723" customFormat="1" ht="12" customHeight="1">
      <c r="B450" s="722"/>
      <c r="J450" s="735" t="s">
        <v>3037</v>
      </c>
      <c r="K450" s="736"/>
      <c r="L450" s="727"/>
      <c r="M450" s="728"/>
      <c r="N450" s="737" t="s">
        <v>2685</v>
      </c>
      <c r="O450" s="737" t="s">
        <v>3159</v>
      </c>
      <c r="P450" s="728" t="s">
        <v>2271</v>
      </c>
    </row>
    <row r="451" spans="2:16" s="723" customFormat="1" ht="12" customHeight="1">
      <c r="B451" s="722"/>
      <c r="J451" s="735" t="s">
        <v>676</v>
      </c>
      <c r="K451" s="736"/>
      <c r="L451" s="727"/>
      <c r="M451" s="728"/>
      <c r="N451" s="626" t="s">
        <v>1460</v>
      </c>
      <c r="O451" s="626" t="s">
        <v>175</v>
      </c>
      <c r="P451" s="1381" t="s">
        <v>2857</v>
      </c>
    </row>
    <row r="452" spans="2:16" s="723" customFormat="1" ht="12" customHeight="1">
      <c r="B452" s="722"/>
      <c r="J452" s="735" t="s">
        <v>203</v>
      </c>
      <c r="K452" s="736"/>
      <c r="L452" s="727"/>
      <c r="M452" s="728"/>
      <c r="N452" s="737" t="s">
        <v>2687</v>
      </c>
      <c r="O452" s="737" t="s">
        <v>3159</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2517</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3265</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1381" t="s">
        <v>2857</v>
      </c>
    </row>
    <row r="477" spans="2:16" s="723" customFormat="1" ht="12" customHeight="1">
      <c r="B477" s="722"/>
      <c r="J477" s="735" t="s">
        <v>3177</v>
      </c>
      <c r="K477" s="736"/>
      <c r="L477" s="727"/>
      <c r="M477" s="728"/>
      <c r="N477" s="626" t="s">
        <v>1463</v>
      </c>
      <c r="O477" s="626" t="s">
        <v>1518</v>
      </c>
      <c r="P477" s="1381"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2717</v>
      </c>
      <c r="P487" s="1381"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2618</v>
      </c>
      <c r="P504" s="728" t="s">
        <v>2315</v>
      </c>
    </row>
    <row r="505" spans="2:16" s="723" customFormat="1" ht="12" customHeight="1">
      <c r="B505" s="722"/>
      <c r="J505" s="735" t="s">
        <v>1837</v>
      </c>
      <c r="K505" s="736"/>
      <c r="L505" s="727"/>
      <c r="M505" s="728"/>
      <c r="N505" s="626" t="s">
        <v>1465</v>
      </c>
      <c r="O505" s="626" t="s">
        <v>3268</v>
      </c>
      <c r="P505" s="1381"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1381"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381"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2810</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2809</v>
      </c>
      <c r="K551" s="736"/>
      <c r="L551" s="727"/>
      <c r="M551" s="728"/>
      <c r="N551" s="737" t="s">
        <v>3013</v>
      </c>
      <c r="O551" s="737" t="s">
        <v>1627</v>
      </c>
      <c r="P551" s="728" t="s">
        <v>953</v>
      </c>
    </row>
    <row r="552" spans="2:16" s="723" customFormat="1" ht="12" customHeight="1">
      <c r="B552" s="722"/>
      <c r="J552" s="735" t="s">
        <v>2811</v>
      </c>
      <c r="K552" s="736"/>
      <c r="L552" s="727"/>
      <c r="M552" s="728"/>
      <c r="N552" s="626" t="s">
        <v>3013</v>
      </c>
      <c r="O552" s="626" t="s">
        <v>1627</v>
      </c>
      <c r="P552" s="1381"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1381" t="s">
        <v>2857</v>
      </c>
    </row>
    <row r="566" spans="2:16" s="723" customFormat="1" ht="12" customHeight="1">
      <c r="B566" s="722"/>
      <c r="J566" s="735" t="s">
        <v>2043</v>
      </c>
      <c r="K566" s="736"/>
      <c r="L566" s="727"/>
      <c r="M566" s="728"/>
      <c r="N566" s="626" t="s">
        <v>1469</v>
      </c>
      <c r="O566" s="626" t="s">
        <v>808</v>
      </c>
      <c r="P566" s="1381" t="s">
        <v>2857</v>
      </c>
    </row>
    <row r="567" spans="2:16" s="723" customFormat="1" ht="12" customHeight="1">
      <c r="B567" s="722"/>
      <c r="J567" s="735" t="s">
        <v>2045</v>
      </c>
      <c r="K567" s="736"/>
      <c r="L567" s="727"/>
      <c r="M567" s="728"/>
      <c r="N567" s="626" t="s">
        <v>1470</v>
      </c>
      <c r="O567" s="626" t="s">
        <v>808</v>
      </c>
      <c r="P567" s="1381" t="s">
        <v>2857</v>
      </c>
    </row>
    <row r="568" spans="2:16" s="723" customFormat="1" ht="12" customHeight="1">
      <c r="B568" s="722"/>
      <c r="J568" s="735" t="s">
        <v>2047</v>
      </c>
      <c r="K568" s="736"/>
      <c r="L568" s="727"/>
      <c r="M568" s="728"/>
      <c r="N568" s="737" t="s">
        <v>2518</v>
      </c>
      <c r="O568" s="737" t="s">
        <v>3388</v>
      </c>
      <c r="P568" s="728" t="s">
        <v>965</v>
      </c>
    </row>
    <row r="569" spans="2:16" s="723" customFormat="1" ht="12" customHeight="1">
      <c r="B569" s="722"/>
      <c r="J569" s="735" t="s">
        <v>3391</v>
      </c>
      <c r="K569" s="736"/>
      <c r="L569" s="727"/>
      <c r="M569" s="728"/>
      <c r="N569" s="737" t="s">
        <v>2529</v>
      </c>
      <c r="O569" s="737" t="s">
        <v>110</v>
      </c>
      <c r="P569" s="728" t="s">
        <v>966</v>
      </c>
    </row>
    <row r="570" spans="2:16" s="723" customFormat="1" ht="12" customHeight="1">
      <c r="B570" s="722"/>
      <c r="J570" s="735" t="s">
        <v>3221</v>
      </c>
      <c r="K570" s="736"/>
      <c r="L570" s="727"/>
      <c r="M570" s="728"/>
      <c r="N570" s="737" t="s">
        <v>2531</v>
      </c>
      <c r="O570" s="737" t="s">
        <v>2970</v>
      </c>
      <c r="P570" s="728" t="s">
        <v>967</v>
      </c>
    </row>
    <row r="571" spans="2:16" s="723" customFormat="1" ht="12" customHeight="1">
      <c r="B571" s="722"/>
      <c r="J571" s="735" t="s">
        <v>2528</v>
      </c>
      <c r="K571" s="736"/>
      <c r="L571" s="727"/>
      <c r="M571" s="728"/>
      <c r="N571" s="737" t="s">
        <v>2534</v>
      </c>
      <c r="O571" s="737" t="s">
        <v>2970</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3388</v>
      </c>
      <c r="O575" s="737" t="s">
        <v>112</v>
      </c>
      <c r="P575" s="728" t="s">
        <v>972</v>
      </c>
    </row>
    <row r="576" spans="2:16" s="723" customFormat="1" ht="12" customHeight="1">
      <c r="B576" s="722"/>
      <c r="J576" s="735" t="s">
        <v>2537</v>
      </c>
      <c r="K576" s="736"/>
      <c r="L576" s="727"/>
      <c r="M576" s="728"/>
      <c r="N576" s="737" t="s">
        <v>2656</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3389</v>
      </c>
      <c r="O578" s="737" t="s">
        <v>1754</v>
      </c>
      <c r="P578" s="728" t="s">
        <v>975</v>
      </c>
    </row>
    <row r="579" spans="2:16" s="723" customFormat="1" ht="12" customHeight="1">
      <c r="B579" s="722"/>
      <c r="J579" s="735" t="s">
        <v>2542</v>
      </c>
      <c r="K579" s="736"/>
      <c r="L579" s="727"/>
      <c r="M579" s="728"/>
      <c r="N579" s="737" t="s">
        <v>2322</v>
      </c>
      <c r="O579" s="737" t="s">
        <v>2887</v>
      </c>
      <c r="P579" s="728" t="s">
        <v>976</v>
      </c>
    </row>
    <row r="580" spans="2:16" s="723" customFormat="1" ht="12" customHeight="1">
      <c r="B580" s="722"/>
      <c r="J580" s="735" t="s">
        <v>2508</v>
      </c>
      <c r="K580" s="736"/>
      <c r="L580" s="727"/>
      <c r="M580" s="728"/>
      <c r="N580" s="737" t="s">
        <v>1225</v>
      </c>
      <c r="O580" s="737" t="s">
        <v>2894</v>
      </c>
      <c r="P580" s="1380"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3359</v>
      </c>
      <c r="S595" s="626" t="s">
        <v>808</v>
      </c>
      <c r="T595" s="1381" t="s">
        <v>2857</v>
      </c>
    </row>
    <row r="596" spans="2:20" s="723" customFormat="1" ht="12" customHeight="1">
      <c r="B596" s="722"/>
      <c r="J596" s="735" t="s">
        <v>1884</v>
      </c>
      <c r="K596" s="736"/>
      <c r="L596" s="727"/>
      <c r="M596" s="728"/>
      <c r="N596" s="626" t="s">
        <v>1472</v>
      </c>
      <c r="O596" s="626" t="s">
        <v>2349</v>
      </c>
      <c r="P596" s="1381" t="s">
        <v>2857</v>
      </c>
      <c r="R596" s="626" t="s">
        <v>3360</v>
      </c>
      <c r="S596" s="626" t="s">
        <v>351</v>
      </c>
      <c r="T596" s="1381"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1381" t="s">
        <v>2857</v>
      </c>
    </row>
    <row r="598" spans="2:20" s="723" customFormat="1" ht="12" customHeight="1">
      <c r="B598" s="722"/>
      <c r="J598" s="735" t="s">
        <v>2015</v>
      </c>
      <c r="K598" s="736"/>
      <c r="L598" s="727"/>
      <c r="M598" s="728"/>
      <c r="N598" s="737" t="s">
        <v>2016</v>
      </c>
      <c r="O598" s="737" t="s">
        <v>347</v>
      </c>
      <c r="P598" s="728" t="s">
        <v>990</v>
      </c>
      <c r="R598" s="626" t="s">
        <v>3362</v>
      </c>
      <c r="S598" s="626"/>
      <c r="T598" s="1381" t="s">
        <v>2857</v>
      </c>
    </row>
    <row r="599" spans="2:20" s="723" customFormat="1" ht="12" customHeight="1">
      <c r="B599" s="722"/>
      <c r="J599" s="735" t="s">
        <v>2017</v>
      </c>
      <c r="K599" s="736"/>
      <c r="L599" s="727"/>
      <c r="M599" s="728"/>
      <c r="N599" s="737" t="s">
        <v>2767</v>
      </c>
      <c r="O599" s="737" t="s">
        <v>1350</v>
      </c>
      <c r="P599" s="728" t="s">
        <v>991</v>
      </c>
      <c r="R599" s="626" t="s">
        <v>3363</v>
      </c>
      <c r="S599" s="626" t="s">
        <v>2719</v>
      </c>
      <c r="T599" s="1381" t="s">
        <v>2857</v>
      </c>
    </row>
    <row r="600" spans="2:20" s="723" customFormat="1" ht="12" customHeight="1">
      <c r="B600" s="722"/>
      <c r="J600" s="735" t="s">
        <v>2766</v>
      </c>
      <c r="K600" s="736"/>
      <c r="L600" s="727"/>
      <c r="M600" s="728"/>
      <c r="N600" s="737" t="s">
        <v>2578</v>
      </c>
      <c r="O600" s="737" t="s">
        <v>2661</v>
      </c>
      <c r="P600" s="728" t="s">
        <v>992</v>
      </c>
      <c r="R600" s="626" t="s">
        <v>3364</v>
      </c>
      <c r="S600" s="626" t="s">
        <v>3265</v>
      </c>
      <c r="T600" s="1381" t="s">
        <v>2857</v>
      </c>
    </row>
    <row r="601" spans="2:20" s="723" customFormat="1" ht="12" customHeight="1">
      <c r="B601" s="722"/>
      <c r="J601" s="735" t="s">
        <v>2577</v>
      </c>
      <c r="K601" s="736"/>
      <c r="L601" s="727"/>
      <c r="M601" s="728"/>
      <c r="N601" s="737" t="s">
        <v>307</v>
      </c>
      <c r="O601" s="737" t="s">
        <v>2661</v>
      </c>
      <c r="P601" s="728" t="s">
        <v>993</v>
      </c>
      <c r="R601" s="626" t="s">
        <v>3365</v>
      </c>
      <c r="S601" s="626" t="s">
        <v>1761</v>
      </c>
      <c r="T601" s="1381" t="s">
        <v>2857</v>
      </c>
    </row>
    <row r="602" spans="2:20" s="723" customFormat="1" ht="12" customHeight="1">
      <c r="B602" s="722"/>
      <c r="J602" s="735" t="s">
        <v>306</v>
      </c>
      <c r="K602" s="736"/>
      <c r="L602" s="727"/>
      <c r="M602" s="728"/>
      <c r="N602" s="737" t="s">
        <v>2375</v>
      </c>
      <c r="O602" s="737" t="s">
        <v>2896</v>
      </c>
      <c r="P602" s="728" t="s">
        <v>994</v>
      </c>
      <c r="R602" s="626" t="s">
        <v>3366</v>
      </c>
      <c r="S602" s="626" t="s">
        <v>2721</v>
      </c>
      <c r="T602" s="1381"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1381" t="s">
        <v>2857</v>
      </c>
    </row>
    <row r="604" spans="2:20" s="723" customFormat="1" ht="12" customHeight="1">
      <c r="B604" s="722"/>
      <c r="J604" s="735" t="s">
        <v>287</v>
      </c>
      <c r="K604" s="736"/>
      <c r="L604" s="727"/>
      <c r="M604" s="728"/>
      <c r="N604" s="737" t="s">
        <v>1598</v>
      </c>
      <c r="O604" s="737" t="s">
        <v>175</v>
      </c>
      <c r="P604" s="728" t="s">
        <v>996</v>
      </c>
      <c r="R604" s="626" t="s">
        <v>3368</v>
      </c>
      <c r="S604" s="626" t="s">
        <v>808</v>
      </c>
      <c r="T604" s="1381" t="s">
        <v>2857</v>
      </c>
    </row>
    <row r="605" spans="2:20" s="723" customFormat="1" ht="12" customHeight="1">
      <c r="B605" s="722"/>
      <c r="J605" s="735" t="s">
        <v>303</v>
      </c>
      <c r="K605" s="736"/>
      <c r="L605" s="727"/>
      <c r="M605" s="728"/>
      <c r="N605" s="737" t="s">
        <v>1600</v>
      </c>
      <c r="O605" s="737" t="s">
        <v>175</v>
      </c>
      <c r="P605" s="728" t="s">
        <v>997</v>
      </c>
      <c r="R605" s="626" t="s">
        <v>3369</v>
      </c>
      <c r="S605" s="626" t="s">
        <v>2891</v>
      </c>
      <c r="T605" s="1381"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1381"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1381"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1381"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1381" t="s">
        <v>2857</v>
      </c>
    </row>
    <row r="610" spans="2:20" s="723" customFormat="1" ht="12" customHeight="1">
      <c r="B610" s="722"/>
      <c r="J610" s="735" t="s">
        <v>1432</v>
      </c>
      <c r="K610" s="736"/>
      <c r="L610" s="727"/>
      <c r="M610" s="728"/>
      <c r="N610" s="737" t="s">
        <v>2514</v>
      </c>
      <c r="O610" s="737" t="s">
        <v>116</v>
      </c>
      <c r="P610" s="1380" t="s">
        <v>1218</v>
      </c>
      <c r="R610" s="626" t="s">
        <v>3373</v>
      </c>
      <c r="S610" s="626" t="s">
        <v>2719</v>
      </c>
      <c r="T610" s="1381" t="s">
        <v>2857</v>
      </c>
    </row>
    <row r="611" spans="2:20" s="723" customFormat="1" ht="12" customHeight="1">
      <c r="B611" s="722"/>
      <c r="J611" s="735" t="s">
        <v>2513</v>
      </c>
      <c r="K611" s="736"/>
      <c r="L611" s="727"/>
      <c r="M611" s="728"/>
      <c r="N611" s="737" t="s">
        <v>1507</v>
      </c>
      <c r="O611" s="737" t="s">
        <v>1036</v>
      </c>
      <c r="P611" s="728" t="s">
        <v>1002</v>
      </c>
      <c r="R611" s="626" t="s">
        <v>1453</v>
      </c>
      <c r="S611" s="626" t="s">
        <v>1902</v>
      </c>
      <c r="T611" s="1381" t="s">
        <v>2857</v>
      </c>
    </row>
    <row r="612" spans="2:20" s="723" customFormat="1" ht="12" customHeight="1">
      <c r="B612" s="722"/>
      <c r="J612" s="735" t="s">
        <v>2515</v>
      </c>
      <c r="K612" s="736"/>
      <c r="L612" s="727"/>
      <c r="M612" s="728"/>
      <c r="N612" s="626" t="s">
        <v>1473</v>
      </c>
      <c r="O612" s="626" t="s">
        <v>1352</v>
      </c>
      <c r="P612" s="1381" t="s">
        <v>2857</v>
      </c>
      <c r="R612" s="626" t="s">
        <v>1300</v>
      </c>
      <c r="S612" s="626" t="s">
        <v>1511</v>
      </c>
      <c r="T612" s="1381" t="s">
        <v>2857</v>
      </c>
    </row>
    <row r="613" spans="2:20" s="723" customFormat="1" ht="12" customHeight="1">
      <c r="B613" s="722"/>
      <c r="J613" s="735" t="s">
        <v>2516</v>
      </c>
      <c r="K613" s="736"/>
      <c r="L613" s="727"/>
      <c r="M613" s="728"/>
      <c r="N613" s="737" t="s">
        <v>1511</v>
      </c>
      <c r="O613" s="737" t="s">
        <v>1758</v>
      </c>
      <c r="P613" s="728" t="s">
        <v>1003</v>
      </c>
      <c r="R613" s="626" t="s">
        <v>1454</v>
      </c>
      <c r="S613" s="626" t="s">
        <v>808</v>
      </c>
      <c r="T613" s="1381" t="s">
        <v>2857</v>
      </c>
    </row>
    <row r="614" spans="2:20" s="723" customFormat="1" ht="12" customHeight="1">
      <c r="B614" s="722"/>
      <c r="J614" s="735" t="s">
        <v>1547</v>
      </c>
      <c r="K614" s="736"/>
      <c r="L614" s="727"/>
      <c r="M614" s="728"/>
      <c r="N614" s="737" t="s">
        <v>437</v>
      </c>
      <c r="O614" s="737" t="s">
        <v>853</v>
      </c>
      <c r="P614" s="728" t="s">
        <v>1004</v>
      </c>
      <c r="R614" s="626" t="s">
        <v>1455</v>
      </c>
      <c r="S614" s="626" t="s">
        <v>2620</v>
      </c>
      <c r="T614" s="1381" t="s">
        <v>2857</v>
      </c>
    </row>
    <row r="615" spans="2:20" s="723" customFormat="1" ht="12" customHeight="1">
      <c r="B615" s="722"/>
      <c r="J615" s="735" t="s">
        <v>436</v>
      </c>
      <c r="K615" s="736"/>
      <c r="L615" s="727"/>
      <c r="M615" s="728"/>
      <c r="N615" s="626" t="s">
        <v>1474</v>
      </c>
      <c r="O615" s="626" t="s">
        <v>128</v>
      </c>
      <c r="P615" s="1381" t="s">
        <v>2857</v>
      </c>
      <c r="R615" s="626" t="s">
        <v>1456</v>
      </c>
      <c r="S615" s="626" t="s">
        <v>2717</v>
      </c>
      <c r="T615" s="1381" t="s">
        <v>2857</v>
      </c>
    </row>
    <row r="616" spans="2:20" s="723" customFormat="1" ht="12" customHeight="1">
      <c r="B616" s="722"/>
      <c r="J616" s="735" t="s">
        <v>4</v>
      </c>
      <c r="K616" s="736"/>
      <c r="L616" s="727"/>
      <c r="M616" s="728"/>
      <c r="N616" s="737" t="s">
        <v>5</v>
      </c>
      <c r="O616" s="737" t="s">
        <v>1751</v>
      </c>
      <c r="P616" s="728" t="s">
        <v>5</v>
      </c>
      <c r="R616" s="626" t="s">
        <v>1457</v>
      </c>
      <c r="S616" s="626" t="s">
        <v>1504</v>
      </c>
      <c r="T616" s="1381" t="s">
        <v>2857</v>
      </c>
    </row>
    <row r="617" spans="2:20" s="723" customFormat="1" ht="12" customHeight="1">
      <c r="B617" s="722"/>
      <c r="J617" s="735" t="s">
        <v>6</v>
      </c>
      <c r="K617" s="736"/>
      <c r="L617" s="727"/>
      <c r="M617" s="728"/>
      <c r="N617" s="737" t="s">
        <v>7</v>
      </c>
      <c r="O617" s="737" t="s">
        <v>3157</v>
      </c>
      <c r="P617" s="728" t="s">
        <v>1005</v>
      </c>
      <c r="Q617" s="1382"/>
      <c r="R617" s="626" t="s">
        <v>1458</v>
      </c>
      <c r="S617" s="626" t="s">
        <v>1977</v>
      </c>
      <c r="T617" s="1381" t="s">
        <v>2857</v>
      </c>
    </row>
    <row r="618" spans="2:20" s="723" customFormat="1" ht="12" customHeight="1">
      <c r="B618" s="722"/>
      <c r="J618" s="735" t="s">
        <v>8</v>
      </c>
      <c r="K618" s="736"/>
      <c r="L618" s="727"/>
      <c r="M618" s="728"/>
      <c r="N618" s="737" t="s">
        <v>9</v>
      </c>
      <c r="O618" s="737" t="s">
        <v>2626</v>
      </c>
      <c r="P618" s="728" t="s">
        <v>1006</v>
      </c>
      <c r="R618" s="626" t="s">
        <v>1459</v>
      </c>
      <c r="S618" s="626" t="s">
        <v>3265</v>
      </c>
      <c r="T618" s="1381" t="s">
        <v>2857</v>
      </c>
    </row>
    <row r="619" spans="2:20" s="723" customFormat="1" ht="12" customHeight="1">
      <c r="B619" s="722"/>
      <c r="J619" s="735" t="s">
        <v>10</v>
      </c>
      <c r="K619" s="736"/>
      <c r="L619" s="727"/>
      <c r="M619" s="728"/>
      <c r="N619" s="626" t="s">
        <v>1475</v>
      </c>
      <c r="O619" s="626" t="s">
        <v>808</v>
      </c>
      <c r="P619" s="1381" t="s">
        <v>2857</v>
      </c>
      <c r="R619" s="626" t="s">
        <v>1460</v>
      </c>
      <c r="S619" s="626" t="s">
        <v>175</v>
      </c>
      <c r="T619" s="1381" t="s">
        <v>2857</v>
      </c>
    </row>
    <row r="620" spans="2:20" s="723" customFormat="1" ht="12" customHeight="1">
      <c r="B620" s="722"/>
      <c r="J620" s="735" t="s">
        <v>2860</v>
      </c>
      <c r="K620" s="736"/>
      <c r="L620" s="727"/>
      <c r="M620" s="728"/>
      <c r="N620" s="626" t="s">
        <v>1476</v>
      </c>
      <c r="O620" s="626" t="s">
        <v>348</v>
      </c>
      <c r="P620" s="1381" t="s">
        <v>2857</v>
      </c>
      <c r="R620" s="626" t="s">
        <v>1461</v>
      </c>
      <c r="S620" s="626" t="s">
        <v>1768</v>
      </c>
      <c r="T620" s="1381"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1381"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1381" t="s">
        <v>2857</v>
      </c>
    </row>
    <row r="623" spans="2:20" s="723" customFormat="1" ht="12" customHeight="1">
      <c r="B623" s="722"/>
      <c r="J623" s="735" t="s">
        <v>2866</v>
      </c>
      <c r="K623" s="736"/>
      <c r="L623" s="727"/>
      <c r="M623" s="728"/>
      <c r="N623" s="737" t="s">
        <v>2863</v>
      </c>
      <c r="O623" s="737" t="s">
        <v>192</v>
      </c>
      <c r="P623" s="728" t="s">
        <v>1009</v>
      </c>
      <c r="R623" s="626" t="s">
        <v>1464</v>
      </c>
      <c r="S623" s="626" t="s">
        <v>2717</v>
      </c>
      <c r="T623" s="1381"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1381"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1381" t="s">
        <v>2857</v>
      </c>
    </row>
    <row r="626" spans="2:20" s="723" customFormat="1" ht="12" customHeight="1">
      <c r="B626" s="722"/>
      <c r="J626" s="735" t="s">
        <v>2729</v>
      </c>
      <c r="K626" s="736"/>
      <c r="L626" s="727"/>
      <c r="M626" s="728"/>
      <c r="N626" s="737" t="s">
        <v>93</v>
      </c>
      <c r="O626" s="737" t="s">
        <v>127</v>
      </c>
      <c r="P626" s="728" t="s">
        <v>1012</v>
      </c>
      <c r="R626" s="626" t="s">
        <v>2072</v>
      </c>
      <c r="S626" s="626" t="s">
        <v>3317</v>
      </c>
      <c r="T626" s="1381" t="s">
        <v>2857</v>
      </c>
    </row>
    <row r="627" spans="2:20" s="723" customFormat="1" ht="12" customHeight="1">
      <c r="B627" s="722"/>
      <c r="J627" s="735" t="s">
        <v>1971</v>
      </c>
      <c r="K627" s="736"/>
      <c r="L627" s="727"/>
      <c r="M627" s="728"/>
      <c r="N627" s="737" t="s">
        <v>1970</v>
      </c>
      <c r="O627" s="737" t="s">
        <v>2904</v>
      </c>
      <c r="P627" s="728" t="s">
        <v>1013</v>
      </c>
      <c r="R627" s="626" t="s">
        <v>1466</v>
      </c>
      <c r="S627" s="626"/>
      <c r="T627" s="1381" t="s">
        <v>2857</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2857</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1381" t="s">
        <v>2857</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2857</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2857</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2857</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1381"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1381"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1381" t="s">
        <v>2857</v>
      </c>
    </row>
    <row r="638" spans="2:20" s="723" customFormat="1" ht="12" customHeight="1">
      <c r="B638" s="722"/>
      <c r="J638" s="735" t="s">
        <v>1594</v>
      </c>
      <c r="K638" s="736"/>
      <c r="L638" s="727"/>
      <c r="M638" s="728"/>
      <c r="N638" s="626" t="s">
        <v>1477</v>
      </c>
      <c r="O638" s="626" t="s">
        <v>352</v>
      </c>
      <c r="P638" s="1381" t="s">
        <v>2857</v>
      </c>
      <c r="R638" s="626" t="s">
        <v>1475</v>
      </c>
      <c r="S638" s="626" t="s">
        <v>808</v>
      </c>
      <c r="T638" s="1381" t="s">
        <v>2857</v>
      </c>
    </row>
    <row r="639" spans="2:20" s="723" customFormat="1" ht="12" customHeight="1">
      <c r="B639" s="722"/>
      <c r="J639" s="735" t="s">
        <v>1447</v>
      </c>
      <c r="K639" s="736"/>
      <c r="L639" s="727"/>
      <c r="M639" s="728"/>
      <c r="N639" s="737" t="s">
        <v>1595</v>
      </c>
      <c r="O639" s="737" t="s">
        <v>2661</v>
      </c>
      <c r="P639" s="728" t="s">
        <v>1024</v>
      </c>
      <c r="R639" s="626" t="s">
        <v>1476</v>
      </c>
      <c r="S639" s="626" t="s">
        <v>348</v>
      </c>
      <c r="T639" s="1381"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1381"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1381"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1381" t="s">
        <v>2857</v>
      </c>
    </row>
    <row r="644" spans="2:20" s="723" customFormat="1" ht="12" customHeight="1">
      <c r="B644" s="722"/>
      <c r="J644" s="735" t="s">
        <v>2464</v>
      </c>
      <c r="K644" s="736"/>
      <c r="L644" s="727"/>
      <c r="M644" s="728"/>
      <c r="N644" s="737" t="s">
        <v>3308</v>
      </c>
      <c r="O644" s="737" t="s">
        <v>2719</v>
      </c>
      <c r="P644" s="728" t="s">
        <v>1029</v>
      </c>
      <c r="R644" s="626" t="s">
        <v>1480</v>
      </c>
      <c r="S644" s="626" t="s">
        <v>808</v>
      </c>
      <c r="T644" s="1381"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1381" t="s">
        <v>2857</v>
      </c>
    </row>
    <row r="646" spans="2:20" s="723" customFormat="1" ht="12" customHeight="1">
      <c r="B646" s="722"/>
      <c r="J646" s="735" t="s">
        <v>2881</v>
      </c>
      <c r="K646" s="736"/>
      <c r="L646" s="727"/>
      <c r="M646" s="728"/>
      <c r="N646" s="737" t="s">
        <v>2215</v>
      </c>
      <c r="O646" s="737" t="s">
        <v>846</v>
      </c>
      <c r="P646" s="728" t="s">
        <v>642</v>
      </c>
      <c r="R646" s="626" t="s">
        <v>1482</v>
      </c>
      <c r="S646" s="626" t="s">
        <v>175</v>
      </c>
      <c r="T646" s="1381" t="s">
        <v>2857</v>
      </c>
    </row>
    <row r="647" spans="2:20" s="723" customFormat="1" ht="12" customHeight="1">
      <c r="B647" s="722"/>
      <c r="J647" s="735" t="s">
        <v>2213</v>
      </c>
      <c r="K647" s="736"/>
      <c r="L647" s="727"/>
      <c r="M647" s="728"/>
      <c r="N647" s="737" t="s">
        <v>1226</v>
      </c>
      <c r="O647" s="737" t="s">
        <v>1747</v>
      </c>
      <c r="P647" s="1380" t="s">
        <v>1218</v>
      </c>
      <c r="R647" s="626" t="s">
        <v>1483</v>
      </c>
      <c r="S647" s="626" t="s">
        <v>2620</v>
      </c>
      <c r="T647" s="1381" t="s">
        <v>2857</v>
      </c>
    </row>
    <row r="648" spans="2:20" s="723" customFormat="1" ht="12" customHeight="1">
      <c r="B648" s="722"/>
      <c r="J648" s="735" t="s">
        <v>2214</v>
      </c>
      <c r="K648" s="736"/>
      <c r="L648" s="727"/>
      <c r="M648" s="728"/>
      <c r="N648" s="626" t="s">
        <v>1226</v>
      </c>
      <c r="O648" s="626" t="s">
        <v>1747</v>
      </c>
      <c r="P648" s="1381" t="s">
        <v>2857</v>
      </c>
      <c r="R648" s="626" t="s">
        <v>1484</v>
      </c>
      <c r="S648" s="626" t="s">
        <v>2717</v>
      </c>
      <c r="T648" s="1381"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1381"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2857</v>
      </c>
    </row>
    <row r="651" spans="2:20" s="723" customFormat="1" ht="12" customHeight="1">
      <c r="B651" s="722"/>
      <c r="J651" s="735" t="s">
        <v>2219</v>
      </c>
      <c r="K651" s="736"/>
      <c r="L651" s="727"/>
      <c r="M651" s="728"/>
      <c r="N651" s="626" t="s">
        <v>1479</v>
      </c>
      <c r="O651" s="626" t="s">
        <v>1977</v>
      </c>
      <c r="P651" s="1381" t="s">
        <v>2857</v>
      </c>
      <c r="R651" s="626" t="s">
        <v>1487</v>
      </c>
      <c r="S651" s="626" t="s">
        <v>3268</v>
      </c>
      <c r="T651" s="1381" t="s">
        <v>2857</v>
      </c>
    </row>
    <row r="652" spans="2:20" s="723" customFormat="1" ht="12" customHeight="1">
      <c r="B652" s="722"/>
      <c r="J652" s="735" t="s">
        <v>2220</v>
      </c>
      <c r="K652" s="736"/>
      <c r="L652" s="727"/>
      <c r="M652" s="728"/>
      <c r="N652" s="737" t="s">
        <v>3182</v>
      </c>
      <c r="O652" s="737" t="s">
        <v>112</v>
      </c>
      <c r="P652" s="728" t="s">
        <v>644</v>
      </c>
      <c r="R652" s="626" t="s">
        <v>1488</v>
      </c>
      <c r="S652" s="626" t="s">
        <v>175</v>
      </c>
      <c r="T652" s="1381" t="s">
        <v>2857</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2857</v>
      </c>
    </row>
    <row r="654" spans="2:20" s="723" customFormat="1" ht="12" customHeight="1">
      <c r="B654" s="722"/>
      <c r="J654" s="735" t="s">
        <v>3183</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1381"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2857</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3268</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3325</v>
      </c>
      <c r="O676" s="737" t="s">
        <v>2622</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1381"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2970</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2970</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2620</v>
      </c>
      <c r="P693" s="1381" t="s">
        <v>2857</v>
      </c>
    </row>
    <row r="694" spans="2:16" s="723" customFormat="1" ht="12" customHeight="1">
      <c r="B694" s="722"/>
      <c r="J694" s="735" t="s">
        <v>3286</v>
      </c>
      <c r="K694" s="736"/>
      <c r="L694" s="727"/>
      <c r="M694" s="728"/>
      <c r="N694" s="626" t="s">
        <v>1484</v>
      </c>
      <c r="O694" s="626" t="s">
        <v>2717</v>
      </c>
      <c r="P694" s="1381" t="s">
        <v>2857</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3040</v>
      </c>
      <c r="O696" s="737" t="s">
        <v>127</v>
      </c>
      <c r="P696" s="728" t="s">
        <v>473</v>
      </c>
    </row>
    <row r="697" spans="2:16" s="723" customFormat="1" ht="12" customHeight="1">
      <c r="B697" s="722"/>
      <c r="J697" s="735" t="s">
        <v>2612</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2626</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2985</v>
      </c>
      <c r="K704" s="736"/>
      <c r="L704" s="727"/>
      <c r="M704" s="728"/>
      <c r="N704" s="737" t="s">
        <v>2680</v>
      </c>
      <c r="O704" s="737" t="s">
        <v>128</v>
      </c>
      <c r="P704" s="728" t="s">
        <v>481</v>
      </c>
    </row>
    <row r="705" spans="2:17" s="723" customFormat="1" ht="12" customHeight="1">
      <c r="B705" s="722"/>
      <c r="J705" s="735" t="s">
        <v>2987</v>
      </c>
      <c r="K705" s="736"/>
      <c r="L705" s="727"/>
      <c r="M705" s="728"/>
      <c r="N705" s="737" t="s">
        <v>2682</v>
      </c>
      <c r="O705" s="737" t="s">
        <v>355</v>
      </c>
      <c r="P705" s="728" t="s">
        <v>482</v>
      </c>
      <c r="Q705" s="1382"/>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80"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3064</v>
      </c>
      <c r="O713" s="737" t="s">
        <v>2584</v>
      </c>
      <c r="P713" s="728" t="s">
        <v>488</v>
      </c>
    </row>
    <row r="714" spans="2:17" s="723" customFormat="1" ht="12" customHeight="1">
      <c r="B714" s="722"/>
      <c r="J714" s="735" t="s">
        <v>2812</v>
      </c>
      <c r="K714" s="736"/>
      <c r="L714" s="727"/>
      <c r="M714" s="728"/>
      <c r="N714" s="737" t="s">
        <v>3065</v>
      </c>
      <c r="O714" s="737" t="s">
        <v>175</v>
      </c>
      <c r="P714" s="728" t="s">
        <v>489</v>
      </c>
    </row>
    <row r="715" spans="2:17" s="723" customFormat="1" ht="12" customHeight="1">
      <c r="B715" s="722"/>
      <c r="J715" s="735" t="s">
        <v>2839</v>
      </c>
      <c r="K715" s="736"/>
      <c r="L715" s="727"/>
      <c r="M715" s="728"/>
      <c r="N715" s="737" t="s">
        <v>3066</v>
      </c>
      <c r="O715" s="737" t="s">
        <v>2349</v>
      </c>
      <c r="P715" s="728" t="s">
        <v>490</v>
      </c>
    </row>
    <row r="716" spans="2:17" s="723" customFormat="1" ht="12" customHeight="1">
      <c r="B716" s="722"/>
      <c r="J716" s="820"/>
      <c r="K716" s="821"/>
      <c r="L716" s="821"/>
      <c r="M716" s="822"/>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2857</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2857</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1381"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J104:L104"/>
    <mergeCell ref="J32:K32"/>
    <mergeCell ref="E88:L88"/>
    <mergeCell ref="E90:G90"/>
    <mergeCell ref="H65:I65"/>
    <mergeCell ref="I37:K37"/>
    <mergeCell ref="K65:L65"/>
    <mergeCell ref="J35:L35"/>
    <mergeCell ref="I92:J92"/>
    <mergeCell ref="I91:K91"/>
    <mergeCell ref="K90:L90"/>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 right="0.2" top="0.5" bottom="0.5" header="0.3" footer="0.3"/>
  <pageSetup fitToHeight="0" orientation="landscape" r:id="rId3"/>
  <headerFooter>
    <oddHeader>&amp;LGeorgia Department of Community Affairs&amp;RHousing  Finance and Development Division</oddHeader>
    <oddFooter>&amp;C&amp;9&amp;P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44" t="str">
        <f>CONCATENATE("PART TWO - DEVELOPMENT TEAM INFORMATION","  -  ",'Part I-Project Information'!$O$4," ",'Part I-Project Information'!$F$23,", ",'Part I-Project Information'!F26,", ",'Part I-Project Information'!J27," County")</f>
        <v>PART TWO - DEVELOPMENT TEAM INFORMATION  -  2013-001 Forest Mill Apartments, West Point, Troup County</v>
      </c>
      <c r="B1" s="845"/>
      <c r="C1" s="845"/>
      <c r="D1" s="845"/>
      <c r="E1" s="845"/>
      <c r="F1" s="845"/>
      <c r="G1" s="845"/>
      <c r="H1" s="845"/>
      <c r="I1" s="845"/>
      <c r="J1" s="845"/>
      <c r="K1" s="845"/>
      <c r="L1" s="845"/>
      <c r="M1" s="845"/>
      <c r="N1" s="845"/>
      <c r="O1" s="845"/>
      <c r="P1" s="845"/>
      <c r="Q1" s="845"/>
      <c r="R1" s="845"/>
      <c r="S1" s="84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293" t="s">
        <v>4119</v>
      </c>
      <c r="I5" s="1354"/>
      <c r="J5" s="1354"/>
      <c r="K5" s="1354"/>
      <c r="L5" s="1354"/>
      <c r="M5" s="1354"/>
      <c r="N5" s="1355"/>
      <c r="O5" s="781" t="s">
        <v>2701</v>
      </c>
      <c r="P5" s="781"/>
      <c r="Q5" s="1293" t="s">
        <v>4068</v>
      </c>
      <c r="R5" s="1354"/>
      <c r="S5" s="1355"/>
    </row>
    <row r="6" spans="1:26" s="386" customFormat="1" ht="12.6" customHeight="1">
      <c r="D6" s="431"/>
      <c r="E6" s="392" t="s">
        <v>1424</v>
      </c>
      <c r="F6" s="400"/>
      <c r="H6" s="1293" t="s">
        <v>4064</v>
      </c>
      <c r="I6" s="1354"/>
      <c r="J6" s="1354"/>
      <c r="K6" s="1354"/>
      <c r="L6" s="1354"/>
      <c r="M6" s="1354"/>
      <c r="N6" s="1355"/>
      <c r="O6" s="781" t="s">
        <v>2441</v>
      </c>
      <c r="Q6" s="1293" t="s">
        <v>4069</v>
      </c>
      <c r="R6" s="1354"/>
      <c r="S6" s="1355"/>
    </row>
    <row r="7" spans="1:26" s="386" customFormat="1" ht="12.6" customHeight="1">
      <c r="D7" s="431"/>
      <c r="E7" s="392" t="s">
        <v>798</v>
      </c>
      <c r="H7" s="1293" t="s">
        <v>4065</v>
      </c>
      <c r="I7" s="1354"/>
      <c r="J7" s="1355"/>
      <c r="K7" s="1383" t="s">
        <v>1068</v>
      </c>
      <c r="L7" s="1293" t="s">
        <v>4130</v>
      </c>
      <c r="M7" s="1354"/>
      <c r="N7" s="1355"/>
      <c r="O7" s="781" t="s">
        <v>2499</v>
      </c>
      <c r="Q7" s="1301">
        <v>2567609657</v>
      </c>
      <c r="R7" s="1306"/>
      <c r="S7" s="1302"/>
    </row>
    <row r="8" spans="1:26" s="386" customFormat="1" ht="12.6" customHeight="1">
      <c r="D8" s="431"/>
      <c r="E8" s="392" t="s">
        <v>2495</v>
      </c>
      <c r="H8" s="1307" t="s">
        <v>1232</v>
      </c>
      <c r="I8" s="789" t="s">
        <v>1711</v>
      </c>
      <c r="J8" s="1304">
        <v>356303731</v>
      </c>
      <c r="K8" s="1355"/>
      <c r="L8" s="351" t="s">
        <v>3743</v>
      </c>
      <c r="M8" s="1384">
        <v>101</v>
      </c>
      <c r="N8" s="1385"/>
      <c r="O8" s="781" t="s">
        <v>2690</v>
      </c>
      <c r="Q8" s="1301">
        <v>2563354030</v>
      </c>
      <c r="R8" s="1306"/>
      <c r="S8" s="1302"/>
    </row>
    <row r="9" spans="1:26" s="386" customFormat="1" ht="12.6" customHeight="1">
      <c r="D9" s="431"/>
      <c r="E9" s="392" t="s">
        <v>2696</v>
      </c>
      <c r="H9" s="1301">
        <v>2567609657</v>
      </c>
      <c r="I9" s="1302"/>
      <c r="J9" s="1386"/>
      <c r="K9" s="789" t="s">
        <v>2498</v>
      </c>
      <c r="L9" s="1340">
        <v>2567675804</v>
      </c>
      <c r="M9" s="1387"/>
      <c r="N9" s="394" t="s">
        <v>2695</v>
      </c>
      <c r="O9" s="1308" t="s">
        <v>4066</v>
      </c>
      <c r="P9" s="1309"/>
      <c r="Q9" s="1309"/>
      <c r="R9" s="1309"/>
      <c r="S9" s="1310"/>
    </row>
    <row r="10" spans="1:26" s="386" customFormat="1" ht="13.15" customHeight="1">
      <c r="D10" s="431"/>
      <c r="E10" s="377" t="s">
        <v>3742</v>
      </c>
      <c r="H10" s="425"/>
      <c r="K10" s="351" t="s">
        <v>3744</v>
      </c>
      <c r="M10" s="1356" t="s">
        <v>4129</v>
      </c>
      <c r="N10" s="472" t="s">
        <v>1712</v>
      </c>
      <c r="Q10" s="789"/>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3915</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3954</v>
      </c>
      <c r="P14" s="763" t="s">
        <v>3953</v>
      </c>
      <c r="W14" s="1389"/>
      <c r="X14" s="1389"/>
      <c r="Y14" s="1389"/>
      <c r="Z14" s="1389"/>
    </row>
    <row r="15" spans="1:26" s="386" customFormat="1" ht="4.1500000000000004" customHeight="1">
      <c r="D15" s="433"/>
      <c r="E15" s="434"/>
      <c r="H15" s="1390"/>
      <c r="I15" s="1390"/>
      <c r="J15" s="1390"/>
      <c r="K15" s="782"/>
      <c r="L15" s="1390"/>
      <c r="M15" s="1390"/>
      <c r="N15" s="782"/>
      <c r="O15" s="1391"/>
      <c r="P15" s="1391"/>
      <c r="Q15" s="789"/>
      <c r="R15" s="1391"/>
      <c r="S15" s="1391"/>
    </row>
    <row r="16" spans="1:26" s="386" customFormat="1" ht="12.6" customHeight="1">
      <c r="D16" s="389" t="s">
        <v>2831</v>
      </c>
      <c r="E16" s="386" t="s">
        <v>2560</v>
      </c>
      <c r="H16" s="1293" t="s">
        <v>4120</v>
      </c>
      <c r="I16" s="1354"/>
      <c r="J16" s="1354"/>
      <c r="K16" s="1354"/>
      <c r="L16" s="1354"/>
      <c r="M16" s="1354"/>
      <c r="N16" s="1355"/>
      <c r="O16" s="781" t="s">
        <v>2701</v>
      </c>
      <c r="P16" s="781"/>
      <c r="Q16" s="1293" t="s">
        <v>4068</v>
      </c>
      <c r="R16" s="1354"/>
      <c r="S16" s="1355"/>
    </row>
    <row r="17" spans="4:19" s="386" customFormat="1" ht="12.6" customHeight="1">
      <c r="D17" s="431"/>
      <c r="E17" s="392" t="s">
        <v>1424</v>
      </c>
      <c r="F17" s="400"/>
      <c r="H17" s="1293" t="s">
        <v>4064</v>
      </c>
      <c r="I17" s="1354"/>
      <c r="J17" s="1354"/>
      <c r="K17" s="1354"/>
      <c r="L17" s="1354"/>
      <c r="M17" s="1354"/>
      <c r="N17" s="1355"/>
      <c r="O17" s="781" t="s">
        <v>2441</v>
      </c>
      <c r="Q17" s="1293" t="s">
        <v>4069</v>
      </c>
      <c r="R17" s="1354"/>
      <c r="S17" s="1355"/>
    </row>
    <row r="18" spans="4:19" s="386" customFormat="1" ht="12.6" customHeight="1">
      <c r="D18" s="431"/>
      <c r="E18" s="392" t="s">
        <v>798</v>
      </c>
      <c r="H18" s="1293" t="s">
        <v>4065</v>
      </c>
      <c r="I18" s="1354"/>
      <c r="J18" s="1355"/>
      <c r="O18" s="781" t="s">
        <v>2499</v>
      </c>
      <c r="Q18" s="1301">
        <v>2567609657</v>
      </c>
      <c r="R18" s="1306"/>
      <c r="S18" s="1302"/>
    </row>
    <row r="19" spans="4:19" s="386" customFormat="1" ht="12.6" customHeight="1">
      <c r="D19" s="389"/>
      <c r="E19" s="392" t="s">
        <v>2495</v>
      </c>
      <c r="H19" s="1307" t="s">
        <v>1232</v>
      </c>
      <c r="I19" s="789" t="s">
        <v>1711</v>
      </c>
      <c r="J19" s="1304">
        <v>356303731</v>
      </c>
      <c r="K19" s="1355"/>
      <c r="L19" s="351" t="s">
        <v>1713</v>
      </c>
      <c r="N19" s="1356" t="s">
        <v>4129</v>
      </c>
      <c r="O19" s="781" t="s">
        <v>2690</v>
      </c>
      <c r="Q19" s="1301">
        <v>2563354030</v>
      </c>
      <c r="R19" s="1306"/>
      <c r="S19" s="1302"/>
    </row>
    <row r="20" spans="4:19" s="386" customFormat="1" ht="12.6" customHeight="1">
      <c r="D20" s="431"/>
      <c r="E20" s="392" t="s">
        <v>2696</v>
      </c>
      <c r="H20" s="1301">
        <v>2567609657</v>
      </c>
      <c r="I20" s="1302"/>
      <c r="J20" s="1386"/>
      <c r="K20" s="789" t="s">
        <v>2498</v>
      </c>
      <c r="L20" s="1340">
        <v>2567675804</v>
      </c>
      <c r="M20" s="1355"/>
      <c r="N20" s="394" t="s">
        <v>2695</v>
      </c>
      <c r="O20" s="1308" t="s">
        <v>4066</v>
      </c>
      <c r="P20" s="1309"/>
      <c r="Q20" s="1309"/>
      <c r="R20" s="1309"/>
      <c r="S20" s="1310"/>
    </row>
    <row r="21" spans="4:19" ht="4.1500000000000004" customHeight="1">
      <c r="D21" s="415"/>
      <c r="H21" s="1392"/>
      <c r="I21" s="1392"/>
      <c r="J21" s="1392"/>
      <c r="K21" s="789"/>
      <c r="L21" s="1392"/>
      <c r="M21" s="1392"/>
      <c r="N21" s="782"/>
      <c r="O21" s="1391"/>
      <c r="P21" s="1391"/>
      <c r="Q21" s="789"/>
      <c r="R21" s="1391"/>
      <c r="S21" s="1391"/>
    </row>
    <row r="22" spans="4:19" s="386" customFormat="1" ht="12.6" customHeight="1">
      <c r="D22" s="389" t="s">
        <v>2832</v>
      </c>
      <c r="E22" s="386" t="s">
        <v>2561</v>
      </c>
      <c r="F22" s="786"/>
      <c r="H22" s="1293"/>
      <c r="I22" s="1354"/>
      <c r="J22" s="1354"/>
      <c r="K22" s="1354"/>
      <c r="L22" s="1354"/>
      <c r="M22" s="1354"/>
      <c r="N22" s="1355"/>
      <c r="O22" s="781" t="s">
        <v>2701</v>
      </c>
      <c r="P22" s="781"/>
      <c r="Q22" s="1293"/>
      <c r="R22" s="1354"/>
      <c r="S22" s="1355"/>
    </row>
    <row r="23" spans="4:19" s="386" customFormat="1" ht="12.6" customHeight="1">
      <c r="D23" s="431"/>
      <c r="E23" s="392" t="s">
        <v>1424</v>
      </c>
      <c r="F23" s="400"/>
      <c r="H23" s="1293"/>
      <c r="I23" s="1354"/>
      <c r="J23" s="1354"/>
      <c r="K23" s="1354"/>
      <c r="L23" s="1354"/>
      <c r="M23" s="1354"/>
      <c r="N23" s="1355"/>
      <c r="O23" s="781" t="s">
        <v>2441</v>
      </c>
      <c r="Q23" s="1293"/>
      <c r="R23" s="1354"/>
      <c r="S23" s="1355"/>
    </row>
    <row r="24" spans="4:19" s="386" customFormat="1" ht="12.6" customHeight="1">
      <c r="D24" s="431"/>
      <c r="E24" s="392" t="s">
        <v>798</v>
      </c>
      <c r="H24" s="1293"/>
      <c r="I24" s="1354"/>
      <c r="J24" s="1355"/>
      <c r="O24" s="781" t="s">
        <v>2499</v>
      </c>
      <c r="Q24" s="1301"/>
      <c r="R24" s="1306"/>
      <c r="S24" s="1302"/>
    </row>
    <row r="25" spans="4:19" s="386" customFormat="1" ht="12.6" customHeight="1">
      <c r="E25" s="392" t="s">
        <v>2495</v>
      </c>
      <c r="H25" s="1307"/>
      <c r="I25" s="417" t="s">
        <v>2954</v>
      </c>
      <c r="J25" s="1304"/>
      <c r="K25" s="1355"/>
      <c r="O25" s="781" t="s">
        <v>2690</v>
      </c>
      <c r="Q25" s="1301"/>
      <c r="R25" s="1306"/>
      <c r="S25" s="1302"/>
    </row>
    <row r="26" spans="4:19" s="386" customFormat="1" ht="12.6" customHeight="1">
      <c r="D26" s="431"/>
      <c r="E26" s="392" t="s">
        <v>2696</v>
      </c>
      <c r="H26" s="1301"/>
      <c r="I26" s="1302"/>
      <c r="J26" s="1386"/>
      <c r="K26" s="789" t="s">
        <v>2498</v>
      </c>
      <c r="L26" s="1340"/>
      <c r="M26" s="1355"/>
      <c r="N26" s="394" t="s">
        <v>2695</v>
      </c>
      <c r="O26" s="1308"/>
      <c r="P26" s="1309"/>
      <c r="Q26" s="1309"/>
      <c r="R26" s="1309"/>
      <c r="S26" s="1310"/>
    </row>
    <row r="27" spans="4:19" s="386" customFormat="1" ht="4.1500000000000004" customHeight="1">
      <c r="D27" s="431"/>
      <c r="E27" s="786"/>
      <c r="F27" s="786"/>
      <c r="G27" s="781"/>
      <c r="H27" s="1392"/>
      <c r="I27" s="1392"/>
      <c r="J27" s="1392"/>
      <c r="K27" s="789"/>
      <c r="L27" s="1392"/>
      <c r="M27" s="1392"/>
      <c r="N27" s="782"/>
      <c r="O27" s="1391"/>
      <c r="P27" s="1391"/>
      <c r="Q27" s="789"/>
      <c r="R27" s="1391"/>
      <c r="S27" s="1391"/>
    </row>
    <row r="28" spans="4:19" s="386" customFormat="1" ht="12.6" customHeight="1">
      <c r="D28" s="389" t="s">
        <v>2427</v>
      </c>
      <c r="E28" s="386" t="s">
        <v>2561</v>
      </c>
      <c r="F28" s="786"/>
      <c r="H28" s="1293"/>
      <c r="I28" s="1354"/>
      <c r="J28" s="1354"/>
      <c r="K28" s="1354"/>
      <c r="L28" s="1354"/>
      <c r="M28" s="1354"/>
      <c r="N28" s="1355"/>
      <c r="O28" s="781" t="s">
        <v>2701</v>
      </c>
      <c r="P28" s="781"/>
      <c r="Q28" s="1293"/>
      <c r="R28" s="1354"/>
      <c r="S28" s="1355"/>
    </row>
    <row r="29" spans="4:19" s="386" customFormat="1" ht="12.6" customHeight="1">
      <c r="D29" s="431"/>
      <c r="E29" s="392" t="s">
        <v>1424</v>
      </c>
      <c r="F29" s="400"/>
      <c r="H29" s="1293"/>
      <c r="I29" s="1354"/>
      <c r="J29" s="1354"/>
      <c r="K29" s="1354"/>
      <c r="L29" s="1354"/>
      <c r="M29" s="1354"/>
      <c r="N29" s="1355"/>
      <c r="O29" s="781" t="s">
        <v>2441</v>
      </c>
      <c r="Q29" s="1293"/>
      <c r="R29" s="1354"/>
      <c r="S29" s="1355"/>
    </row>
    <row r="30" spans="4:19" s="386" customFormat="1" ht="12.6" customHeight="1">
      <c r="D30" s="431"/>
      <c r="E30" s="392" t="s">
        <v>798</v>
      </c>
      <c r="H30" s="1293"/>
      <c r="I30" s="1354"/>
      <c r="J30" s="1355"/>
      <c r="O30" s="781" t="s">
        <v>2499</v>
      </c>
      <c r="Q30" s="1301"/>
      <c r="R30" s="1306"/>
      <c r="S30" s="1302"/>
    </row>
    <row r="31" spans="4:19" s="386" customFormat="1" ht="12.6" customHeight="1">
      <c r="E31" s="392" t="s">
        <v>2495</v>
      </c>
      <c r="H31" s="1307"/>
      <c r="I31" s="417" t="s">
        <v>2954</v>
      </c>
      <c r="J31" s="1304"/>
      <c r="K31" s="1355"/>
      <c r="O31" s="781" t="s">
        <v>2690</v>
      </c>
      <c r="Q31" s="1301"/>
      <c r="R31" s="1306"/>
      <c r="S31" s="1302"/>
    </row>
    <row r="32" spans="4:19" s="386" customFormat="1" ht="12.6" customHeight="1">
      <c r="D32" s="431"/>
      <c r="E32" s="392" t="s">
        <v>2696</v>
      </c>
      <c r="H32" s="1301"/>
      <c r="I32" s="1302"/>
      <c r="J32" s="1386"/>
      <c r="K32" s="789" t="s">
        <v>2498</v>
      </c>
      <c r="L32" s="1340"/>
      <c r="M32" s="1355"/>
      <c r="N32" s="394" t="s">
        <v>2695</v>
      </c>
      <c r="O32" s="1308"/>
      <c r="P32" s="1309"/>
      <c r="Q32" s="1309"/>
      <c r="R32" s="1309"/>
      <c r="S32" s="1310"/>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1390"/>
      <c r="I35" s="1390"/>
      <c r="J35" s="1390"/>
      <c r="K35" s="782"/>
      <c r="L35" s="1390"/>
      <c r="M35" s="1390"/>
      <c r="N35" s="782"/>
      <c r="O35" s="1391"/>
      <c r="P35" s="1391"/>
      <c r="Q35" s="789"/>
      <c r="R35" s="1391"/>
      <c r="S35" s="1391"/>
    </row>
    <row r="36" spans="3:19" s="386" customFormat="1" ht="12.6" customHeight="1">
      <c r="D36" s="389" t="s">
        <v>2831</v>
      </c>
      <c r="E36" s="386" t="s">
        <v>1055</v>
      </c>
      <c r="H36" s="1293" t="s">
        <v>4070</v>
      </c>
      <c r="I36" s="1354"/>
      <c r="J36" s="1354"/>
      <c r="K36" s="1354"/>
      <c r="L36" s="1354"/>
      <c r="M36" s="1354"/>
      <c r="N36" s="1355"/>
      <c r="O36" s="781" t="s">
        <v>2701</v>
      </c>
      <c r="P36" s="781"/>
      <c r="Q36" s="1293" t="s">
        <v>4072</v>
      </c>
      <c r="R36" s="1354"/>
      <c r="S36" s="1355"/>
    </row>
    <row r="37" spans="3:19" s="386" customFormat="1" ht="12.6" customHeight="1">
      <c r="D37" s="431"/>
      <c r="E37" s="392" t="s">
        <v>1424</v>
      </c>
      <c r="F37" s="400"/>
      <c r="H37" s="1293" t="s">
        <v>4071</v>
      </c>
      <c r="I37" s="1354"/>
      <c r="J37" s="1354"/>
      <c r="K37" s="1354"/>
      <c r="L37" s="1354"/>
      <c r="M37" s="1354"/>
      <c r="N37" s="1355"/>
      <c r="O37" s="781" t="s">
        <v>2441</v>
      </c>
      <c r="Q37" s="1293" t="s">
        <v>4073</v>
      </c>
      <c r="R37" s="1354"/>
      <c r="S37" s="1355"/>
    </row>
    <row r="38" spans="3:19" s="386" customFormat="1" ht="12.6" customHeight="1">
      <c r="D38" s="431"/>
      <c r="E38" s="392" t="s">
        <v>798</v>
      </c>
      <c r="H38" s="1293" t="s">
        <v>3317</v>
      </c>
      <c r="I38" s="1354"/>
      <c r="J38" s="1355"/>
      <c r="O38" s="781" t="s">
        <v>2499</v>
      </c>
      <c r="Q38" s="1301"/>
      <c r="R38" s="1306"/>
      <c r="S38" s="1302"/>
    </row>
    <row r="39" spans="3:19" s="386" customFormat="1" ht="12.6" customHeight="1">
      <c r="E39" s="392" t="s">
        <v>2495</v>
      </c>
      <c r="H39" s="1307" t="s">
        <v>1776</v>
      </c>
      <c r="I39" s="417" t="s">
        <v>2954</v>
      </c>
      <c r="J39" s="1304">
        <v>652034905</v>
      </c>
      <c r="K39" s="1355"/>
      <c r="O39" s="781" t="s">
        <v>2690</v>
      </c>
      <c r="Q39" s="1301">
        <v>5734248811</v>
      </c>
      <c r="R39" s="1306"/>
      <c r="S39" s="1302"/>
    </row>
    <row r="40" spans="3:19" s="386" customFormat="1" ht="12.6" customHeight="1">
      <c r="D40" s="431"/>
      <c r="E40" s="392" t="s">
        <v>2696</v>
      </c>
      <c r="H40" s="1301">
        <v>5734432021</v>
      </c>
      <c r="I40" s="1302"/>
      <c r="J40" s="1386"/>
      <c r="K40" s="789" t="s">
        <v>2498</v>
      </c>
      <c r="L40" s="1340">
        <v>5738747176</v>
      </c>
      <c r="M40" s="1355"/>
      <c r="N40" s="394" t="s">
        <v>2695</v>
      </c>
      <c r="O40" s="1308" t="s">
        <v>4074</v>
      </c>
      <c r="P40" s="1309"/>
      <c r="Q40" s="1309"/>
      <c r="R40" s="1309"/>
      <c r="S40" s="1310"/>
    </row>
    <row r="41" spans="3:19" ht="4.1500000000000004" customHeight="1">
      <c r="H41" s="1392"/>
      <c r="I41" s="1392"/>
      <c r="J41" s="1392"/>
      <c r="K41" s="789"/>
      <c r="L41" s="1392"/>
      <c r="M41" s="1392"/>
      <c r="N41" s="782"/>
      <c r="O41" s="1391"/>
      <c r="P41" s="1391"/>
      <c r="Q41" s="789"/>
      <c r="R41" s="1391"/>
      <c r="S41" s="1391"/>
    </row>
    <row r="42" spans="3:19" s="386" customFormat="1" ht="12.6" customHeight="1">
      <c r="D42" s="389" t="s">
        <v>2832</v>
      </c>
      <c r="E42" s="386" t="s">
        <v>1056</v>
      </c>
      <c r="F42" s="389"/>
      <c r="H42" s="1293" t="s">
        <v>4070</v>
      </c>
      <c r="I42" s="1354"/>
      <c r="J42" s="1354"/>
      <c r="K42" s="1354"/>
      <c r="L42" s="1354"/>
      <c r="M42" s="1354"/>
      <c r="N42" s="1355"/>
      <c r="O42" s="781" t="s">
        <v>2701</v>
      </c>
      <c r="P42" s="781"/>
      <c r="Q42" s="1293" t="s">
        <v>4072</v>
      </c>
      <c r="R42" s="1354"/>
      <c r="S42" s="1355"/>
    </row>
    <row r="43" spans="3:19" s="386" customFormat="1" ht="12.6" customHeight="1">
      <c r="D43" s="431"/>
      <c r="E43" s="392" t="s">
        <v>1424</v>
      </c>
      <c r="F43" s="400"/>
      <c r="H43" s="1293" t="s">
        <v>4071</v>
      </c>
      <c r="I43" s="1354"/>
      <c r="J43" s="1354"/>
      <c r="K43" s="1354"/>
      <c r="L43" s="1354"/>
      <c r="M43" s="1354"/>
      <c r="N43" s="1355"/>
      <c r="O43" s="781" t="s">
        <v>2441</v>
      </c>
      <c r="Q43" s="1293" t="s">
        <v>4073</v>
      </c>
      <c r="R43" s="1354"/>
      <c r="S43" s="1355"/>
    </row>
    <row r="44" spans="3:19" s="386" customFormat="1" ht="12.6" customHeight="1">
      <c r="D44" s="431"/>
      <c r="E44" s="392" t="s">
        <v>798</v>
      </c>
      <c r="H44" s="1293" t="s">
        <v>3317</v>
      </c>
      <c r="I44" s="1354"/>
      <c r="J44" s="1355"/>
      <c r="O44" s="781" t="s">
        <v>2499</v>
      </c>
      <c r="Q44" s="1301"/>
      <c r="R44" s="1306"/>
      <c r="S44" s="1302"/>
    </row>
    <row r="45" spans="3:19" s="386" customFormat="1" ht="12.6" customHeight="1">
      <c r="D45" s="389"/>
      <c r="E45" s="392" t="s">
        <v>2495</v>
      </c>
      <c r="H45" s="1307" t="s">
        <v>1776</v>
      </c>
      <c r="I45" s="417" t="s">
        <v>2954</v>
      </c>
      <c r="J45" s="1304">
        <v>652034905</v>
      </c>
      <c r="K45" s="1355"/>
      <c r="O45" s="781" t="s">
        <v>2690</v>
      </c>
      <c r="Q45" s="1301">
        <v>5734248811</v>
      </c>
      <c r="R45" s="1306"/>
      <c r="S45" s="1302"/>
    </row>
    <row r="46" spans="3:19" s="386" customFormat="1" ht="12.6" customHeight="1">
      <c r="D46" s="431"/>
      <c r="E46" s="392" t="s">
        <v>2696</v>
      </c>
      <c r="H46" s="1301">
        <v>5734432021</v>
      </c>
      <c r="I46" s="1302"/>
      <c r="J46" s="1386"/>
      <c r="K46" s="789" t="s">
        <v>2498</v>
      </c>
      <c r="L46" s="1340">
        <v>5738747176</v>
      </c>
      <c r="M46" s="1355"/>
      <c r="N46" s="394" t="s">
        <v>2695</v>
      </c>
      <c r="O46" s="1308" t="s">
        <v>4074</v>
      </c>
      <c r="P46" s="1309"/>
      <c r="Q46" s="1309"/>
      <c r="R46" s="1309"/>
      <c r="S46" s="1310"/>
    </row>
    <row r="47" spans="3:19" s="386" customFormat="1" ht="4.1500000000000004" customHeight="1">
      <c r="D47" s="431"/>
      <c r="E47" s="392"/>
      <c r="F47" s="389"/>
      <c r="H47" s="425"/>
      <c r="I47" s="425"/>
      <c r="J47" s="1393"/>
      <c r="K47" s="789"/>
      <c r="L47" s="425"/>
      <c r="M47" s="425"/>
      <c r="N47" s="789"/>
      <c r="O47" s="425"/>
      <c r="P47" s="425"/>
      <c r="Q47" s="789"/>
      <c r="R47" s="425"/>
      <c r="S47" s="425"/>
    </row>
    <row r="48" spans="3:19" s="386" customFormat="1" ht="13.15" customHeight="1">
      <c r="C48" s="435" t="s">
        <v>3323</v>
      </c>
      <c r="D48" s="430" t="s">
        <v>836</v>
      </c>
      <c r="H48" s="786"/>
      <c r="I48" s="786"/>
      <c r="J48" s="786"/>
      <c r="K48" s="786"/>
      <c r="L48" s="786"/>
      <c r="M48" s="786"/>
    </row>
    <row r="49" spans="1:19" s="386" customFormat="1" ht="4.1500000000000004" customHeight="1">
      <c r="D49" s="435"/>
      <c r="E49" s="434"/>
      <c r="H49" s="1390"/>
      <c r="I49" s="1390"/>
      <c r="J49" s="1390"/>
      <c r="K49" s="782"/>
      <c r="L49" s="1390"/>
      <c r="M49" s="1390"/>
      <c r="N49" s="782"/>
      <c r="O49" s="1391"/>
      <c r="P49" s="1391"/>
      <c r="Q49" s="789"/>
      <c r="R49" s="1391"/>
      <c r="S49" s="1391"/>
    </row>
    <row r="50" spans="1:19" s="386" customFormat="1" ht="12.6" customHeight="1">
      <c r="E50" s="386" t="s">
        <v>96</v>
      </c>
      <c r="H50" s="1293"/>
      <c r="I50" s="1354"/>
      <c r="J50" s="1354"/>
      <c r="K50" s="1354"/>
      <c r="L50" s="1354"/>
      <c r="M50" s="1354"/>
      <c r="N50" s="1355"/>
      <c r="O50" s="781" t="s">
        <v>2701</v>
      </c>
      <c r="P50" s="781"/>
      <c r="Q50" s="1293"/>
      <c r="R50" s="1354"/>
      <c r="S50" s="1355"/>
    </row>
    <row r="51" spans="1:19" s="386" customFormat="1" ht="12.6" customHeight="1">
      <c r="D51" s="431"/>
      <c r="E51" s="392" t="s">
        <v>1424</v>
      </c>
      <c r="F51" s="400"/>
      <c r="H51" s="1293"/>
      <c r="I51" s="1354"/>
      <c r="J51" s="1354"/>
      <c r="K51" s="1354"/>
      <c r="L51" s="1354"/>
      <c r="M51" s="1354"/>
      <c r="N51" s="1355"/>
      <c r="O51" s="781" t="s">
        <v>2441</v>
      </c>
      <c r="Q51" s="1293"/>
      <c r="R51" s="1354"/>
      <c r="S51" s="1355"/>
    </row>
    <row r="52" spans="1:19" s="386" customFormat="1" ht="12.6" customHeight="1">
      <c r="D52" s="431"/>
      <c r="E52" s="392" t="s">
        <v>798</v>
      </c>
      <c r="H52" s="1293"/>
      <c r="I52" s="1354"/>
      <c r="J52" s="1355"/>
      <c r="O52" s="781" t="s">
        <v>2499</v>
      </c>
      <c r="Q52" s="1301"/>
      <c r="R52" s="1306"/>
      <c r="S52" s="1302"/>
    </row>
    <row r="53" spans="1:19" s="386" customFormat="1" ht="12.6" customHeight="1">
      <c r="E53" s="392" t="s">
        <v>2495</v>
      </c>
      <c r="H53" s="1307"/>
      <c r="I53" s="417" t="s">
        <v>2954</v>
      </c>
      <c r="J53" s="1304"/>
      <c r="K53" s="1355"/>
      <c r="O53" s="781" t="s">
        <v>2690</v>
      </c>
      <c r="Q53" s="1301"/>
      <c r="R53" s="1306"/>
      <c r="S53" s="1302"/>
    </row>
    <row r="54" spans="1:19" s="386" customFormat="1" ht="12.6" customHeight="1">
      <c r="D54" s="431"/>
      <c r="E54" s="392" t="s">
        <v>2696</v>
      </c>
      <c r="H54" s="1301"/>
      <c r="I54" s="1302"/>
      <c r="J54" s="1386"/>
      <c r="K54" s="789" t="s">
        <v>2498</v>
      </c>
      <c r="L54" s="1340"/>
      <c r="M54" s="1355"/>
      <c r="N54" s="394" t="s">
        <v>2695</v>
      </c>
      <c r="O54" s="1308"/>
      <c r="P54" s="1309"/>
      <c r="Q54" s="1309"/>
      <c r="R54" s="1309"/>
      <c r="S54" s="1310"/>
    </row>
    <row r="55" spans="1:19" ht="13.15" customHeight="1"/>
    <row r="56" spans="1:19" s="386" customFormat="1" ht="13.15" customHeight="1">
      <c r="A56" s="389" t="s">
        <v>1045</v>
      </c>
      <c r="B56" s="389" t="s">
        <v>837</v>
      </c>
      <c r="F56" s="389"/>
      <c r="G56" s="789"/>
      <c r="H56" s="789"/>
      <c r="I56" s="789"/>
      <c r="J56" s="786"/>
      <c r="K56" s="786"/>
      <c r="L56" s="786"/>
      <c r="M56" s="786"/>
      <c r="N56" s="786"/>
      <c r="O56" s="786"/>
      <c r="P56" s="786"/>
      <c r="Q56" s="786"/>
      <c r="R56" s="786"/>
      <c r="S56" s="786"/>
    </row>
    <row r="57" spans="1:19" s="386" customFormat="1" ht="9" customHeight="1">
      <c r="A57" s="389"/>
      <c r="B57" s="389"/>
      <c r="F57" s="389"/>
      <c r="G57" s="789"/>
      <c r="H57" s="1390"/>
      <c r="I57" s="1390"/>
      <c r="J57" s="1390"/>
      <c r="K57" s="782"/>
      <c r="L57" s="1390"/>
      <c r="M57" s="1390"/>
      <c r="N57" s="782"/>
      <c r="O57" s="1391"/>
      <c r="P57" s="1391"/>
      <c r="Q57" s="789"/>
      <c r="R57" s="1391"/>
      <c r="S57" s="1391"/>
    </row>
    <row r="58" spans="1:19" s="386" customFormat="1" ht="13.15" customHeight="1">
      <c r="B58" s="389" t="s">
        <v>2694</v>
      </c>
      <c r="C58" s="389" t="s">
        <v>312</v>
      </c>
      <c r="H58" s="1293" t="s">
        <v>4075</v>
      </c>
      <c r="I58" s="1354"/>
      <c r="J58" s="1354"/>
      <c r="K58" s="1354"/>
      <c r="L58" s="1354"/>
      <c r="M58" s="1354"/>
      <c r="N58" s="1355"/>
      <c r="O58" s="781" t="s">
        <v>2701</v>
      </c>
      <c r="P58" s="781"/>
      <c r="Q58" s="1293" t="s">
        <v>4068</v>
      </c>
      <c r="R58" s="1354"/>
      <c r="S58" s="1355"/>
    </row>
    <row r="59" spans="1:19" s="386" customFormat="1" ht="13.15" customHeight="1">
      <c r="D59" s="431"/>
      <c r="E59" s="392" t="s">
        <v>1424</v>
      </c>
      <c r="F59" s="400"/>
      <c r="H59" s="1293" t="s">
        <v>4064</v>
      </c>
      <c r="I59" s="1354"/>
      <c r="J59" s="1354"/>
      <c r="K59" s="1354"/>
      <c r="L59" s="1354"/>
      <c r="M59" s="1354"/>
      <c r="N59" s="1355"/>
      <c r="O59" s="781" t="s">
        <v>2441</v>
      </c>
      <c r="Q59" s="1293" t="s">
        <v>4076</v>
      </c>
      <c r="R59" s="1354"/>
      <c r="S59" s="1355"/>
    </row>
    <row r="60" spans="1:19" s="386" customFormat="1" ht="13.15" customHeight="1">
      <c r="D60" s="431"/>
      <c r="E60" s="392" t="s">
        <v>798</v>
      </c>
      <c r="H60" s="1293" t="s">
        <v>4065</v>
      </c>
      <c r="I60" s="1354"/>
      <c r="J60" s="1355"/>
      <c r="O60" s="781" t="s">
        <v>2499</v>
      </c>
      <c r="Q60" s="1301">
        <v>2567609657</v>
      </c>
      <c r="R60" s="1306"/>
      <c r="S60" s="1302"/>
    </row>
    <row r="61" spans="1:19" s="386" customFormat="1" ht="13.15" customHeight="1">
      <c r="E61" s="392" t="s">
        <v>2495</v>
      </c>
      <c r="H61" s="1307" t="s">
        <v>1232</v>
      </c>
      <c r="I61" s="417" t="s">
        <v>2954</v>
      </c>
      <c r="J61" s="1304">
        <v>356303731</v>
      </c>
      <c r="K61" s="1355"/>
      <c r="O61" s="781" t="s">
        <v>2690</v>
      </c>
      <c r="Q61" s="1301">
        <v>2563354030</v>
      </c>
      <c r="R61" s="1306"/>
      <c r="S61" s="1302"/>
    </row>
    <row r="62" spans="1:19" s="386" customFormat="1" ht="13.15" customHeight="1">
      <c r="D62" s="431"/>
      <c r="E62" s="392" t="s">
        <v>2696</v>
      </c>
      <c r="H62" s="1301">
        <v>2567609657</v>
      </c>
      <c r="I62" s="1302"/>
      <c r="J62" s="1386"/>
      <c r="K62" s="789" t="s">
        <v>2498</v>
      </c>
      <c r="L62" s="1340">
        <v>2567675804</v>
      </c>
      <c r="M62" s="1355"/>
      <c r="N62" s="394" t="s">
        <v>2695</v>
      </c>
      <c r="O62" s="1308" t="s">
        <v>4066</v>
      </c>
      <c r="P62" s="1309"/>
      <c r="Q62" s="1309"/>
      <c r="R62" s="1309"/>
      <c r="S62" s="1310"/>
    </row>
    <row r="63" spans="1:19" s="386" customFormat="1" ht="6.6" customHeight="1">
      <c r="D63" s="431"/>
      <c r="E63" s="786"/>
      <c r="F63" s="786"/>
      <c r="G63" s="781"/>
      <c r="H63" s="1392"/>
      <c r="I63" s="1392"/>
      <c r="J63" s="1392"/>
      <c r="K63" s="789"/>
      <c r="L63" s="1392"/>
      <c r="M63" s="1392"/>
      <c r="N63" s="782"/>
      <c r="O63" s="1391"/>
      <c r="P63" s="1391"/>
      <c r="Q63" s="789"/>
      <c r="R63" s="1391"/>
      <c r="S63" s="1391"/>
    </row>
    <row r="64" spans="1:19" s="386" customFormat="1" ht="13.15" customHeight="1">
      <c r="B64" s="389" t="s">
        <v>2697</v>
      </c>
      <c r="C64" s="389" t="s">
        <v>313</v>
      </c>
      <c r="H64" s="1293" t="s">
        <v>4127</v>
      </c>
      <c r="I64" s="1354"/>
      <c r="J64" s="1354"/>
      <c r="K64" s="1354"/>
      <c r="L64" s="1354"/>
      <c r="M64" s="1354"/>
      <c r="N64" s="1355"/>
      <c r="O64" s="781" t="s">
        <v>2701</v>
      </c>
      <c r="P64" s="781"/>
      <c r="Q64" s="1293" t="s">
        <v>4078</v>
      </c>
      <c r="R64" s="1354"/>
      <c r="S64" s="1355"/>
    </row>
    <row r="65" spans="2:19" s="386" customFormat="1" ht="13.15" customHeight="1">
      <c r="D65" s="431"/>
      <c r="E65" s="392" t="s">
        <v>1424</v>
      </c>
      <c r="F65" s="400"/>
      <c r="H65" s="1293" t="s">
        <v>4077</v>
      </c>
      <c r="I65" s="1354"/>
      <c r="J65" s="1354"/>
      <c r="K65" s="1354"/>
      <c r="L65" s="1354"/>
      <c r="M65" s="1354"/>
      <c r="N65" s="1355"/>
      <c r="O65" s="781" t="s">
        <v>2441</v>
      </c>
      <c r="Q65" s="1293" t="s">
        <v>4076</v>
      </c>
      <c r="R65" s="1354"/>
      <c r="S65" s="1355"/>
    </row>
    <row r="66" spans="2:19" s="386" customFormat="1" ht="13.15" customHeight="1">
      <c r="D66" s="431"/>
      <c r="E66" s="392" t="s">
        <v>798</v>
      </c>
      <c r="H66" s="1293" t="s">
        <v>80</v>
      </c>
      <c r="I66" s="1354"/>
      <c r="J66" s="1355"/>
      <c r="O66" s="781" t="s">
        <v>2499</v>
      </c>
      <c r="Q66" s="1301"/>
      <c r="R66" s="1306"/>
      <c r="S66" s="1302"/>
    </row>
    <row r="67" spans="2:19" s="386" customFormat="1" ht="13.15" customHeight="1">
      <c r="E67" s="392" t="s">
        <v>2495</v>
      </c>
      <c r="H67" s="1307" t="s">
        <v>1242</v>
      </c>
      <c r="I67" s="417" t="s">
        <v>2954</v>
      </c>
      <c r="J67" s="1304">
        <v>302404918</v>
      </c>
      <c r="K67" s="1355"/>
      <c r="O67" s="781" t="s">
        <v>2690</v>
      </c>
      <c r="Q67" s="1301"/>
      <c r="R67" s="1306"/>
      <c r="S67" s="1302"/>
    </row>
    <row r="68" spans="2:19" s="386" customFormat="1" ht="13.15" customHeight="1">
      <c r="D68" s="431"/>
      <c r="E68" s="392" t="s">
        <v>2696</v>
      </c>
      <c r="H68" s="1301">
        <v>7062980221</v>
      </c>
      <c r="I68" s="1302"/>
      <c r="J68" s="1386"/>
      <c r="K68" s="789" t="s">
        <v>2498</v>
      </c>
      <c r="L68" s="1340">
        <v>7062980024</v>
      </c>
      <c r="M68" s="1355"/>
      <c r="N68" s="394" t="s">
        <v>2695</v>
      </c>
      <c r="O68" s="1308" t="s">
        <v>4079</v>
      </c>
      <c r="P68" s="1309"/>
      <c r="Q68" s="1309"/>
      <c r="R68" s="1309"/>
      <c r="S68" s="1310"/>
    </row>
    <row r="69" spans="2:19" s="386" customFormat="1" ht="6.6" customHeight="1">
      <c r="D69" s="431"/>
      <c r="E69" s="786"/>
      <c r="F69" s="786"/>
      <c r="G69" s="781"/>
      <c r="H69" s="1392"/>
      <c r="I69" s="1392"/>
      <c r="J69" s="1392"/>
      <c r="K69" s="789"/>
      <c r="L69" s="1392"/>
      <c r="M69" s="1392"/>
      <c r="N69" s="782"/>
      <c r="O69" s="1391"/>
      <c r="P69" s="1391"/>
      <c r="Q69" s="789"/>
      <c r="R69" s="1391"/>
      <c r="S69" s="1391"/>
    </row>
    <row r="70" spans="2:19" s="386" customFormat="1" ht="13.15" customHeight="1">
      <c r="B70" s="389" t="s">
        <v>1054</v>
      </c>
      <c r="C70" s="389" t="s">
        <v>1985</v>
      </c>
      <c r="H70" s="1293"/>
      <c r="I70" s="1354"/>
      <c r="J70" s="1354"/>
      <c r="K70" s="1354"/>
      <c r="L70" s="1354"/>
      <c r="M70" s="1354"/>
      <c r="N70" s="1355"/>
      <c r="O70" s="781" t="s">
        <v>2701</v>
      </c>
      <c r="P70" s="781"/>
      <c r="Q70" s="1293"/>
      <c r="R70" s="1354"/>
      <c r="S70" s="1355"/>
    </row>
    <row r="71" spans="2:19" s="386" customFormat="1" ht="13.15" customHeight="1">
      <c r="D71" s="431"/>
      <c r="E71" s="392" t="s">
        <v>1424</v>
      </c>
      <c r="F71" s="400"/>
      <c r="H71" s="1293"/>
      <c r="I71" s="1354"/>
      <c r="J71" s="1354"/>
      <c r="K71" s="1354"/>
      <c r="L71" s="1354"/>
      <c r="M71" s="1354"/>
      <c r="N71" s="1355"/>
      <c r="O71" s="781" t="s">
        <v>2441</v>
      </c>
      <c r="Q71" s="1293"/>
      <c r="R71" s="1354"/>
      <c r="S71" s="1355"/>
    </row>
    <row r="72" spans="2:19" s="386" customFormat="1" ht="13.15" customHeight="1">
      <c r="D72" s="431"/>
      <c r="E72" s="392" t="s">
        <v>798</v>
      </c>
      <c r="H72" s="1293"/>
      <c r="I72" s="1354"/>
      <c r="J72" s="1355"/>
      <c r="O72" s="781" t="s">
        <v>2499</v>
      </c>
      <c r="Q72" s="1301"/>
      <c r="R72" s="1306"/>
      <c r="S72" s="1302"/>
    </row>
    <row r="73" spans="2:19" s="386" customFormat="1" ht="13.15" customHeight="1">
      <c r="E73" s="392" t="s">
        <v>2495</v>
      </c>
      <c r="H73" s="1307"/>
      <c r="I73" s="417" t="s">
        <v>2954</v>
      </c>
      <c r="J73" s="1304"/>
      <c r="K73" s="1355"/>
      <c r="O73" s="781" t="s">
        <v>2690</v>
      </c>
      <c r="Q73" s="1301"/>
      <c r="R73" s="1306"/>
      <c r="S73" s="1302"/>
    </row>
    <row r="74" spans="2:19" s="386" customFormat="1" ht="13.15" customHeight="1">
      <c r="D74" s="431"/>
      <c r="E74" s="392" t="s">
        <v>2696</v>
      </c>
      <c r="H74" s="1301"/>
      <c r="I74" s="1302"/>
      <c r="J74" s="1386"/>
      <c r="K74" s="789" t="s">
        <v>2498</v>
      </c>
      <c r="L74" s="1340"/>
      <c r="M74" s="1355"/>
      <c r="N74" s="394" t="s">
        <v>2695</v>
      </c>
      <c r="O74" s="1308"/>
      <c r="P74" s="1309"/>
      <c r="Q74" s="1309"/>
      <c r="R74" s="1309"/>
      <c r="S74" s="1310"/>
    </row>
    <row r="75" spans="2:19" ht="6.6" customHeight="1">
      <c r="H75" s="1392"/>
      <c r="I75" s="1392"/>
      <c r="J75" s="1392"/>
      <c r="K75" s="789"/>
      <c r="L75" s="1392"/>
      <c r="M75" s="1392"/>
      <c r="N75" s="782"/>
      <c r="O75" s="1391"/>
      <c r="P75" s="1391"/>
      <c r="Q75" s="789"/>
      <c r="R75" s="1391"/>
      <c r="S75" s="1391"/>
    </row>
    <row r="76" spans="2:19" s="386" customFormat="1" ht="13.15" customHeight="1">
      <c r="B76" s="389" t="s">
        <v>2830</v>
      </c>
      <c r="C76" s="389" t="s">
        <v>314</v>
      </c>
      <c r="H76" s="1293"/>
      <c r="I76" s="1354"/>
      <c r="J76" s="1354"/>
      <c r="K76" s="1354"/>
      <c r="L76" s="1354"/>
      <c r="M76" s="1354"/>
      <c r="N76" s="1355"/>
      <c r="O76" s="781" t="s">
        <v>2701</v>
      </c>
      <c r="P76" s="781"/>
      <c r="Q76" s="1293"/>
      <c r="R76" s="1354"/>
      <c r="S76" s="1355"/>
    </row>
    <row r="77" spans="2:19" s="386" customFormat="1" ht="13.15" customHeight="1">
      <c r="D77" s="431"/>
      <c r="E77" s="392" t="s">
        <v>1424</v>
      </c>
      <c r="F77" s="400"/>
      <c r="H77" s="1293"/>
      <c r="I77" s="1354"/>
      <c r="J77" s="1354"/>
      <c r="K77" s="1354"/>
      <c r="L77" s="1354"/>
      <c r="M77" s="1354"/>
      <c r="N77" s="1355"/>
      <c r="O77" s="781" t="s">
        <v>2441</v>
      </c>
      <c r="Q77" s="1293"/>
      <c r="R77" s="1354"/>
      <c r="S77" s="1355"/>
    </row>
    <row r="78" spans="2:19" s="386" customFormat="1" ht="13.15" customHeight="1">
      <c r="D78" s="431"/>
      <c r="E78" s="392" t="s">
        <v>798</v>
      </c>
      <c r="H78" s="1293"/>
      <c r="I78" s="1354"/>
      <c r="J78" s="1355"/>
      <c r="O78" s="781" t="s">
        <v>2499</v>
      </c>
      <c r="Q78" s="1301"/>
      <c r="R78" s="1306"/>
      <c r="S78" s="1302"/>
    </row>
    <row r="79" spans="2:19" s="386" customFormat="1" ht="13.15" customHeight="1">
      <c r="E79" s="392" t="s">
        <v>2495</v>
      </c>
      <c r="H79" s="1307"/>
      <c r="I79" s="417" t="s">
        <v>2954</v>
      </c>
      <c r="J79" s="1304"/>
      <c r="K79" s="1355"/>
      <c r="O79" s="781" t="s">
        <v>2690</v>
      </c>
      <c r="Q79" s="1301"/>
      <c r="R79" s="1306"/>
      <c r="S79" s="1302"/>
    </row>
    <row r="80" spans="2:19" s="386" customFormat="1" ht="13.15" customHeight="1">
      <c r="D80" s="431"/>
      <c r="E80" s="392" t="s">
        <v>2696</v>
      </c>
      <c r="H80" s="1301"/>
      <c r="I80" s="1302"/>
      <c r="J80" s="1386"/>
      <c r="K80" s="789" t="s">
        <v>2498</v>
      </c>
      <c r="L80" s="1340"/>
      <c r="M80" s="1355"/>
      <c r="N80" s="394" t="s">
        <v>2695</v>
      </c>
      <c r="O80" s="1308"/>
      <c r="P80" s="1309"/>
      <c r="Q80" s="1309"/>
      <c r="R80" s="1309"/>
      <c r="S80" s="1310"/>
    </row>
    <row r="81" spans="1:19" ht="13.15" customHeight="1"/>
    <row r="82" spans="1:19" s="392" customFormat="1" ht="13.15" customHeight="1">
      <c r="A82" s="393" t="s">
        <v>1047</v>
      </c>
      <c r="B82" s="393" t="s">
        <v>315</v>
      </c>
      <c r="D82" s="393"/>
      <c r="E82" s="781"/>
      <c r="F82" s="350"/>
      <c r="G82" s="350"/>
      <c r="H82" s="350"/>
      <c r="I82" s="350"/>
      <c r="J82" s="350"/>
      <c r="K82" s="350"/>
      <c r="L82" s="350"/>
      <c r="M82" s="350"/>
    </row>
    <row r="83" spans="1:19" s="392" customFormat="1" ht="9" customHeight="1">
      <c r="A83" s="393"/>
      <c r="B83" s="393"/>
      <c r="D83" s="393"/>
      <c r="E83" s="781"/>
      <c r="F83" s="350"/>
      <c r="G83" s="350"/>
      <c r="H83" s="1390"/>
      <c r="I83" s="1390"/>
      <c r="J83" s="1390"/>
      <c r="K83" s="782"/>
      <c r="L83" s="1390"/>
      <c r="M83" s="1390"/>
      <c r="N83" s="782"/>
      <c r="O83" s="1391"/>
      <c r="P83" s="1391"/>
      <c r="Q83" s="789"/>
      <c r="R83" s="1391"/>
      <c r="S83" s="1391"/>
    </row>
    <row r="84" spans="1:19" s="386" customFormat="1" ht="13.15" customHeight="1">
      <c r="B84" s="389" t="s">
        <v>2694</v>
      </c>
      <c r="C84" s="389" t="s">
        <v>316</v>
      </c>
      <c r="H84" s="1293"/>
      <c r="I84" s="1354"/>
      <c r="J84" s="1354"/>
      <c r="K84" s="1354"/>
      <c r="L84" s="1354"/>
      <c r="M84" s="1354"/>
      <c r="N84" s="1355"/>
      <c r="O84" s="781" t="s">
        <v>2701</v>
      </c>
      <c r="P84" s="781"/>
      <c r="Q84" s="1293"/>
      <c r="R84" s="1354"/>
      <c r="S84" s="1355"/>
    </row>
    <row r="85" spans="1:19" s="386" customFormat="1" ht="13.15" customHeight="1">
      <c r="D85" s="431"/>
      <c r="E85" s="392" t="s">
        <v>1424</v>
      </c>
      <c r="F85" s="400"/>
      <c r="H85" s="1293"/>
      <c r="I85" s="1354"/>
      <c r="J85" s="1354"/>
      <c r="K85" s="1354"/>
      <c r="L85" s="1354"/>
      <c r="M85" s="1354"/>
      <c r="N85" s="1355"/>
      <c r="O85" s="781" t="s">
        <v>2441</v>
      </c>
      <c r="Q85" s="1293"/>
      <c r="R85" s="1354"/>
      <c r="S85" s="1355"/>
    </row>
    <row r="86" spans="1:19" s="386" customFormat="1" ht="13.15" customHeight="1">
      <c r="D86" s="431"/>
      <c r="E86" s="392" t="s">
        <v>798</v>
      </c>
      <c r="H86" s="1293"/>
      <c r="I86" s="1354"/>
      <c r="J86" s="1355"/>
      <c r="O86" s="781" t="s">
        <v>2499</v>
      </c>
      <c r="Q86" s="1301"/>
      <c r="R86" s="1306"/>
      <c r="S86" s="1302"/>
    </row>
    <row r="87" spans="1:19" s="386" customFormat="1" ht="13.15" customHeight="1">
      <c r="E87" s="392" t="s">
        <v>2495</v>
      </c>
      <c r="H87" s="1307"/>
      <c r="I87" s="417" t="s">
        <v>2954</v>
      </c>
      <c r="J87" s="1304"/>
      <c r="K87" s="1355"/>
      <c r="O87" s="781" t="s">
        <v>2690</v>
      </c>
      <c r="Q87" s="1301"/>
      <c r="R87" s="1306"/>
      <c r="S87" s="1302"/>
    </row>
    <row r="88" spans="1:19" s="386" customFormat="1" ht="13.15" customHeight="1">
      <c r="D88" s="431"/>
      <c r="E88" s="392" t="s">
        <v>2696</v>
      </c>
      <c r="H88" s="1301"/>
      <c r="I88" s="1302"/>
      <c r="J88" s="1386"/>
      <c r="K88" s="789" t="s">
        <v>2498</v>
      </c>
      <c r="L88" s="1340"/>
      <c r="M88" s="1355"/>
      <c r="N88" s="394" t="s">
        <v>2695</v>
      </c>
      <c r="O88" s="1308"/>
      <c r="P88" s="1309"/>
      <c r="Q88" s="1309"/>
      <c r="R88" s="1309"/>
      <c r="S88" s="1310"/>
    </row>
    <row r="89" spans="1:19" ht="6.6" customHeight="1">
      <c r="H89" s="1392"/>
      <c r="I89" s="1392"/>
      <c r="J89" s="1392"/>
      <c r="K89" s="789"/>
      <c r="L89" s="1392"/>
      <c r="M89" s="1392"/>
      <c r="N89" s="782"/>
      <c r="O89" s="1391"/>
      <c r="P89" s="1391"/>
      <c r="Q89" s="789"/>
      <c r="R89" s="1391"/>
      <c r="S89" s="1391"/>
    </row>
    <row r="90" spans="1:19" s="386" customFormat="1" ht="13.15" customHeight="1">
      <c r="B90" s="389" t="s">
        <v>2697</v>
      </c>
      <c r="C90" s="389" t="s">
        <v>317</v>
      </c>
      <c r="H90" s="1293" t="s">
        <v>4080</v>
      </c>
      <c r="I90" s="1354"/>
      <c r="J90" s="1354"/>
      <c r="K90" s="1354"/>
      <c r="L90" s="1354"/>
      <c r="M90" s="1354"/>
      <c r="N90" s="1355"/>
      <c r="O90" s="781" t="s">
        <v>2701</v>
      </c>
      <c r="P90" s="781"/>
      <c r="Q90" s="1293" t="s">
        <v>4083</v>
      </c>
      <c r="R90" s="1354"/>
      <c r="S90" s="1355"/>
    </row>
    <row r="91" spans="1:19" s="386" customFormat="1" ht="13.15" customHeight="1">
      <c r="D91" s="431"/>
      <c r="E91" s="392" t="s">
        <v>1424</v>
      </c>
      <c r="F91" s="400"/>
      <c r="H91" s="1293" t="s">
        <v>4081</v>
      </c>
      <c r="I91" s="1354"/>
      <c r="J91" s="1354"/>
      <c r="K91" s="1354"/>
      <c r="L91" s="1354"/>
      <c r="M91" s="1354"/>
      <c r="N91" s="1355"/>
      <c r="O91" s="781" t="s">
        <v>2441</v>
      </c>
      <c r="Q91" s="1293" t="s">
        <v>4084</v>
      </c>
      <c r="R91" s="1354"/>
      <c r="S91" s="1355"/>
    </row>
    <row r="92" spans="1:19" s="386" customFormat="1" ht="13.15" customHeight="1">
      <c r="D92" s="431"/>
      <c r="E92" s="392" t="s">
        <v>798</v>
      </c>
      <c r="H92" s="1293" t="s">
        <v>4082</v>
      </c>
      <c r="I92" s="1354"/>
      <c r="J92" s="1355"/>
      <c r="O92" s="781" t="s">
        <v>2499</v>
      </c>
      <c r="Q92" s="1301"/>
      <c r="R92" s="1306"/>
      <c r="S92" s="1302"/>
    </row>
    <row r="93" spans="1:19" s="386" customFormat="1" ht="13.15" customHeight="1">
      <c r="E93" s="392" t="s">
        <v>2495</v>
      </c>
      <c r="H93" s="1307" t="s">
        <v>1232</v>
      </c>
      <c r="I93" s="417" t="s">
        <v>2954</v>
      </c>
      <c r="J93" s="1304">
        <v>365074828</v>
      </c>
      <c r="K93" s="1355"/>
      <c r="O93" s="781" t="s">
        <v>2690</v>
      </c>
      <c r="Q93" s="1301">
        <v>2516893966</v>
      </c>
      <c r="R93" s="1306"/>
      <c r="S93" s="1302"/>
    </row>
    <row r="94" spans="1:19" s="386" customFormat="1" ht="13.15" customHeight="1">
      <c r="D94" s="431"/>
      <c r="E94" s="392" t="s">
        <v>2696</v>
      </c>
      <c r="H94" s="1301">
        <v>2519379098</v>
      </c>
      <c r="I94" s="1302"/>
      <c r="J94" s="1386"/>
      <c r="K94" s="789" t="s">
        <v>2498</v>
      </c>
      <c r="L94" s="1340">
        <v>2519374104</v>
      </c>
      <c r="M94" s="1355"/>
      <c r="N94" s="394" t="s">
        <v>2695</v>
      </c>
      <c r="O94" s="1308" t="s">
        <v>4085</v>
      </c>
      <c r="P94" s="1309"/>
      <c r="Q94" s="1309"/>
      <c r="R94" s="1309"/>
      <c r="S94" s="1310"/>
    </row>
    <row r="95" spans="1:19" ht="6.6" customHeight="1">
      <c r="H95" s="1392"/>
      <c r="I95" s="1392"/>
      <c r="J95" s="1392"/>
      <c r="K95" s="789"/>
      <c r="L95" s="1392"/>
      <c r="M95" s="1392"/>
      <c r="N95" s="782"/>
      <c r="O95" s="1391"/>
      <c r="P95" s="1391"/>
      <c r="Q95" s="789"/>
      <c r="R95" s="1391"/>
      <c r="S95" s="1391"/>
    </row>
    <row r="96" spans="1:19" s="386" customFormat="1" ht="13.15" customHeight="1">
      <c r="B96" s="389" t="s">
        <v>1054</v>
      </c>
      <c r="C96" s="389" t="s">
        <v>318</v>
      </c>
      <c r="F96" s="406"/>
      <c r="H96" s="1293" t="s">
        <v>4086</v>
      </c>
      <c r="I96" s="1354"/>
      <c r="J96" s="1354"/>
      <c r="K96" s="1354"/>
      <c r="L96" s="1354"/>
      <c r="M96" s="1354"/>
      <c r="N96" s="1355"/>
      <c r="O96" s="781" t="s">
        <v>2701</v>
      </c>
      <c r="P96" s="781"/>
      <c r="Q96" s="1293" t="s">
        <v>4068</v>
      </c>
      <c r="R96" s="1354"/>
      <c r="S96" s="1355"/>
    </row>
    <row r="97" spans="2:19" s="386" customFormat="1" ht="13.15" customHeight="1">
      <c r="D97" s="431"/>
      <c r="E97" s="392" t="s">
        <v>1424</v>
      </c>
      <c r="F97" s="400"/>
      <c r="H97" s="1293" t="s">
        <v>4087</v>
      </c>
      <c r="I97" s="1354"/>
      <c r="J97" s="1354"/>
      <c r="K97" s="1354"/>
      <c r="L97" s="1354"/>
      <c r="M97" s="1354"/>
      <c r="N97" s="1355"/>
      <c r="O97" s="781" t="s">
        <v>2441</v>
      </c>
      <c r="Q97" s="1293" t="s">
        <v>4069</v>
      </c>
      <c r="R97" s="1354"/>
      <c r="S97" s="1355"/>
    </row>
    <row r="98" spans="2:19" s="386" customFormat="1" ht="13.15" customHeight="1">
      <c r="D98" s="431"/>
      <c r="E98" s="392" t="s">
        <v>798</v>
      </c>
      <c r="H98" s="1293" t="s">
        <v>4088</v>
      </c>
      <c r="I98" s="1354"/>
      <c r="J98" s="1355"/>
      <c r="O98" s="781" t="s">
        <v>2499</v>
      </c>
      <c r="Q98" s="1301"/>
      <c r="R98" s="1306"/>
      <c r="S98" s="1302"/>
    </row>
    <row r="99" spans="2:19" s="386" customFormat="1" ht="13.15" customHeight="1">
      <c r="D99" s="431"/>
      <c r="E99" s="392" t="s">
        <v>2495</v>
      </c>
      <c r="H99" s="1307" t="s">
        <v>1232</v>
      </c>
      <c r="I99" s="417" t="s">
        <v>2954</v>
      </c>
      <c r="J99" s="1304">
        <v>352425041</v>
      </c>
      <c r="K99" s="1355"/>
      <c r="O99" s="781" t="s">
        <v>2690</v>
      </c>
      <c r="Q99" s="1301">
        <v>2563354030</v>
      </c>
      <c r="R99" s="1306"/>
      <c r="S99" s="1302"/>
    </row>
    <row r="100" spans="2:19" s="386" customFormat="1" ht="13.15" customHeight="1">
      <c r="D100" s="431"/>
      <c r="E100" s="392" t="s">
        <v>2696</v>
      </c>
      <c r="H100" s="1301">
        <v>2059803245</v>
      </c>
      <c r="I100" s="1302"/>
      <c r="J100" s="1386"/>
      <c r="K100" s="789" t="s">
        <v>2498</v>
      </c>
      <c r="L100" s="1340">
        <v>2056370603</v>
      </c>
      <c r="M100" s="1355"/>
      <c r="N100" s="394" t="s">
        <v>2695</v>
      </c>
      <c r="O100" s="1308" t="s">
        <v>4089</v>
      </c>
      <c r="P100" s="1309"/>
      <c r="Q100" s="1309"/>
      <c r="R100" s="1309"/>
      <c r="S100" s="1310"/>
    </row>
    <row r="101" spans="2:19" ht="6.6" customHeight="1">
      <c r="H101" s="1392"/>
      <c r="I101" s="1392"/>
      <c r="J101" s="1392"/>
      <c r="K101" s="789"/>
      <c r="L101" s="1392"/>
      <c r="M101" s="1392"/>
      <c r="N101" s="782"/>
      <c r="O101" s="1391"/>
      <c r="P101" s="1391"/>
      <c r="Q101" s="789"/>
      <c r="R101" s="1391"/>
      <c r="S101" s="1391"/>
    </row>
    <row r="102" spans="2:19" s="386" customFormat="1" ht="13.15" customHeight="1">
      <c r="B102" s="389" t="s">
        <v>2830</v>
      </c>
      <c r="C102" s="389" t="s">
        <v>319</v>
      </c>
      <c r="H102" s="1293" t="s">
        <v>4185</v>
      </c>
      <c r="I102" s="1354"/>
      <c r="J102" s="1354"/>
      <c r="K102" s="1354"/>
      <c r="L102" s="1354"/>
      <c r="M102" s="1354"/>
      <c r="N102" s="1355"/>
      <c r="O102" s="781" t="s">
        <v>2701</v>
      </c>
      <c r="P102" s="781"/>
      <c r="Q102" s="1293" t="s">
        <v>4091</v>
      </c>
      <c r="R102" s="1354"/>
      <c r="S102" s="1355"/>
    </row>
    <row r="103" spans="2:19" s="386" customFormat="1" ht="13.15" customHeight="1">
      <c r="D103" s="431"/>
      <c r="E103" s="392" t="s">
        <v>1424</v>
      </c>
      <c r="F103" s="400"/>
      <c r="H103" s="1293" t="s">
        <v>4090</v>
      </c>
      <c r="I103" s="1354"/>
      <c r="J103" s="1354"/>
      <c r="K103" s="1354"/>
      <c r="L103" s="1354"/>
      <c r="M103" s="1354"/>
      <c r="N103" s="1355"/>
      <c r="O103" s="781" t="s">
        <v>2441</v>
      </c>
      <c r="Q103" s="1293" t="s">
        <v>4092</v>
      </c>
      <c r="R103" s="1354"/>
      <c r="S103" s="1355"/>
    </row>
    <row r="104" spans="2:19" s="386" customFormat="1" ht="13.15" customHeight="1">
      <c r="D104" s="431"/>
      <c r="E104" s="392" t="s">
        <v>798</v>
      </c>
      <c r="H104" s="1293" t="s">
        <v>2386</v>
      </c>
      <c r="I104" s="1354"/>
      <c r="J104" s="1355"/>
      <c r="O104" s="781" t="s">
        <v>2499</v>
      </c>
      <c r="Q104" s="1301">
        <v>2296718216</v>
      </c>
      <c r="R104" s="1306"/>
      <c r="S104" s="1302"/>
    </row>
    <row r="105" spans="2:19" s="386" customFormat="1" ht="13.15" customHeight="1">
      <c r="D105" s="431"/>
      <c r="E105" s="392" t="s">
        <v>2495</v>
      </c>
      <c r="H105" s="1307" t="s">
        <v>1242</v>
      </c>
      <c r="I105" s="417" t="s">
        <v>2954</v>
      </c>
      <c r="J105" s="1304">
        <v>316014531</v>
      </c>
      <c r="K105" s="1355"/>
      <c r="O105" s="781" t="s">
        <v>2690</v>
      </c>
      <c r="Q105" s="1301">
        <v>2295484476</v>
      </c>
      <c r="R105" s="1306"/>
      <c r="S105" s="1302"/>
    </row>
    <row r="106" spans="2:19" ht="13.15" customHeight="1">
      <c r="E106" s="392" t="s">
        <v>2696</v>
      </c>
      <c r="F106" s="386"/>
      <c r="G106" s="386"/>
      <c r="H106" s="1301">
        <v>2292427562</v>
      </c>
      <c r="I106" s="1302"/>
      <c r="J106" s="1386"/>
      <c r="K106" s="789" t="s">
        <v>2498</v>
      </c>
      <c r="L106" s="1340">
        <v>2293330885</v>
      </c>
      <c r="M106" s="1355"/>
      <c r="N106" s="394" t="s">
        <v>2695</v>
      </c>
      <c r="O106" s="1308" t="s">
        <v>4093</v>
      </c>
      <c r="P106" s="1309"/>
      <c r="Q106" s="1309"/>
      <c r="R106" s="1309"/>
      <c r="S106" s="1310"/>
    </row>
    <row r="107" spans="2:19" ht="6" customHeight="1">
      <c r="E107" s="392"/>
      <c r="F107" s="386"/>
      <c r="G107" s="386"/>
      <c r="H107" s="386"/>
      <c r="I107" s="386"/>
      <c r="J107" s="386"/>
      <c r="K107" s="386"/>
      <c r="L107" s="386"/>
      <c r="M107" s="386"/>
      <c r="N107" s="386"/>
      <c r="O107" s="386"/>
      <c r="P107" s="386"/>
      <c r="Q107" s="789"/>
      <c r="R107" s="789"/>
      <c r="S107" s="1394"/>
    </row>
    <row r="108" spans="2:19" ht="0.6" customHeight="1">
      <c r="E108" s="392"/>
      <c r="F108" s="386"/>
      <c r="G108" s="786"/>
      <c r="H108" s="1390"/>
      <c r="I108" s="1390"/>
      <c r="J108" s="1390"/>
      <c r="K108" s="782"/>
      <c r="L108" s="1390"/>
      <c r="M108" s="1390"/>
      <c r="N108" s="782"/>
      <c r="O108" s="1391"/>
      <c r="P108" s="1391"/>
      <c r="Q108" s="789"/>
      <c r="R108" s="1391"/>
      <c r="S108" s="1391"/>
    </row>
    <row r="109" spans="2:19" s="386" customFormat="1" ht="13.15" customHeight="1">
      <c r="B109" s="389" t="s">
        <v>2428</v>
      </c>
      <c r="C109" s="389" t="s">
        <v>320</v>
      </c>
      <c r="H109" s="1293" t="s">
        <v>4094</v>
      </c>
      <c r="I109" s="1354"/>
      <c r="J109" s="1354"/>
      <c r="K109" s="1354"/>
      <c r="L109" s="1354"/>
      <c r="M109" s="1354"/>
      <c r="N109" s="1355"/>
      <c r="O109" s="781" t="s">
        <v>2701</v>
      </c>
      <c r="P109" s="781"/>
      <c r="Q109" s="1293" t="s">
        <v>4096</v>
      </c>
      <c r="R109" s="1354"/>
      <c r="S109" s="1355"/>
    </row>
    <row r="110" spans="2:19" s="386" customFormat="1" ht="13.15" customHeight="1">
      <c r="D110" s="431"/>
      <c r="E110" s="392" t="s">
        <v>1424</v>
      </c>
      <c r="F110" s="400"/>
      <c r="H110" s="1293" t="s">
        <v>4095</v>
      </c>
      <c r="I110" s="1354"/>
      <c r="J110" s="1354"/>
      <c r="K110" s="1354"/>
      <c r="L110" s="1354"/>
      <c r="M110" s="1354"/>
      <c r="N110" s="1355"/>
      <c r="O110" s="781" t="s">
        <v>2441</v>
      </c>
      <c r="Q110" s="1293" t="s">
        <v>4092</v>
      </c>
      <c r="R110" s="1354"/>
      <c r="S110" s="1355"/>
    </row>
    <row r="111" spans="2:19" s="386" customFormat="1" ht="13.15" customHeight="1">
      <c r="D111" s="431"/>
      <c r="E111" s="392" t="s">
        <v>798</v>
      </c>
      <c r="H111" s="1293" t="s">
        <v>4088</v>
      </c>
      <c r="I111" s="1354"/>
      <c r="J111" s="1355"/>
      <c r="O111" s="781" t="s">
        <v>2499</v>
      </c>
      <c r="Q111" s="1301"/>
      <c r="R111" s="1306"/>
      <c r="S111" s="1302"/>
    </row>
    <row r="112" spans="2:19" s="386" customFormat="1" ht="13.15" customHeight="1">
      <c r="D112" s="431"/>
      <c r="E112" s="392" t="s">
        <v>2495</v>
      </c>
      <c r="H112" s="1307" t="s">
        <v>1232</v>
      </c>
      <c r="I112" s="417" t="s">
        <v>2954</v>
      </c>
      <c r="J112" s="1304">
        <v>352034803</v>
      </c>
      <c r="K112" s="1355"/>
      <c r="O112" s="781" t="s">
        <v>2690</v>
      </c>
      <c r="Q112" s="1301"/>
      <c r="R112" s="1306"/>
      <c r="S112" s="1302"/>
    </row>
    <row r="113" spans="1:19" ht="13.15" customHeight="1">
      <c r="E113" s="392" t="s">
        <v>2696</v>
      </c>
      <c r="F113" s="386"/>
      <c r="G113" s="386"/>
      <c r="H113" s="1301">
        <v>2058221010</v>
      </c>
      <c r="I113" s="1302"/>
      <c r="J113" s="1386"/>
      <c r="K113" s="789" t="s">
        <v>2498</v>
      </c>
      <c r="L113" s="1340">
        <v>2059305509</v>
      </c>
      <c r="M113" s="1355"/>
      <c r="N113" s="394" t="s">
        <v>2695</v>
      </c>
      <c r="O113" s="1308" t="s">
        <v>4097</v>
      </c>
      <c r="P113" s="1309"/>
      <c r="Q113" s="1309"/>
      <c r="R113" s="1309"/>
      <c r="S113" s="1310"/>
    </row>
    <row r="114" spans="1:19" ht="6.6" customHeight="1">
      <c r="E114" s="392"/>
      <c r="F114" s="386"/>
      <c r="G114" s="786"/>
      <c r="H114" s="1392"/>
      <c r="I114" s="1392"/>
      <c r="J114" s="1392"/>
      <c r="K114" s="789"/>
      <c r="L114" s="1392"/>
      <c r="M114" s="1392"/>
      <c r="N114" s="782"/>
      <c r="O114" s="1391"/>
      <c r="P114" s="1391"/>
      <c r="Q114" s="789"/>
      <c r="R114" s="1391"/>
      <c r="S114" s="1391"/>
    </row>
    <row r="115" spans="1:19" s="386" customFormat="1" ht="13.15" customHeight="1">
      <c r="B115" s="389" t="s">
        <v>2429</v>
      </c>
      <c r="C115" s="389" t="s">
        <v>321</v>
      </c>
      <c r="H115" s="1293" t="s">
        <v>4098</v>
      </c>
      <c r="I115" s="1354"/>
      <c r="J115" s="1354"/>
      <c r="K115" s="1354"/>
      <c r="L115" s="1354"/>
      <c r="M115" s="1354"/>
      <c r="N115" s="1355"/>
      <c r="O115" s="781" t="s">
        <v>2701</v>
      </c>
      <c r="P115" s="781"/>
      <c r="Q115" s="1293" t="s">
        <v>4100</v>
      </c>
      <c r="R115" s="1354"/>
      <c r="S115" s="1355"/>
    </row>
    <row r="116" spans="1:19" s="386" customFormat="1" ht="13.15" customHeight="1">
      <c r="D116" s="431"/>
      <c r="E116" s="392" t="s">
        <v>1424</v>
      </c>
      <c r="F116" s="400"/>
      <c r="H116" s="1293" t="s">
        <v>4099</v>
      </c>
      <c r="I116" s="1354"/>
      <c r="J116" s="1354"/>
      <c r="K116" s="1354"/>
      <c r="L116" s="1354"/>
      <c r="M116" s="1354"/>
      <c r="N116" s="1355"/>
      <c r="O116" s="781" t="s">
        <v>2441</v>
      </c>
      <c r="Q116" s="1293" t="s">
        <v>4101</v>
      </c>
      <c r="R116" s="1354"/>
      <c r="S116" s="1355"/>
    </row>
    <row r="117" spans="1:19" s="386" customFormat="1" ht="13.15" customHeight="1">
      <c r="D117" s="431"/>
      <c r="E117" s="392" t="s">
        <v>798</v>
      </c>
      <c r="H117" s="1293" t="s">
        <v>201</v>
      </c>
      <c r="I117" s="1354"/>
      <c r="J117" s="1355"/>
      <c r="O117" s="781" t="s">
        <v>2499</v>
      </c>
      <c r="Q117" s="1301"/>
      <c r="R117" s="1306"/>
      <c r="S117" s="1302"/>
    </row>
    <row r="118" spans="1:19" s="386" customFormat="1" ht="13.15" customHeight="1">
      <c r="D118" s="436"/>
      <c r="E118" s="392" t="s">
        <v>2495</v>
      </c>
      <c r="H118" s="1307" t="s">
        <v>1232</v>
      </c>
      <c r="I118" s="417" t="s">
        <v>2954</v>
      </c>
      <c r="J118" s="1304">
        <v>361062727</v>
      </c>
      <c r="K118" s="1355"/>
      <c r="O118" s="781" t="s">
        <v>2690</v>
      </c>
      <c r="Q118" s="1301">
        <v>3345461281</v>
      </c>
      <c r="R118" s="1306"/>
      <c r="S118" s="1302"/>
    </row>
    <row r="119" spans="1:19" s="386" customFormat="1" ht="13.15" customHeight="1">
      <c r="D119" s="436"/>
      <c r="E119" s="392" t="s">
        <v>2696</v>
      </c>
      <c r="H119" s="1301">
        <v>3342724044</v>
      </c>
      <c r="I119" s="1302"/>
      <c r="J119" s="1386"/>
      <c r="K119" s="789" t="s">
        <v>2498</v>
      </c>
      <c r="L119" s="1340">
        <v>3342440347</v>
      </c>
      <c r="M119" s="1355"/>
      <c r="N119" s="394" t="s">
        <v>2695</v>
      </c>
      <c r="O119" s="1308" t="s">
        <v>4102</v>
      </c>
      <c r="P119" s="1309"/>
      <c r="Q119" s="1309"/>
      <c r="R119" s="1309"/>
      <c r="S119" s="1310"/>
    </row>
    <row r="120" spans="1:19" ht="13.15" customHeight="1"/>
    <row r="121" spans="1:19" s="386" customFormat="1" ht="13.15" customHeight="1">
      <c r="A121" s="389" t="s">
        <v>2488</v>
      </c>
      <c r="B121" s="389" t="s">
        <v>3401</v>
      </c>
      <c r="F121" s="389"/>
      <c r="G121" s="789"/>
      <c r="H121" s="789"/>
      <c r="I121" s="789"/>
      <c r="J121" s="789"/>
      <c r="K121" s="789"/>
      <c r="L121" s="789"/>
      <c r="M121" s="789"/>
      <c r="N121" s="789"/>
      <c r="O121" s="789"/>
      <c r="P121" s="789"/>
      <c r="Q121" s="778"/>
    </row>
    <row r="122" spans="1:19" s="386" customFormat="1" ht="6.6" customHeight="1">
      <c r="A122" s="389"/>
      <c r="B122" s="389"/>
      <c r="F122" s="389"/>
      <c r="G122" s="789"/>
      <c r="H122" s="789"/>
      <c r="I122" s="789"/>
      <c r="J122" s="789"/>
      <c r="K122" s="789"/>
      <c r="L122" s="789"/>
      <c r="M122" s="789"/>
      <c r="N122" s="789"/>
      <c r="O122" s="789"/>
      <c r="P122" s="789"/>
      <c r="Q122" s="778"/>
    </row>
    <row r="123" spans="1:19" s="386" customFormat="1" ht="21.6" customHeight="1">
      <c r="A123" s="847" t="s">
        <v>820</v>
      </c>
      <c r="B123" s="1395"/>
      <c r="C123" s="1395"/>
      <c r="D123" s="1396"/>
      <c r="E123" s="848" t="s">
        <v>3950</v>
      </c>
      <c r="F123" s="851" t="s">
        <v>3098</v>
      </c>
      <c r="G123" s="855" t="s">
        <v>3099</v>
      </c>
      <c r="H123" s="856"/>
      <c r="I123" s="857"/>
      <c r="J123" s="855" t="s">
        <v>3100</v>
      </c>
      <c r="K123" s="864"/>
      <c r="L123" s="855" t="s">
        <v>3101</v>
      </c>
      <c r="M123" s="869"/>
      <c r="N123" s="855" t="s">
        <v>3102</v>
      </c>
      <c r="O123" s="857"/>
      <c r="P123" s="855" t="s">
        <v>3103</v>
      </c>
      <c r="Q123" s="857"/>
      <c r="R123" s="855" t="s">
        <v>3104</v>
      </c>
      <c r="S123" s="874"/>
    </row>
    <row r="124" spans="1:19" s="386" customFormat="1" ht="21.6" customHeight="1">
      <c r="A124" s="1397"/>
      <c r="B124" s="1398"/>
      <c r="C124" s="1398"/>
      <c r="D124" s="1399"/>
      <c r="E124" s="849"/>
      <c r="F124" s="852"/>
      <c r="G124" s="858"/>
      <c r="H124" s="859"/>
      <c r="I124" s="860"/>
      <c r="J124" s="865"/>
      <c r="K124" s="866"/>
      <c r="L124" s="858"/>
      <c r="M124" s="870"/>
      <c r="N124" s="858"/>
      <c r="O124" s="860"/>
      <c r="P124" s="858"/>
      <c r="Q124" s="860"/>
      <c r="R124" s="858"/>
      <c r="S124" s="875"/>
    </row>
    <row r="125" spans="1:19" s="386" customFormat="1" ht="21.6" customHeight="1">
      <c r="A125" s="1397"/>
      <c r="B125" s="1398"/>
      <c r="C125" s="1398"/>
      <c r="D125" s="1399"/>
      <c r="E125" s="849"/>
      <c r="F125" s="853"/>
      <c r="G125" s="858"/>
      <c r="H125" s="859"/>
      <c r="I125" s="860"/>
      <c r="J125" s="865"/>
      <c r="K125" s="866"/>
      <c r="L125" s="871"/>
      <c r="M125" s="870"/>
      <c r="N125" s="858"/>
      <c r="O125" s="860"/>
      <c r="P125" s="858"/>
      <c r="Q125" s="860"/>
      <c r="R125" s="876"/>
      <c r="S125" s="875"/>
    </row>
    <row r="126" spans="1:19" s="386" customFormat="1" ht="21.6" customHeight="1">
      <c r="A126" s="1397"/>
      <c r="B126" s="1398"/>
      <c r="C126" s="1398"/>
      <c r="D126" s="1399"/>
      <c r="E126" s="849"/>
      <c r="F126" s="853"/>
      <c r="G126" s="858"/>
      <c r="H126" s="859"/>
      <c r="I126" s="860"/>
      <c r="J126" s="865"/>
      <c r="K126" s="866"/>
      <c r="L126" s="871"/>
      <c r="M126" s="870"/>
      <c r="N126" s="858"/>
      <c r="O126" s="860"/>
      <c r="P126" s="858"/>
      <c r="Q126" s="860"/>
      <c r="R126" s="876"/>
      <c r="S126" s="875"/>
    </row>
    <row r="127" spans="1:19" s="386" customFormat="1" ht="21.6" customHeight="1">
      <c r="A127" s="1400"/>
      <c r="B127" s="1401"/>
      <c r="C127" s="1401"/>
      <c r="D127" s="1402"/>
      <c r="E127" s="850"/>
      <c r="F127" s="854"/>
      <c r="G127" s="861"/>
      <c r="H127" s="862"/>
      <c r="I127" s="863"/>
      <c r="J127" s="867"/>
      <c r="K127" s="868"/>
      <c r="L127" s="872"/>
      <c r="M127" s="873"/>
      <c r="N127" s="861"/>
      <c r="O127" s="863"/>
      <c r="P127" s="861"/>
      <c r="Q127" s="863"/>
      <c r="R127" s="877"/>
      <c r="S127" s="878"/>
    </row>
    <row r="128" spans="1:19" s="386" customFormat="1" ht="15" customHeight="1">
      <c r="A128" s="787" t="s">
        <v>3097</v>
      </c>
      <c r="B128" s="788"/>
      <c r="C128" s="788"/>
      <c r="D128" s="794"/>
      <c r="E128" s="1403" t="s">
        <v>4103</v>
      </c>
      <c r="F128" s="1403" t="s">
        <v>4103</v>
      </c>
      <c r="G128" s="1404" t="s">
        <v>4103</v>
      </c>
      <c r="H128" s="1405"/>
      <c r="I128" s="1406"/>
      <c r="J128" s="1404" t="s">
        <v>4104</v>
      </c>
      <c r="K128" s="1406"/>
      <c r="L128" s="1404" t="s">
        <v>4103</v>
      </c>
      <c r="M128" s="1406"/>
      <c r="N128" s="1404" t="s">
        <v>4103</v>
      </c>
      <c r="O128" s="1406"/>
      <c r="P128" s="1407" t="s">
        <v>4105</v>
      </c>
      <c r="Q128" s="1408"/>
      <c r="R128" s="1409">
        <v>1E-4</v>
      </c>
      <c r="S128" s="1410"/>
    </row>
    <row r="129" spans="1:19" s="386" customFormat="1" ht="15" customHeight="1">
      <c r="A129" s="785" t="s">
        <v>3087</v>
      </c>
      <c r="B129" s="786"/>
      <c r="C129" s="786"/>
      <c r="D129" s="792"/>
      <c r="E129" s="1411"/>
      <c r="F129" s="1411"/>
      <c r="G129" s="1412"/>
      <c r="H129" s="1413"/>
      <c r="I129" s="1414"/>
      <c r="J129" s="1412"/>
      <c r="K129" s="1414"/>
      <c r="L129" s="1412"/>
      <c r="M129" s="1414"/>
      <c r="N129" s="1412"/>
      <c r="O129" s="1414"/>
      <c r="P129" s="1415"/>
      <c r="Q129" s="1416"/>
      <c r="R129" s="1417"/>
      <c r="S129" s="1418"/>
    </row>
    <row r="130" spans="1:19" s="386" customFormat="1" ht="15" customHeight="1">
      <c r="A130" s="785" t="s">
        <v>3088</v>
      </c>
      <c r="B130" s="786"/>
      <c r="C130" s="786"/>
      <c r="D130" s="792"/>
      <c r="E130" s="1411"/>
      <c r="F130" s="1411"/>
      <c r="G130" s="1412"/>
      <c r="H130" s="1413"/>
      <c r="I130" s="1414"/>
      <c r="J130" s="1412"/>
      <c r="K130" s="1414"/>
      <c r="L130" s="1412"/>
      <c r="M130" s="1414"/>
      <c r="N130" s="1412"/>
      <c r="O130" s="1414"/>
      <c r="P130" s="1415"/>
      <c r="Q130" s="1416"/>
      <c r="R130" s="1417"/>
      <c r="S130" s="1418"/>
    </row>
    <row r="131" spans="1:19" s="386" customFormat="1" ht="15" customHeight="1">
      <c r="A131" s="785" t="s">
        <v>3089</v>
      </c>
      <c r="B131" s="786"/>
      <c r="C131" s="786"/>
      <c r="D131" s="792"/>
      <c r="E131" s="1411" t="s">
        <v>4103</v>
      </c>
      <c r="F131" s="1411" t="s">
        <v>4103</v>
      </c>
      <c r="G131" s="1412" t="s">
        <v>4103</v>
      </c>
      <c r="H131" s="1413"/>
      <c r="I131" s="1414"/>
      <c r="J131" s="1412" t="s">
        <v>4103</v>
      </c>
      <c r="K131" s="1414"/>
      <c r="L131" s="1412" t="s">
        <v>4103</v>
      </c>
      <c r="M131" s="1414"/>
      <c r="N131" s="1412" t="s">
        <v>4103</v>
      </c>
      <c r="O131" s="1414"/>
      <c r="P131" s="1415" t="s">
        <v>4105</v>
      </c>
      <c r="Q131" s="1416"/>
      <c r="R131" s="1417">
        <v>0.99980000000000002</v>
      </c>
      <c r="S131" s="1418"/>
    </row>
    <row r="132" spans="1:19" s="386" customFormat="1" ht="15" customHeight="1">
      <c r="A132" s="785" t="s">
        <v>3090</v>
      </c>
      <c r="B132" s="786"/>
      <c r="C132" s="786"/>
      <c r="D132" s="792"/>
      <c r="E132" s="1411" t="s">
        <v>4103</v>
      </c>
      <c r="F132" s="1411" t="s">
        <v>4103</v>
      </c>
      <c r="G132" s="1412" t="s">
        <v>4103</v>
      </c>
      <c r="H132" s="1413"/>
      <c r="I132" s="1414"/>
      <c r="J132" s="1412" t="s">
        <v>4103</v>
      </c>
      <c r="K132" s="1414"/>
      <c r="L132" s="1412" t="s">
        <v>4103</v>
      </c>
      <c r="M132" s="1414"/>
      <c r="N132" s="1412" t="s">
        <v>4103</v>
      </c>
      <c r="O132" s="1414"/>
      <c r="P132" s="1415" t="s">
        <v>4105</v>
      </c>
      <c r="Q132" s="1416"/>
      <c r="R132" s="1417">
        <v>1E-4</v>
      </c>
      <c r="S132" s="1418"/>
    </row>
    <row r="133" spans="1:19" s="386" customFormat="1" ht="15" customHeight="1">
      <c r="A133" s="785" t="s">
        <v>3091</v>
      </c>
      <c r="B133" s="786"/>
      <c r="C133" s="786"/>
      <c r="D133" s="792"/>
      <c r="E133" s="1411"/>
      <c r="F133" s="1411"/>
      <c r="G133" s="1412"/>
      <c r="H133" s="1413"/>
      <c r="I133" s="1414"/>
      <c r="J133" s="1412"/>
      <c r="K133" s="1414"/>
      <c r="L133" s="1412"/>
      <c r="M133" s="1414"/>
      <c r="N133" s="1412"/>
      <c r="O133" s="1414"/>
      <c r="P133" s="1415"/>
      <c r="Q133" s="1416"/>
      <c r="R133" s="1417"/>
      <c r="S133" s="1418"/>
    </row>
    <row r="134" spans="1:19" s="386" customFormat="1" ht="15" customHeight="1">
      <c r="A134" s="785" t="s">
        <v>838</v>
      </c>
      <c r="B134" s="786"/>
      <c r="C134" s="786"/>
      <c r="D134" s="792"/>
      <c r="E134" s="1411" t="s">
        <v>4103</v>
      </c>
      <c r="F134" s="1411" t="s">
        <v>4103</v>
      </c>
      <c r="G134" s="1412" t="s">
        <v>4103</v>
      </c>
      <c r="H134" s="1413"/>
      <c r="I134" s="1414"/>
      <c r="J134" s="1412" t="s">
        <v>4104</v>
      </c>
      <c r="K134" s="1414"/>
      <c r="L134" s="1412" t="s">
        <v>4103</v>
      </c>
      <c r="M134" s="1414"/>
      <c r="N134" s="1412" t="s">
        <v>4103</v>
      </c>
      <c r="O134" s="1414"/>
      <c r="P134" s="1415" t="s">
        <v>4105</v>
      </c>
      <c r="Q134" s="1416"/>
      <c r="R134" s="1417">
        <v>0</v>
      </c>
      <c r="S134" s="1418"/>
    </row>
    <row r="135" spans="1:19" s="386" customFormat="1" ht="15" customHeight="1">
      <c r="A135" s="785" t="s">
        <v>3092</v>
      </c>
      <c r="B135" s="786"/>
      <c r="C135" s="786"/>
      <c r="D135" s="792"/>
      <c r="E135" s="1411" t="s">
        <v>4103</v>
      </c>
      <c r="F135" s="1411" t="s">
        <v>4103</v>
      </c>
      <c r="G135" s="1412" t="s">
        <v>4103</v>
      </c>
      <c r="H135" s="1413"/>
      <c r="I135" s="1414"/>
      <c r="J135" s="1412" t="s">
        <v>4103</v>
      </c>
      <c r="K135" s="1414"/>
      <c r="L135" s="1412" t="s">
        <v>4103</v>
      </c>
      <c r="M135" s="1414"/>
      <c r="N135" s="1412" t="s">
        <v>4103</v>
      </c>
      <c r="O135" s="1414"/>
      <c r="P135" s="1415" t="s">
        <v>4105</v>
      </c>
      <c r="Q135" s="1416"/>
      <c r="R135" s="1417">
        <v>0</v>
      </c>
      <c r="S135" s="1418"/>
    </row>
    <row r="136" spans="1:19" s="386" customFormat="1" ht="15" customHeight="1">
      <c r="A136" s="785" t="s">
        <v>3093</v>
      </c>
      <c r="B136" s="786"/>
      <c r="C136" s="786"/>
      <c r="D136" s="792"/>
      <c r="E136" s="1411"/>
      <c r="F136" s="1411"/>
      <c r="G136" s="1412"/>
      <c r="H136" s="1413"/>
      <c r="I136" s="1414"/>
      <c r="J136" s="1412"/>
      <c r="K136" s="1414"/>
      <c r="L136" s="1412"/>
      <c r="M136" s="1414"/>
      <c r="N136" s="1412"/>
      <c r="O136" s="1414"/>
      <c r="P136" s="1415"/>
      <c r="Q136" s="1416"/>
      <c r="R136" s="1417"/>
      <c r="S136" s="1418"/>
    </row>
    <row r="137" spans="1:19" s="386" customFormat="1" ht="15" customHeight="1">
      <c r="A137" s="785" t="s">
        <v>3094</v>
      </c>
      <c r="B137" s="786"/>
      <c r="C137" s="786"/>
      <c r="D137" s="792"/>
      <c r="E137" s="1411"/>
      <c r="F137" s="1411"/>
      <c r="G137" s="1412"/>
      <c r="H137" s="1413"/>
      <c r="I137" s="1414"/>
      <c r="J137" s="1412"/>
      <c r="K137" s="1414"/>
      <c r="L137" s="1412"/>
      <c r="M137" s="1414"/>
      <c r="N137" s="1412"/>
      <c r="O137" s="1414"/>
      <c r="P137" s="1415"/>
      <c r="Q137" s="1416"/>
      <c r="R137" s="1417"/>
      <c r="S137" s="1418"/>
    </row>
    <row r="138" spans="1:19" s="386" customFormat="1" ht="15" customHeight="1">
      <c r="A138" s="785" t="s">
        <v>3095</v>
      </c>
      <c r="B138" s="786"/>
      <c r="C138" s="786"/>
      <c r="D138" s="792"/>
      <c r="E138" s="1411"/>
      <c r="F138" s="1411"/>
      <c r="G138" s="1412"/>
      <c r="H138" s="1413"/>
      <c r="I138" s="1414"/>
      <c r="J138" s="1412"/>
      <c r="K138" s="1414"/>
      <c r="L138" s="1412"/>
      <c r="M138" s="1414"/>
      <c r="N138" s="1412"/>
      <c r="O138" s="1414"/>
      <c r="P138" s="1415"/>
      <c r="Q138" s="1416"/>
      <c r="R138" s="1417"/>
      <c r="S138" s="1418"/>
    </row>
    <row r="139" spans="1:19" s="386" customFormat="1" ht="15" customHeight="1">
      <c r="A139" s="785" t="s">
        <v>1986</v>
      </c>
      <c r="B139" s="786"/>
      <c r="C139" s="786"/>
      <c r="D139" s="792"/>
      <c r="E139" s="1411" t="s">
        <v>4103</v>
      </c>
      <c r="F139" s="1411" t="s">
        <v>4104</v>
      </c>
      <c r="G139" s="1412" t="s">
        <v>4103</v>
      </c>
      <c r="H139" s="1413"/>
      <c r="I139" s="1414"/>
      <c r="J139" s="1412" t="s">
        <v>4104</v>
      </c>
      <c r="K139" s="1414"/>
      <c r="L139" s="1412" t="s">
        <v>4103</v>
      </c>
      <c r="M139" s="1414"/>
      <c r="N139" s="1412" t="s">
        <v>4103</v>
      </c>
      <c r="O139" s="1414"/>
      <c r="P139" s="1415" t="s">
        <v>4105</v>
      </c>
      <c r="Q139" s="1416"/>
      <c r="R139" s="1417">
        <v>0</v>
      </c>
      <c r="S139" s="1418"/>
    </row>
    <row r="140" spans="1:19" s="386" customFormat="1" ht="15" customHeight="1">
      <c r="A140" s="790" t="s">
        <v>3096</v>
      </c>
      <c r="B140" s="791"/>
      <c r="C140" s="791"/>
      <c r="D140" s="437"/>
      <c r="E140" s="1419" t="s">
        <v>4103</v>
      </c>
      <c r="F140" s="1419" t="s">
        <v>4103</v>
      </c>
      <c r="G140" s="1420" t="s">
        <v>4103</v>
      </c>
      <c r="H140" s="1421"/>
      <c r="I140" s="1422"/>
      <c r="J140" s="1420" t="s">
        <v>4104</v>
      </c>
      <c r="K140" s="1422"/>
      <c r="L140" s="1420" t="s">
        <v>4103</v>
      </c>
      <c r="M140" s="1422"/>
      <c r="N140" s="1420" t="s">
        <v>4103</v>
      </c>
      <c r="O140" s="1422"/>
      <c r="P140" s="1423" t="s">
        <v>4105</v>
      </c>
      <c r="Q140" s="1424"/>
      <c r="R140" s="1425">
        <v>0</v>
      </c>
      <c r="S140" s="1426"/>
    </row>
    <row r="141" spans="1:19" s="786" customFormat="1" ht="13.9" customHeight="1">
      <c r="G141" s="398"/>
      <c r="H141" s="398"/>
      <c r="I141" s="398"/>
      <c r="J141" s="789"/>
      <c r="K141" s="789"/>
      <c r="L141" s="789"/>
      <c r="M141" s="789"/>
      <c r="P141" s="396"/>
      <c r="Q141" s="413" t="s">
        <v>706</v>
      </c>
      <c r="R141" s="879">
        <f>SUM(R128:S140)</f>
        <v>1</v>
      </c>
      <c r="S141" s="880"/>
    </row>
    <row r="142" spans="1:19" s="786" customFormat="1" ht="12" customHeight="1">
      <c r="G142" s="398"/>
      <c r="H142" s="398"/>
      <c r="I142" s="398"/>
      <c r="J142" s="789"/>
      <c r="K142" s="789"/>
      <c r="L142" s="789"/>
      <c r="M142" s="789"/>
      <c r="P142" s="396"/>
      <c r="R142" s="387"/>
      <c r="S142" s="438"/>
    </row>
    <row r="143" spans="1:19" ht="12" customHeight="1">
      <c r="A143" s="415" t="s">
        <v>2490</v>
      </c>
      <c r="B143" s="430"/>
      <c r="C143" s="415" t="s">
        <v>744</v>
      </c>
      <c r="N143" s="415" t="s">
        <v>697</v>
      </c>
      <c r="O143" s="415" t="s">
        <v>83</v>
      </c>
    </row>
    <row r="144" spans="1:19" ht="3.6" customHeight="1">
      <c r="B144" s="430"/>
    </row>
    <row r="145" spans="1:24" ht="125.25" customHeight="1">
      <c r="A145" s="1374" t="s">
        <v>4186</v>
      </c>
      <c r="B145" s="1375"/>
      <c r="C145" s="1375"/>
      <c r="D145" s="1375"/>
      <c r="E145" s="1375"/>
      <c r="F145" s="1375"/>
      <c r="G145" s="1375"/>
      <c r="H145" s="1375"/>
      <c r="I145" s="1375"/>
      <c r="J145" s="1375"/>
      <c r="K145" s="1375"/>
      <c r="L145" s="1375"/>
      <c r="M145" s="1376"/>
      <c r="N145" s="1377"/>
      <c r="O145" s="1378"/>
      <c r="P145" s="1378"/>
      <c r="Q145" s="1378"/>
      <c r="R145" s="1378"/>
      <c r="S145" s="1379"/>
      <c r="T145" s="816" t="s">
        <v>3596</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7" t="s">
        <v>2495</v>
      </c>
    </row>
    <row r="151" spans="1:24" s="386" customFormat="1" ht="12" customHeight="1">
      <c r="A151" s="431"/>
      <c r="B151" s="406"/>
      <c r="C151" s="406"/>
      <c r="D151" s="406"/>
      <c r="E151" s="406"/>
      <c r="F151" s="406"/>
      <c r="G151" s="406"/>
      <c r="H151" s="406"/>
      <c r="I151" s="406"/>
      <c r="J151" s="406"/>
      <c r="K151" s="406"/>
      <c r="L151" s="406"/>
      <c r="M151" s="406"/>
      <c r="N151" s="406"/>
      <c r="O151" s="406"/>
      <c r="P151" s="1428" t="s">
        <v>1232</v>
      </c>
    </row>
    <row r="152" spans="1:24" s="386" customFormat="1" ht="12" customHeight="1">
      <c r="A152" s="431"/>
      <c r="B152" s="406"/>
      <c r="C152" s="406"/>
      <c r="D152" s="406"/>
      <c r="E152" s="406"/>
      <c r="F152" s="406"/>
      <c r="G152" s="406"/>
      <c r="H152" s="406"/>
      <c r="I152" s="406"/>
      <c r="J152" s="406"/>
      <c r="K152" s="406"/>
      <c r="L152" s="406"/>
      <c r="M152" s="406"/>
      <c r="N152" s="406"/>
      <c r="O152" s="406"/>
      <c r="P152" s="1428" t="s">
        <v>1233</v>
      </c>
    </row>
    <row r="153" spans="1:24" s="386" customFormat="1" ht="12" customHeight="1">
      <c r="A153" s="431"/>
      <c r="B153" s="406"/>
      <c r="C153" s="406"/>
      <c r="D153" s="406"/>
      <c r="E153" s="406"/>
      <c r="F153" s="406"/>
      <c r="G153" s="406"/>
      <c r="H153" s="406"/>
      <c r="I153" s="406"/>
      <c r="J153" s="406"/>
      <c r="K153" s="406"/>
      <c r="L153" s="406"/>
      <c r="M153" s="406"/>
      <c r="N153" s="406"/>
      <c r="O153" s="406"/>
      <c r="P153" s="1428" t="s">
        <v>1234</v>
      </c>
    </row>
    <row r="154" spans="1:24" s="386" customFormat="1" ht="12" customHeight="1">
      <c r="A154" s="687"/>
      <c r="B154" s="406"/>
      <c r="C154" s="406"/>
      <c r="D154" s="406"/>
      <c r="E154" s="406"/>
      <c r="F154" s="406"/>
      <c r="G154" s="406"/>
      <c r="H154" s="406"/>
      <c r="I154" s="406"/>
      <c r="J154" s="406"/>
      <c r="K154" s="406"/>
      <c r="L154" s="406"/>
      <c r="M154" s="406"/>
      <c r="N154" s="406"/>
      <c r="O154" s="406"/>
      <c r="P154" s="1428" t="s">
        <v>1235</v>
      </c>
    </row>
    <row r="155" spans="1:24" s="386" customFormat="1" ht="12" customHeight="1">
      <c r="B155" s="406"/>
      <c r="C155" s="406"/>
      <c r="D155" s="406"/>
      <c r="E155" s="406"/>
      <c r="F155" s="406"/>
      <c r="G155" s="406"/>
      <c r="H155" s="406"/>
      <c r="I155" s="406"/>
      <c r="J155" s="406"/>
      <c r="K155" s="406"/>
      <c r="L155" s="406"/>
      <c r="M155" s="406"/>
      <c r="N155" s="406"/>
      <c r="O155" s="406"/>
      <c r="P155" s="1428" t="s">
        <v>1236</v>
      </c>
    </row>
    <row r="156" spans="1:24" s="386" customFormat="1" ht="12" customHeight="1">
      <c r="B156" s="406"/>
      <c r="C156" s="406"/>
      <c r="D156" s="406"/>
      <c r="E156" s="406"/>
      <c r="F156" s="406"/>
      <c r="G156" s="406"/>
      <c r="H156" s="406"/>
      <c r="I156" s="406"/>
      <c r="J156" s="406"/>
      <c r="K156" s="406"/>
      <c r="L156" s="406"/>
      <c r="M156" s="406"/>
      <c r="N156" s="406"/>
      <c r="O156" s="406"/>
      <c r="P156" s="1428" t="s">
        <v>1237</v>
      </c>
    </row>
    <row r="157" spans="1:24" s="386" customFormat="1" ht="12" customHeight="1">
      <c r="B157" s="406"/>
      <c r="C157" s="406"/>
      <c r="D157" s="406"/>
      <c r="E157" s="406"/>
      <c r="F157" s="406"/>
      <c r="G157" s="406"/>
      <c r="H157" s="406"/>
      <c r="I157" s="406"/>
      <c r="J157" s="406"/>
      <c r="K157" s="406"/>
      <c r="L157" s="406"/>
      <c r="M157" s="406"/>
      <c r="N157" s="406"/>
      <c r="O157" s="406"/>
      <c r="P157" s="1428" t="s">
        <v>1238</v>
      </c>
    </row>
    <row r="158" spans="1:24" s="386" customFormat="1" ht="12" customHeight="1">
      <c r="B158" s="406"/>
      <c r="C158" s="406"/>
      <c r="D158" s="406"/>
      <c r="E158" s="406"/>
      <c r="F158" s="406"/>
      <c r="G158" s="406"/>
      <c r="H158" s="406"/>
      <c r="I158" s="406"/>
      <c r="J158" s="406"/>
      <c r="K158" s="406"/>
      <c r="L158" s="406"/>
      <c r="M158" s="406"/>
      <c r="N158" s="406"/>
      <c r="O158" s="406"/>
      <c r="P158" s="1428" t="s">
        <v>1239</v>
      </c>
    </row>
    <row r="159" spans="1:24" ht="12" customHeight="1">
      <c r="P159" s="1428" t="s">
        <v>1240</v>
      </c>
    </row>
    <row r="160" spans="1:24" ht="12" customHeight="1">
      <c r="A160" s="415"/>
      <c r="P160" s="1428" t="s">
        <v>1241</v>
      </c>
    </row>
    <row r="161" spans="16:16" ht="12" customHeight="1">
      <c r="P161" s="1428" t="s">
        <v>1242</v>
      </c>
    </row>
    <row r="162" spans="16:16" ht="12" customHeight="1">
      <c r="P162" s="1428" t="s">
        <v>1243</v>
      </c>
    </row>
    <row r="163" spans="16:16" ht="12" customHeight="1">
      <c r="P163" s="1428" t="s">
        <v>1244</v>
      </c>
    </row>
    <row r="164" spans="16:16" ht="12" customHeight="1">
      <c r="P164" s="1428" t="s">
        <v>1245</v>
      </c>
    </row>
    <row r="165" spans="16:16" ht="12" customHeight="1">
      <c r="P165" s="1428" t="s">
        <v>1246</v>
      </c>
    </row>
    <row r="166" spans="16:16" ht="12" customHeight="1">
      <c r="P166" s="1428" t="s">
        <v>1247</v>
      </c>
    </row>
    <row r="167" spans="16:16" ht="12" customHeight="1">
      <c r="P167" s="1428" t="s">
        <v>1248</v>
      </c>
    </row>
    <row r="168" spans="16:16" ht="12" customHeight="1">
      <c r="P168" s="1428" t="s">
        <v>1249</v>
      </c>
    </row>
    <row r="169" spans="16:16" ht="12" customHeight="1">
      <c r="P169" s="1428" t="s">
        <v>1250</v>
      </c>
    </row>
    <row r="170" spans="16:16" ht="12" customHeight="1">
      <c r="P170" s="1428" t="s">
        <v>1251</v>
      </c>
    </row>
    <row r="171" spans="16:16" ht="12" customHeight="1">
      <c r="P171" s="1428" t="s">
        <v>1252</v>
      </c>
    </row>
    <row r="172" spans="16:16" ht="12" customHeight="1">
      <c r="P172" s="1428" t="s">
        <v>1253</v>
      </c>
    </row>
    <row r="173" spans="16:16" ht="12" customHeight="1">
      <c r="P173" s="1428" t="s">
        <v>1254</v>
      </c>
    </row>
    <row r="174" spans="16:16" ht="12" customHeight="1">
      <c r="P174" s="1428" t="s">
        <v>1255</v>
      </c>
    </row>
    <row r="175" spans="16:16" ht="12" customHeight="1">
      <c r="P175" s="1428" t="s">
        <v>1256</v>
      </c>
    </row>
    <row r="176" spans="16:16" ht="12" customHeight="1">
      <c r="P176" s="1428" t="s">
        <v>1776</v>
      </c>
    </row>
    <row r="177" spans="16:16" ht="12" customHeight="1">
      <c r="P177" s="1428" t="s">
        <v>1777</v>
      </c>
    </row>
    <row r="178" spans="16:16" ht="12" customHeight="1">
      <c r="P178" s="1428" t="s">
        <v>1778</v>
      </c>
    </row>
    <row r="179" spans="16:16" ht="12" customHeight="1">
      <c r="P179" s="1428" t="s">
        <v>1779</v>
      </c>
    </row>
    <row r="180" spans="16:16" ht="12" customHeight="1">
      <c r="P180" s="1428" t="s">
        <v>1780</v>
      </c>
    </row>
    <row r="181" spans="16:16" ht="13.5">
      <c r="P181" s="1428" t="s">
        <v>1781</v>
      </c>
    </row>
    <row r="182" spans="16:16" ht="12" customHeight="1">
      <c r="P182" s="1428" t="s">
        <v>1782</v>
      </c>
    </row>
    <row r="183" spans="16:16" ht="12" customHeight="1">
      <c r="P183" s="1428" t="s">
        <v>1783</v>
      </c>
    </row>
    <row r="184" spans="16:16" ht="12" customHeight="1">
      <c r="P184" s="1428" t="s">
        <v>1784</v>
      </c>
    </row>
    <row r="185" spans="16:16" ht="12" customHeight="1">
      <c r="P185" s="1428" t="s">
        <v>1785</v>
      </c>
    </row>
    <row r="186" spans="16:16" ht="12" customHeight="1">
      <c r="P186" s="1428" t="s">
        <v>1786</v>
      </c>
    </row>
    <row r="187" spans="16:16" ht="12" customHeight="1">
      <c r="P187" s="1428" t="s">
        <v>1787</v>
      </c>
    </row>
    <row r="188" spans="16:16" ht="12" customHeight="1">
      <c r="P188" s="1428" t="s">
        <v>1788</v>
      </c>
    </row>
    <row r="189" spans="16:16" ht="12" customHeight="1">
      <c r="P189" s="1428" t="s">
        <v>1789</v>
      </c>
    </row>
    <row r="190" spans="16:16" ht="12" customHeight="1">
      <c r="P190" s="1428" t="s">
        <v>1790</v>
      </c>
    </row>
    <row r="191" spans="16:16" ht="12" customHeight="1">
      <c r="P191" s="1428" t="s">
        <v>1791</v>
      </c>
    </row>
    <row r="192" spans="16:16" ht="12" customHeight="1">
      <c r="P192" s="1428" t="s">
        <v>1792</v>
      </c>
    </row>
    <row r="193" spans="16:16" ht="12" customHeight="1">
      <c r="P193" s="1428" t="s">
        <v>1793</v>
      </c>
    </row>
    <row r="194" spans="16:16" ht="12" customHeight="1">
      <c r="P194" s="1428" t="s">
        <v>1794</v>
      </c>
    </row>
    <row r="195" spans="16:16" ht="12" customHeight="1">
      <c r="P195" s="1428" t="s">
        <v>1795</v>
      </c>
    </row>
    <row r="196" spans="16:16" ht="12" customHeight="1">
      <c r="P196" s="1428" t="s">
        <v>1796</v>
      </c>
    </row>
    <row r="197" spans="16:16" ht="12" customHeight="1">
      <c r="P197" s="1428" t="s">
        <v>1797</v>
      </c>
    </row>
    <row r="198" spans="16:16" ht="12" customHeight="1">
      <c r="P198" s="1428" t="s">
        <v>1798</v>
      </c>
    </row>
    <row r="199" spans="16:16" ht="12" customHeight="1">
      <c r="P199" s="1428" t="s">
        <v>1799</v>
      </c>
    </row>
    <row r="200" spans="16:16" ht="12" customHeight="1">
      <c r="P200" s="1428" t="s">
        <v>1800</v>
      </c>
    </row>
    <row r="201" spans="16:16" ht="12" customHeight="1">
      <c r="P201" s="1428" t="s">
        <v>1801</v>
      </c>
    </row>
  </sheetData>
  <sheetProtection password="BD88" sheet="1" objects="1" scenarios="1" formatColumns="0" formatRows="0"/>
  <mergeCells count="281">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H22:N22"/>
    <mergeCell ref="Q22:S22"/>
    <mergeCell ref="H23:N23"/>
    <mergeCell ref="Q23:S23"/>
    <mergeCell ref="J19:K19"/>
    <mergeCell ref="Q19:S19"/>
    <mergeCell ref="H20:I20"/>
    <mergeCell ref="L20:M20"/>
    <mergeCell ref="O20:S20"/>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2" right="0.2" top="0.5" bottom="0.5" header="0.3" footer="0.3"/>
  <pageSetup fitToHeight="0" orientation="landscape" r:id="rId3"/>
  <headerFooter>
    <oddHeader>&amp;LGeorgia Department of Community Affairs&amp;RHousing  Finance and Development Division</oddHeader>
    <oddFooter>&amp;C&amp;9&amp;P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44" t="str">
        <f>CONCATENATE("PART THREE - SOURCES OF FUNDS","  -  ",'Part I-Project Information'!$O$4," ",'Part I-Project Information'!$F$23,", ",'Part I-Project Information'!$F$26,", ",'Part I-Project Information'!$J$27," County")</f>
        <v>PART THREE - SOURCES OF FUNDS  -  2013-001 Forest Mill Apartments, West Point, Troup County</v>
      </c>
      <c r="B1" s="845"/>
      <c r="C1" s="845"/>
      <c r="D1" s="845"/>
      <c r="E1" s="845"/>
      <c r="F1" s="845"/>
      <c r="G1" s="845"/>
      <c r="H1" s="845"/>
      <c r="I1" s="845"/>
      <c r="J1" s="845"/>
      <c r="K1" s="845"/>
      <c r="L1" s="845"/>
      <c r="M1" s="845"/>
      <c r="N1" s="845"/>
      <c r="O1" s="845"/>
      <c r="P1" s="845"/>
      <c r="Q1" s="846"/>
      <c r="S1" s="915" t="str">
        <f>$A$1</f>
        <v>PART THREE - SOURCES OF FUNDS  -  2013-001 Forest Mill Apartments, West Point, Troup County</v>
      </c>
      <c r="T1" s="915"/>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905" t="s">
        <v>3548</v>
      </c>
      <c r="T4" s="905"/>
    </row>
    <row r="5" spans="1:20" s="351" customFormat="1" ht="16.899999999999999" customHeight="1">
      <c r="A5" s="687"/>
      <c r="B5" s="1307" t="s">
        <v>4104</v>
      </c>
      <c r="C5" s="781" t="s">
        <v>3175</v>
      </c>
      <c r="D5" s="386"/>
      <c r="E5" s="1307" t="s">
        <v>4104</v>
      </c>
      <c r="F5" s="780" t="s">
        <v>2343</v>
      </c>
      <c r="G5" s="386"/>
      <c r="J5" s="1429">
        <v>1865000</v>
      </c>
      <c r="K5" s="1430"/>
      <c r="M5" s="1307" t="s">
        <v>4103</v>
      </c>
      <c r="N5" s="386" t="s">
        <v>3410</v>
      </c>
      <c r="S5" s="1431"/>
      <c r="T5" s="1432"/>
    </row>
    <row r="6" spans="1:20" s="351" customFormat="1" ht="16.899999999999999" customHeight="1">
      <c r="A6" s="687"/>
      <c r="B6" s="1307" t="s">
        <v>4103</v>
      </c>
      <c r="C6" s="781" t="s">
        <v>2500</v>
      </c>
      <c r="D6" s="386"/>
      <c r="E6" s="1307" t="s">
        <v>4103</v>
      </c>
      <c r="F6" s="386" t="s">
        <v>3408</v>
      </c>
      <c r="H6" s="1307" t="s">
        <v>4103</v>
      </c>
      <c r="I6" s="392" t="s">
        <v>3407</v>
      </c>
      <c r="J6" s="781"/>
      <c r="K6" s="377"/>
      <c r="L6" s="377"/>
      <c r="M6" s="1307" t="s">
        <v>4103</v>
      </c>
      <c r="N6" s="781" t="s">
        <v>716</v>
      </c>
      <c r="Q6" s="765"/>
      <c r="S6" s="1433"/>
      <c r="T6" s="1434"/>
    </row>
    <row r="7" spans="1:20" s="351" customFormat="1" ht="16.899999999999999" customHeight="1">
      <c r="A7" s="386"/>
      <c r="B7" s="1307" t="s">
        <v>4103</v>
      </c>
      <c r="C7" s="781" t="s">
        <v>2501</v>
      </c>
      <c r="E7" s="1307" t="s">
        <v>4103</v>
      </c>
      <c r="F7" s="780" t="s">
        <v>2920</v>
      </c>
      <c r="G7" s="386"/>
      <c r="H7" s="1307" t="s">
        <v>4103</v>
      </c>
      <c r="I7" s="781" t="s">
        <v>1996</v>
      </c>
      <c r="J7" s="377"/>
      <c r="K7" s="1307" t="s">
        <v>4103</v>
      </c>
      <c r="L7" s="781" t="s">
        <v>718</v>
      </c>
      <c r="M7" s="1307" t="s">
        <v>4103</v>
      </c>
      <c r="N7" s="392" t="s">
        <v>3409</v>
      </c>
      <c r="Q7" s="766"/>
      <c r="S7" s="1433"/>
      <c r="T7" s="1434"/>
    </row>
    <row r="8" spans="1:20" s="351" customFormat="1" ht="16.899999999999999" customHeight="1">
      <c r="A8" s="687"/>
      <c r="B8" s="1307" t="s">
        <v>4103</v>
      </c>
      <c r="C8" s="786" t="s">
        <v>3399</v>
      </c>
      <c r="D8" s="386"/>
      <c r="E8" s="1307" t="s">
        <v>4103</v>
      </c>
      <c r="F8" s="411" t="s">
        <v>3400</v>
      </c>
      <c r="H8" s="1307" t="s">
        <v>4103</v>
      </c>
      <c r="I8" s="781" t="s">
        <v>717</v>
      </c>
      <c r="J8" s="377"/>
      <c r="K8" s="392"/>
      <c r="L8" s="424"/>
      <c r="M8" s="1307" t="s">
        <v>4103</v>
      </c>
      <c r="N8" s="1293" t="s">
        <v>2850</v>
      </c>
      <c r="O8" s="1294"/>
      <c r="P8" s="1294"/>
      <c r="Q8" s="1295"/>
      <c r="S8" s="1435"/>
      <c r="T8" s="1436"/>
    </row>
    <row r="9" spans="1:20" s="351" customFormat="1" ht="16.899999999999999" customHeight="1">
      <c r="A9" s="687"/>
      <c r="B9" s="351" t="s">
        <v>3951</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86"/>
      <c r="E11" s="386"/>
      <c r="F11" s="386"/>
      <c r="G11" s="386"/>
      <c r="H11" s="351"/>
      <c r="I11" s="351"/>
      <c r="J11" s="389"/>
      <c r="K11" s="386"/>
      <c r="L11" s="386"/>
      <c r="M11" s="786"/>
      <c r="N11" s="836"/>
      <c r="O11" s="836"/>
      <c r="P11" s="386"/>
      <c r="Q11" s="386"/>
      <c r="S11" s="440" t="str">
        <f>B11</f>
        <v>CONSTRUCTION FINANCING</v>
      </c>
    </row>
    <row r="12" spans="1:20" s="440" customFormat="1" ht="13.9" customHeight="1">
      <c r="A12" s="389"/>
      <c r="B12" s="350"/>
      <c r="C12" s="386"/>
      <c r="K12" s="386"/>
      <c r="L12" s="386"/>
      <c r="M12" s="786"/>
      <c r="N12" s="778"/>
      <c r="O12" s="778"/>
      <c r="P12" s="386"/>
      <c r="Q12" s="386"/>
    </row>
    <row r="13" spans="1:20" s="351" customFormat="1" ht="16.899999999999999" customHeight="1">
      <c r="A13" s="386"/>
      <c r="B13" s="781" t="s">
        <v>2576</v>
      </c>
      <c r="C13" s="386"/>
      <c r="D13" s="386"/>
      <c r="E13" s="386"/>
      <c r="F13" s="386"/>
      <c r="G13" s="386"/>
      <c r="H13" s="893" t="s">
        <v>1731</v>
      </c>
      <c r="I13" s="893"/>
      <c r="J13" s="893"/>
      <c r="K13" s="893"/>
      <c r="L13" s="828" t="s">
        <v>2702</v>
      </c>
      <c r="M13" s="828"/>
      <c r="N13" s="828" t="s">
        <v>1964</v>
      </c>
      <c r="O13" s="828"/>
      <c r="P13" s="828" t="s">
        <v>2233</v>
      </c>
      <c r="Q13" s="828"/>
      <c r="S13" s="905" t="s">
        <v>3548</v>
      </c>
      <c r="T13" s="905"/>
    </row>
    <row r="14" spans="1:20" s="351" customFormat="1" ht="16.899999999999999" customHeight="1">
      <c r="A14" s="386"/>
      <c r="B14" s="888" t="s">
        <v>2051</v>
      </c>
      <c r="C14" s="889"/>
      <c r="D14" s="889"/>
      <c r="E14" s="788"/>
      <c r="F14" s="788"/>
      <c r="G14" s="788"/>
      <c r="H14" s="1293" t="s">
        <v>4107</v>
      </c>
      <c r="I14" s="1294"/>
      <c r="J14" s="1294"/>
      <c r="K14" s="1295"/>
      <c r="L14" s="1437">
        <v>1865000</v>
      </c>
      <c r="M14" s="1438"/>
      <c r="N14" s="1439">
        <v>0</v>
      </c>
      <c r="O14" s="1440"/>
      <c r="P14" s="1441">
        <v>18</v>
      </c>
      <c r="Q14" s="1442"/>
      <c r="S14" s="1431"/>
      <c r="T14" s="1432"/>
    </row>
    <row r="15" spans="1:20" s="351" customFormat="1" ht="16.899999999999999" customHeight="1">
      <c r="A15" s="386"/>
      <c r="B15" s="886" t="s">
        <v>2052</v>
      </c>
      <c r="C15" s="887"/>
      <c r="D15" s="887"/>
      <c r="E15" s="786"/>
      <c r="F15" s="786"/>
      <c r="G15" s="786"/>
      <c r="H15" s="1293"/>
      <c r="I15" s="1294"/>
      <c r="J15" s="1294"/>
      <c r="K15" s="1295"/>
      <c r="L15" s="1437"/>
      <c r="M15" s="1438"/>
      <c r="N15" s="1439"/>
      <c r="O15" s="1440"/>
      <c r="P15" s="1443"/>
      <c r="Q15" s="1444"/>
      <c r="S15" s="1433"/>
      <c r="T15" s="1434"/>
    </row>
    <row r="16" spans="1:20" s="351" customFormat="1" ht="16.899999999999999" customHeight="1">
      <c r="A16" s="386"/>
      <c r="B16" s="916" t="s">
        <v>2053</v>
      </c>
      <c r="C16" s="917"/>
      <c r="D16" s="917"/>
      <c r="E16" s="791"/>
      <c r="F16" s="791"/>
      <c r="G16" s="791"/>
      <c r="H16" s="1293"/>
      <c r="I16" s="1294"/>
      <c r="J16" s="1294"/>
      <c r="K16" s="1295"/>
      <c r="L16" s="1437"/>
      <c r="M16" s="1438"/>
      <c r="N16" s="1439"/>
      <c r="O16" s="1440"/>
      <c r="P16" s="1443"/>
      <c r="Q16" s="1444"/>
      <c r="S16" s="1433"/>
      <c r="T16" s="1434"/>
    </row>
    <row r="17" spans="1:20" s="351" customFormat="1" ht="16.899999999999999" customHeight="1">
      <c r="A17" s="386"/>
      <c r="B17" s="888" t="s">
        <v>2938</v>
      </c>
      <c r="C17" s="889"/>
      <c r="D17" s="889"/>
      <c r="E17" s="786"/>
      <c r="F17" s="786"/>
      <c r="G17" s="786"/>
      <c r="H17" s="1293"/>
      <c r="I17" s="1294"/>
      <c r="J17" s="1294"/>
      <c r="K17" s="1295"/>
      <c r="L17" s="1437"/>
      <c r="M17" s="1438"/>
      <c r="N17" s="899"/>
      <c r="O17" s="900"/>
      <c r="P17" s="898"/>
      <c r="Q17" s="898"/>
      <c r="S17" s="1433"/>
      <c r="T17" s="1434"/>
    </row>
    <row r="18" spans="1:20" s="351" customFormat="1" ht="16.899999999999999" customHeight="1">
      <c r="A18" s="386"/>
      <c r="B18" s="886" t="s">
        <v>1194</v>
      </c>
      <c r="C18" s="887"/>
      <c r="D18" s="887"/>
      <c r="E18" s="786"/>
      <c r="H18" s="1293"/>
      <c r="I18" s="1294"/>
      <c r="J18" s="1294"/>
      <c r="K18" s="1295"/>
      <c r="L18" s="1437"/>
      <c r="M18" s="1438"/>
      <c r="N18" s="899"/>
      <c r="O18" s="900"/>
      <c r="P18" s="898"/>
      <c r="Q18" s="898"/>
      <c r="S18" s="1433"/>
      <c r="T18" s="1434"/>
    </row>
    <row r="19" spans="1:20" s="351" customFormat="1" ht="16.899999999999999" customHeight="1">
      <c r="A19" s="386"/>
      <c r="B19" s="886" t="s">
        <v>821</v>
      </c>
      <c r="C19" s="887"/>
      <c r="D19" s="887"/>
      <c r="E19" s="786"/>
      <c r="H19" s="1293"/>
      <c r="I19" s="1294"/>
      <c r="J19" s="1294"/>
      <c r="K19" s="1295"/>
      <c r="L19" s="1437"/>
      <c r="M19" s="1438"/>
      <c r="N19" s="899"/>
      <c r="O19" s="900"/>
      <c r="P19" s="898"/>
      <c r="Q19" s="898"/>
      <c r="S19" s="1433"/>
      <c r="T19" s="1434"/>
    </row>
    <row r="20" spans="1:20" s="351" customFormat="1" ht="16.899999999999999" customHeight="1">
      <c r="A20" s="386"/>
      <c r="B20" s="886" t="s">
        <v>1195</v>
      </c>
      <c r="C20" s="887"/>
      <c r="D20" s="887"/>
      <c r="E20" s="786"/>
      <c r="H20" s="1293"/>
      <c r="I20" s="1294"/>
      <c r="J20" s="1294"/>
      <c r="K20" s="1295"/>
      <c r="L20" s="1437">
        <v>5841739</v>
      </c>
      <c r="M20" s="1438"/>
      <c r="N20" s="386"/>
      <c r="O20" s="386"/>
      <c r="P20" s="386"/>
      <c r="Q20" s="386"/>
      <c r="S20" s="1435"/>
      <c r="T20" s="1436"/>
    </row>
    <row r="21" spans="1:20" s="351" customFormat="1" ht="16.899999999999999" customHeight="1">
      <c r="A21" s="386"/>
      <c r="B21" s="886" t="s">
        <v>1196</v>
      </c>
      <c r="C21" s="887"/>
      <c r="D21" s="887"/>
      <c r="E21" s="786"/>
      <c r="H21" s="1293"/>
      <c r="I21" s="1294"/>
      <c r="J21" s="1294"/>
      <c r="K21" s="1295"/>
      <c r="L21" s="1437">
        <v>1796641</v>
      </c>
      <c r="M21" s="1438"/>
      <c r="N21" s="386"/>
      <c r="O21" s="386"/>
      <c r="P21" s="386"/>
      <c r="Q21" s="386"/>
      <c r="S21" s="1431"/>
      <c r="T21" s="1432"/>
    </row>
    <row r="22" spans="1:20" s="351" customFormat="1" ht="16.899999999999999" customHeight="1">
      <c r="A22" s="386"/>
      <c r="B22" s="785" t="s">
        <v>265</v>
      </c>
      <c r="C22" s="786"/>
      <c r="D22" s="1445"/>
      <c r="E22" s="1445"/>
      <c r="F22" s="1445"/>
      <c r="G22" s="1445"/>
      <c r="H22" s="1293"/>
      <c r="I22" s="1294"/>
      <c r="J22" s="1294"/>
      <c r="K22" s="1295"/>
      <c r="L22" s="1437"/>
      <c r="M22" s="1438"/>
      <c r="N22" s="386"/>
      <c r="O22" s="386"/>
      <c r="P22" s="386"/>
      <c r="Q22" s="386"/>
      <c r="S22" s="1433"/>
      <c r="T22" s="1434"/>
    </row>
    <row r="23" spans="1:20" s="351" customFormat="1" ht="16.899999999999999" customHeight="1">
      <c r="A23" s="386"/>
      <c r="B23" s="785" t="s">
        <v>265</v>
      </c>
      <c r="C23" s="786"/>
      <c r="D23" s="1445"/>
      <c r="E23" s="1445"/>
      <c r="F23" s="1445"/>
      <c r="G23" s="1445"/>
      <c r="H23" s="1293"/>
      <c r="I23" s="1294"/>
      <c r="J23" s="1294"/>
      <c r="K23" s="1295"/>
      <c r="L23" s="1437"/>
      <c r="M23" s="1438"/>
      <c r="N23" s="386"/>
      <c r="O23" s="386"/>
      <c r="P23" s="386"/>
      <c r="Q23" s="386"/>
      <c r="S23" s="1433"/>
      <c r="T23" s="1434"/>
    </row>
    <row r="24" spans="1:20" s="351" customFormat="1" ht="16.899999999999999" customHeight="1">
      <c r="A24" s="386"/>
      <c r="B24" s="790" t="s">
        <v>265</v>
      </c>
      <c r="C24" s="791"/>
      <c r="D24" s="1445"/>
      <c r="E24" s="1445"/>
      <c r="F24" s="1445"/>
      <c r="G24" s="1445"/>
      <c r="H24" s="1293"/>
      <c r="I24" s="1294"/>
      <c r="J24" s="1294"/>
      <c r="K24" s="1295"/>
      <c r="L24" s="1437"/>
      <c r="M24" s="1438"/>
      <c r="N24" s="386"/>
      <c r="O24" s="386"/>
      <c r="P24" s="386"/>
      <c r="Q24" s="386"/>
      <c r="S24" s="1433"/>
      <c r="T24" s="1434"/>
    </row>
    <row r="25" spans="1:20" s="351" customFormat="1" ht="16.899999999999999" customHeight="1">
      <c r="A25" s="386"/>
      <c r="B25" s="350" t="s">
        <v>1732</v>
      </c>
      <c r="C25" s="386"/>
      <c r="D25" s="386"/>
      <c r="E25" s="386"/>
      <c r="F25" s="386"/>
      <c r="G25" s="386"/>
      <c r="H25" s="386"/>
      <c r="I25" s="386"/>
      <c r="L25" s="901">
        <f>SUM(L14:L24)</f>
        <v>9503380</v>
      </c>
      <c r="M25" s="902"/>
      <c r="N25" s="406"/>
      <c r="O25" s="406"/>
      <c r="P25" s="406"/>
      <c r="Q25" s="406"/>
      <c r="S25" s="1433"/>
      <c r="T25" s="1434"/>
    </row>
    <row r="26" spans="1:20" s="351" customFormat="1" ht="16.899999999999999" customHeight="1">
      <c r="A26" s="386"/>
      <c r="B26" s="781" t="s">
        <v>1733</v>
      </c>
      <c r="C26" s="386"/>
      <c r="D26" s="386"/>
      <c r="E26" s="386"/>
      <c r="F26" s="386"/>
      <c r="G26" s="386"/>
      <c r="H26" s="386"/>
      <c r="I26" s="386"/>
      <c r="L26" s="1446">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9503380</v>
      </c>
      <c r="M26" s="1447"/>
      <c r="N26" s="896"/>
      <c r="O26" s="897"/>
      <c r="P26" s="897"/>
      <c r="Q26" s="897"/>
      <c r="S26" s="1433"/>
      <c r="T26" s="1434"/>
    </row>
    <row r="27" spans="1:20" s="351" customFormat="1" ht="16.899999999999999" customHeight="1">
      <c r="A27" s="386"/>
      <c r="B27" s="392" t="s">
        <v>2874</v>
      </c>
      <c r="C27" s="386"/>
      <c r="D27" s="386"/>
      <c r="E27" s="386"/>
      <c r="F27" s="386"/>
      <c r="G27" s="386"/>
      <c r="H27" s="386"/>
      <c r="I27" s="386"/>
      <c r="L27" s="903">
        <f>L25-L26</f>
        <v>0</v>
      </c>
      <c r="M27" s="904"/>
      <c r="N27" s="896"/>
      <c r="O27" s="897"/>
      <c r="P27" s="897"/>
      <c r="Q27" s="897"/>
      <c r="S27" s="1435"/>
      <c r="T27" s="1436"/>
    </row>
    <row r="28" spans="1:20" ht="9.6" customHeight="1">
      <c r="A28" s="415"/>
      <c r="B28" s="350"/>
      <c r="C28" s="406"/>
      <c r="D28" s="406"/>
      <c r="E28" s="406"/>
      <c r="F28" s="406"/>
      <c r="G28" s="406"/>
      <c r="H28" s="406"/>
      <c r="I28" s="406"/>
      <c r="J28" s="406"/>
      <c r="K28" s="406"/>
      <c r="L28" s="406"/>
      <c r="M28" s="789"/>
      <c r="N28" s="789"/>
      <c r="O28" s="406"/>
      <c r="P28" s="389"/>
      <c r="Q28" s="389"/>
    </row>
    <row r="29" spans="1:20" ht="9.6" customHeight="1">
      <c r="A29" s="389" t="s">
        <v>1047</v>
      </c>
      <c r="B29" s="350" t="s">
        <v>1193</v>
      </c>
      <c r="C29" s="406"/>
      <c r="D29" s="406"/>
      <c r="E29" s="406"/>
      <c r="F29" s="406"/>
      <c r="G29" s="406"/>
      <c r="H29" s="406"/>
      <c r="I29" s="406"/>
      <c r="J29" s="406"/>
      <c r="K29" s="406"/>
      <c r="L29" s="406"/>
      <c r="M29" s="789"/>
      <c r="N29" s="789"/>
      <c r="O29" s="406"/>
      <c r="P29" s="389"/>
      <c r="Q29" s="389"/>
      <c r="S29" s="440" t="str">
        <f>B29</f>
        <v>PERMANENT FINANCING</v>
      </c>
    </row>
    <row r="30" spans="1:20" s="351" customFormat="1" ht="13.15" customHeight="1">
      <c r="A30" s="386"/>
      <c r="B30" s="386"/>
      <c r="C30" s="386"/>
      <c r="D30" s="386"/>
      <c r="E30" s="386"/>
      <c r="F30" s="789"/>
      <c r="G30" s="789"/>
      <c r="H30" s="898"/>
      <c r="I30" s="898"/>
      <c r="J30" s="474" t="s">
        <v>2814</v>
      </c>
      <c r="K30" s="789" t="s">
        <v>1729</v>
      </c>
      <c r="L30" s="789" t="s">
        <v>1734</v>
      </c>
      <c r="M30" s="840" t="s">
        <v>37</v>
      </c>
      <c r="N30" s="840"/>
      <c r="O30" s="778"/>
      <c r="P30" s="789"/>
      <c r="Q30" s="906" t="s">
        <v>3075</v>
      </c>
      <c r="S30" s="440"/>
    </row>
    <row r="31" spans="1:20" s="351" customFormat="1" ht="13.15" customHeight="1">
      <c r="A31" s="386"/>
      <c r="B31" s="793" t="s">
        <v>2576</v>
      </c>
      <c r="C31" s="791"/>
      <c r="D31" s="791"/>
      <c r="E31" s="887" t="s">
        <v>1731</v>
      </c>
      <c r="F31" s="887"/>
      <c r="G31" s="887"/>
      <c r="H31" s="828" t="s">
        <v>622</v>
      </c>
      <c r="I31" s="828"/>
      <c r="J31" s="782" t="s">
        <v>2505</v>
      </c>
      <c r="K31" s="782" t="s">
        <v>2937</v>
      </c>
      <c r="L31" s="782" t="s">
        <v>2937</v>
      </c>
      <c r="M31" s="1448"/>
      <c r="N31" s="1448"/>
      <c r="O31" s="828" t="s">
        <v>78</v>
      </c>
      <c r="P31" s="828"/>
      <c r="Q31" s="907"/>
      <c r="S31" s="905" t="s">
        <v>3548</v>
      </c>
      <c r="T31" s="905"/>
    </row>
    <row r="32" spans="1:20" s="351" customFormat="1" ht="13.15" customHeight="1">
      <c r="A32" s="386"/>
      <c r="B32" s="888" t="s">
        <v>3414</v>
      </c>
      <c r="C32" s="889"/>
      <c r="D32" s="889"/>
      <c r="E32" s="1330" t="s">
        <v>4107</v>
      </c>
      <c r="F32" s="1449"/>
      <c r="G32" s="1450"/>
      <c r="H32" s="1451">
        <f>L14</f>
        <v>1865000</v>
      </c>
      <c r="I32" s="1452"/>
      <c r="J32" s="1453">
        <v>0.01</v>
      </c>
      <c r="K32" s="1307">
        <v>20</v>
      </c>
      <c r="L32" s="1307">
        <v>20</v>
      </c>
      <c r="M32" s="1454">
        <v>50200</v>
      </c>
      <c r="N32" s="1455"/>
      <c r="O32" s="1289" t="s">
        <v>4108</v>
      </c>
      <c r="P32" s="1290"/>
      <c r="Q32" s="1456">
        <v>1.3</v>
      </c>
      <c r="S32" s="1431"/>
      <c r="T32" s="1432"/>
    </row>
    <row r="33" spans="1:20" s="351" customFormat="1" ht="13.15" customHeight="1">
      <c r="A33" s="386"/>
      <c r="B33" s="886" t="s">
        <v>3415</v>
      </c>
      <c r="C33" s="887"/>
      <c r="D33" s="887"/>
      <c r="E33" s="1298"/>
      <c r="F33" s="1457"/>
      <c r="G33" s="1458"/>
      <c r="H33" s="1459"/>
      <c r="I33" s="1452"/>
      <c r="J33" s="1453"/>
      <c r="K33" s="1307"/>
      <c r="L33" s="1307"/>
      <c r="M33" s="1454" t="str">
        <f t="shared" ref="M33:M37" si="0">IF(OR(H33&lt;=0,H33=""),"",IF(O33="Amortizing",-PMT(J33/12,L33*12,H33,0,0)*12,""))</f>
        <v/>
      </c>
      <c r="N33" s="1455"/>
      <c r="O33" s="1289"/>
      <c r="P33" s="1290"/>
      <c r="Q33" s="1456"/>
      <c r="S33" s="1433"/>
      <c r="T33" s="1434"/>
    </row>
    <row r="34" spans="1:20" s="351" customFormat="1" ht="13.15" customHeight="1">
      <c r="A34" s="386"/>
      <c r="B34" s="886" t="s">
        <v>3416</v>
      </c>
      <c r="C34" s="887"/>
      <c r="D34" s="887"/>
      <c r="E34" s="1293"/>
      <c r="F34" s="1460"/>
      <c r="G34" s="1452"/>
      <c r="H34" s="1459"/>
      <c r="I34" s="1452"/>
      <c r="J34" s="1453"/>
      <c r="K34" s="1307"/>
      <c r="L34" s="1307"/>
      <c r="M34" s="1454" t="str">
        <f t="shared" si="0"/>
        <v/>
      </c>
      <c r="N34" s="1455"/>
      <c r="O34" s="1289"/>
      <c r="P34" s="1290"/>
      <c r="Q34" s="1456"/>
      <c r="S34" s="1433"/>
      <c r="T34" s="1434"/>
    </row>
    <row r="35" spans="1:20" s="351" customFormat="1" ht="13.15" customHeight="1">
      <c r="A35" s="386"/>
      <c r="B35" s="785" t="s">
        <v>1046</v>
      </c>
      <c r="C35" s="1330"/>
      <c r="D35" s="1332"/>
      <c r="E35" s="1293"/>
      <c r="F35" s="1460"/>
      <c r="G35" s="1452"/>
      <c r="H35" s="1459"/>
      <c r="I35" s="1452"/>
      <c r="J35" s="1453"/>
      <c r="K35" s="1307"/>
      <c r="L35" s="1307"/>
      <c r="M35" s="1454" t="str">
        <f t="shared" si="0"/>
        <v/>
      </c>
      <c r="N35" s="1455"/>
      <c r="O35" s="1289"/>
      <c r="P35" s="1290"/>
      <c r="Q35" s="1456"/>
      <c r="S35" s="1433"/>
      <c r="T35" s="1434"/>
    </row>
    <row r="36" spans="1:20" s="351" customFormat="1" ht="13.15" customHeight="1">
      <c r="A36" s="386"/>
      <c r="B36" s="785" t="s">
        <v>3773</v>
      </c>
      <c r="C36" s="786"/>
      <c r="D36" s="792"/>
      <c r="E36" s="1293"/>
      <c r="F36" s="1460"/>
      <c r="G36" s="1452"/>
      <c r="H36" s="1459"/>
      <c r="I36" s="1452"/>
      <c r="J36" s="648"/>
      <c r="K36" s="795"/>
      <c r="L36" s="795"/>
      <c r="M36" s="890" t="str">
        <f t="shared" si="0"/>
        <v/>
      </c>
      <c r="N36" s="890"/>
      <c r="O36" s="885"/>
      <c r="P36" s="885"/>
      <c r="Q36" s="649"/>
      <c r="S36" s="1433"/>
      <c r="T36" s="1434"/>
    </row>
    <row r="37" spans="1:20" s="351" customFormat="1" ht="13.15" customHeight="1">
      <c r="A37" s="386"/>
      <c r="B37" s="790" t="s">
        <v>249</v>
      </c>
      <c r="C37" s="791"/>
      <c r="D37" s="475">
        <f>IF(OR(H37="",H37=0,'Part IV-Uses of Funds'!$G$115="",'Part IV-Uses of Funds'!$G$115=0),"",H37/'Part IV-Uses of Funds'!$G$115)</f>
        <v>3.2910022410578264E-3</v>
      </c>
      <c r="E37" s="1293" t="s">
        <v>4179</v>
      </c>
      <c r="F37" s="1460"/>
      <c r="G37" s="1452"/>
      <c r="H37" s="1459">
        <v>4476</v>
      </c>
      <c r="I37" s="1452"/>
      <c r="J37" s="1453"/>
      <c r="K37" s="1307"/>
      <c r="L37" s="1307"/>
      <c r="M37" s="1454" t="str">
        <f t="shared" si="0"/>
        <v/>
      </c>
      <c r="N37" s="1455"/>
      <c r="O37" s="1289"/>
      <c r="P37" s="1290"/>
      <c r="Q37" s="1456"/>
      <c r="S37" s="1433"/>
      <c r="T37" s="1434"/>
    </row>
    <row r="38" spans="1:20" s="351" customFormat="1" ht="13.15" customHeight="1">
      <c r="A38" s="386"/>
      <c r="B38" s="888" t="s">
        <v>2938</v>
      </c>
      <c r="C38" s="889"/>
      <c r="D38" s="891"/>
      <c r="E38" s="1293"/>
      <c r="F38" s="1460"/>
      <c r="G38" s="1452"/>
      <c r="H38" s="1461"/>
      <c r="I38" s="1462"/>
      <c r="K38" s="476"/>
      <c r="L38" s="476"/>
      <c r="M38" s="476"/>
      <c r="N38" s="476"/>
      <c r="O38" s="476"/>
      <c r="P38" s="476"/>
      <c r="Q38" s="476"/>
      <c r="S38" s="1431"/>
      <c r="T38" s="1432"/>
    </row>
    <row r="39" spans="1:20" s="351" customFormat="1" ht="13.15" customHeight="1">
      <c r="A39" s="386"/>
      <c r="B39" s="886" t="s">
        <v>1194</v>
      </c>
      <c r="C39" s="887"/>
      <c r="D39" s="892"/>
      <c r="E39" s="1293"/>
      <c r="F39" s="1460"/>
      <c r="G39" s="1452"/>
      <c r="H39" s="1461"/>
      <c r="I39" s="1462"/>
      <c r="J39" s="910" t="s">
        <v>684</v>
      </c>
      <c r="K39" s="911"/>
      <c r="L39" s="909" t="s">
        <v>685</v>
      </c>
      <c r="M39" s="909"/>
      <c r="O39" s="528" t="s">
        <v>683</v>
      </c>
      <c r="P39" s="477"/>
      <c r="Q39" s="476"/>
      <c r="S39" s="1433"/>
      <c r="T39" s="1434"/>
    </row>
    <row r="40" spans="1:20" s="351" customFormat="1" ht="13.15" customHeight="1">
      <c r="A40" s="386"/>
      <c r="B40" s="886" t="s">
        <v>1195</v>
      </c>
      <c r="C40" s="887"/>
      <c r="D40" s="892"/>
      <c r="E40" s="1293" t="s">
        <v>4070</v>
      </c>
      <c r="F40" s="1294"/>
      <c r="G40" s="1295"/>
      <c r="H40" s="1459">
        <v>7244947</v>
      </c>
      <c r="I40" s="1463"/>
      <c r="J40" s="912">
        <f>'Part IV-Uses of Funds'!$J$172*10*'Part IV-Uses of Funds'!$N$165</f>
        <v>7244942.7350000003</v>
      </c>
      <c r="K40" s="913"/>
      <c r="L40" s="908">
        <f>H40-J40</f>
        <v>4.2649999996647239</v>
      </c>
      <c r="M40" s="908"/>
      <c r="O40" s="529" t="s">
        <v>3358</v>
      </c>
      <c r="P40" s="477"/>
      <c r="Q40" s="476"/>
      <c r="S40" s="1433"/>
      <c r="T40" s="1434"/>
    </row>
    <row r="41" spans="1:20" s="351" customFormat="1" ht="13.15" customHeight="1">
      <c r="A41" s="386"/>
      <c r="B41" s="886" t="s">
        <v>1196</v>
      </c>
      <c r="C41" s="887"/>
      <c r="D41" s="892"/>
      <c r="E41" s="1293" t="s">
        <v>4070</v>
      </c>
      <c r="F41" s="1294"/>
      <c r="G41" s="1295"/>
      <c r="H41" s="1459">
        <v>2245799</v>
      </c>
      <c r="I41" s="1463"/>
      <c r="J41" s="912">
        <f>'Part IV-Uses of Funds'!$J$172*10*'Part IV-Uses of Funds'!$Q$165</f>
        <v>2245797.5</v>
      </c>
      <c r="K41" s="913"/>
      <c r="L41" s="908">
        <f>H41-J41</f>
        <v>1.5</v>
      </c>
      <c r="M41" s="908"/>
      <c r="O41" s="530">
        <f>H40/H50</f>
        <v>0.63774695600138798</v>
      </c>
      <c r="P41" s="477"/>
      <c r="Q41" s="476"/>
      <c r="S41" s="1433"/>
      <c r="T41" s="1434"/>
    </row>
    <row r="42" spans="1:20" s="351" customFormat="1" ht="13.15" customHeight="1">
      <c r="A42" s="386"/>
      <c r="B42" s="886" t="s">
        <v>1850</v>
      </c>
      <c r="C42" s="887"/>
      <c r="D42" s="892"/>
      <c r="E42" s="1293"/>
      <c r="F42" s="1294"/>
      <c r="G42" s="1295"/>
      <c r="H42" s="1459"/>
      <c r="I42" s="1463"/>
      <c r="M42" s="477"/>
      <c r="O42" s="530">
        <f>H41/H50</f>
        <v>0.1976897106412181</v>
      </c>
      <c r="P42" s="477"/>
      <c r="Q42" s="476"/>
      <c r="S42" s="1435"/>
      <c r="T42" s="1436"/>
    </row>
    <row r="43" spans="1:20" s="351" customFormat="1" ht="13.15" customHeight="1">
      <c r="A43" s="386"/>
      <c r="B43" s="785" t="s">
        <v>698</v>
      </c>
      <c r="C43" s="786"/>
      <c r="D43" s="792"/>
      <c r="E43" s="1293"/>
      <c r="F43" s="1294"/>
      <c r="G43" s="1295"/>
      <c r="H43" s="1459"/>
      <c r="I43" s="1463"/>
      <c r="K43" s="386"/>
      <c r="L43" s="386"/>
      <c r="M43" s="477"/>
      <c r="O43" s="531">
        <f>SUM(O41:O42)</f>
        <v>0.83543666664260607</v>
      </c>
      <c r="P43" s="477"/>
      <c r="Q43" s="476"/>
      <c r="S43" s="1433"/>
      <c r="T43" s="1434"/>
    </row>
    <row r="44" spans="1:20" s="351" customFormat="1" ht="13.15" customHeight="1">
      <c r="A44" s="386"/>
      <c r="B44" s="785" t="s">
        <v>2574</v>
      </c>
      <c r="C44" s="786"/>
      <c r="D44" s="792"/>
      <c r="E44" s="1293"/>
      <c r="F44" s="1294"/>
      <c r="G44" s="1295"/>
      <c r="H44" s="1459"/>
      <c r="I44" s="1463"/>
      <c r="J44" s="386"/>
      <c r="M44" s="477"/>
      <c r="N44" s="477"/>
      <c r="O44" s="477"/>
      <c r="P44" s="477"/>
      <c r="Q44" s="476"/>
      <c r="S44" s="1433"/>
      <c r="T44" s="1434"/>
    </row>
    <row r="45" spans="1:20" s="351" customFormat="1" ht="13.15" customHeight="1">
      <c r="A45" s="386"/>
      <c r="B45" s="785" t="s">
        <v>2575</v>
      </c>
      <c r="C45" s="786"/>
      <c r="D45" s="792"/>
      <c r="E45" s="1293"/>
      <c r="F45" s="1294"/>
      <c r="G45" s="1295"/>
      <c r="H45" s="1459"/>
      <c r="I45" s="1463"/>
      <c r="J45" s="386"/>
      <c r="M45" s="477"/>
      <c r="N45" s="477"/>
      <c r="O45" s="477"/>
      <c r="P45" s="477"/>
      <c r="Q45" s="476"/>
      <c r="S45" s="1433"/>
      <c r="T45" s="1434"/>
    </row>
    <row r="46" spans="1:20" s="351" customFormat="1" ht="13.15" customHeight="1">
      <c r="A46" s="386"/>
      <c r="B46" s="785" t="s">
        <v>1046</v>
      </c>
      <c r="C46" s="1293"/>
      <c r="D46" s="1295"/>
      <c r="E46" s="1293"/>
      <c r="F46" s="1294"/>
      <c r="G46" s="1295"/>
      <c r="H46" s="1459"/>
      <c r="I46" s="1463"/>
      <c r="J46" s="386"/>
      <c r="M46" s="477"/>
      <c r="N46" s="477"/>
      <c r="O46" s="477"/>
      <c r="P46" s="477"/>
      <c r="Q46" s="476"/>
      <c r="S46" s="1433"/>
      <c r="T46" s="1434"/>
    </row>
    <row r="47" spans="1:20" s="351" customFormat="1" ht="13.15" customHeight="1">
      <c r="A47" s="386"/>
      <c r="B47" s="785" t="s">
        <v>1046</v>
      </c>
      <c r="C47" s="1293"/>
      <c r="D47" s="1295"/>
      <c r="E47" s="1293"/>
      <c r="F47" s="1294"/>
      <c r="G47" s="1295"/>
      <c r="H47" s="1459"/>
      <c r="I47" s="1463"/>
      <c r="J47" s="386"/>
      <c r="K47" s="386"/>
      <c r="L47" s="478"/>
      <c r="M47" s="477"/>
      <c r="N47" s="477"/>
      <c r="O47" s="477"/>
      <c r="P47" s="477"/>
      <c r="Q47" s="476"/>
      <c r="S47" s="1433"/>
      <c r="T47" s="1434"/>
    </row>
    <row r="48" spans="1:20" s="351" customFormat="1" ht="13.15" customHeight="1">
      <c r="A48" s="386"/>
      <c r="B48" s="790" t="s">
        <v>1046</v>
      </c>
      <c r="C48" s="1293"/>
      <c r="D48" s="1295"/>
      <c r="E48" s="1293"/>
      <c r="F48" s="1294"/>
      <c r="G48" s="1295"/>
      <c r="H48" s="1459"/>
      <c r="I48" s="1463"/>
      <c r="J48" s="386"/>
      <c r="K48" s="386"/>
      <c r="L48" s="478"/>
      <c r="M48" s="477"/>
      <c r="N48" s="477"/>
      <c r="O48" s="477"/>
      <c r="P48" s="477"/>
      <c r="Q48" s="476"/>
      <c r="S48" s="1433"/>
      <c r="T48" s="1434"/>
    </row>
    <row r="49" spans="1:23" s="351" customFormat="1" ht="13.15" customHeight="1">
      <c r="A49" s="386"/>
      <c r="B49" s="781" t="s">
        <v>2939</v>
      </c>
      <c r="C49" s="386"/>
      <c r="D49" s="386"/>
      <c r="E49" s="386"/>
      <c r="F49" s="386"/>
      <c r="G49" s="386"/>
      <c r="H49" s="883">
        <f>SUM(H32:I48)</f>
        <v>11360222</v>
      </c>
      <c r="I49" s="884"/>
      <c r="J49" s="406"/>
      <c r="K49" s="386"/>
      <c r="L49" s="478"/>
      <c r="M49" s="477"/>
      <c r="N49" s="477"/>
      <c r="O49" s="477"/>
      <c r="P49" s="477"/>
      <c r="Q49" s="476"/>
      <c r="S49" s="1433"/>
      <c r="T49" s="1434"/>
    </row>
    <row r="50" spans="1:23" s="351" customFormat="1" ht="13.15" customHeight="1" thickBot="1">
      <c r="A50" s="386"/>
      <c r="B50" s="781" t="s">
        <v>2940</v>
      </c>
      <c r="C50" s="386"/>
      <c r="D50" s="386"/>
      <c r="E50" s="386"/>
      <c r="F50" s="386"/>
      <c r="G50" s="386"/>
      <c r="H50" s="881">
        <f>'Part IV-Uses of Funds'!$G$129</f>
        <v>11360222</v>
      </c>
      <c r="I50" s="882"/>
      <c r="J50" s="406"/>
      <c r="K50" s="386"/>
      <c r="L50" s="478"/>
      <c r="M50" s="477"/>
      <c r="N50" s="477"/>
      <c r="O50" s="477"/>
      <c r="P50" s="477"/>
      <c r="Q50" s="476"/>
      <c r="S50" s="1433"/>
      <c r="T50" s="1434"/>
    </row>
    <row r="51" spans="1:23" s="351" customFormat="1" ht="13.15" customHeight="1" thickBot="1">
      <c r="A51" s="386"/>
      <c r="B51" s="392" t="s">
        <v>1982</v>
      </c>
      <c r="C51" s="386"/>
      <c r="D51" s="386"/>
      <c r="E51" s="386"/>
      <c r="F51" s="386"/>
      <c r="G51" s="386"/>
      <c r="H51" s="894">
        <f>H49-H50</f>
        <v>0</v>
      </c>
      <c r="I51" s="895"/>
      <c r="J51" s="406"/>
      <c r="K51" s="386"/>
      <c r="L51" s="478"/>
      <c r="M51" s="477"/>
      <c r="N51" s="477"/>
      <c r="O51" s="477"/>
      <c r="P51" s="477"/>
      <c r="Q51" s="476"/>
      <c r="S51" s="1435"/>
      <c r="T51" s="1436"/>
    </row>
    <row r="52" spans="1:23" s="351" customFormat="1" ht="13.15" customHeight="1">
      <c r="A52" s="386" t="s">
        <v>3774</v>
      </c>
      <c r="B52" s="392"/>
      <c r="C52" s="386"/>
      <c r="D52" s="386"/>
      <c r="E52" s="386"/>
      <c r="F52" s="386"/>
      <c r="G52" s="386"/>
      <c r="H52" s="469"/>
      <c r="I52" s="469"/>
      <c r="J52" s="406"/>
      <c r="K52" s="386"/>
      <c r="L52" s="478"/>
      <c r="M52" s="477"/>
      <c r="N52" s="477"/>
      <c r="O52" s="477"/>
      <c r="P52" s="477"/>
      <c r="Q52" s="476"/>
      <c r="S52" s="1464"/>
      <c r="T52" s="1464"/>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74"/>
      <c r="B56" s="1465"/>
      <c r="C56" s="1465"/>
      <c r="D56" s="1465"/>
      <c r="E56" s="1465"/>
      <c r="F56" s="1465"/>
      <c r="G56" s="1465"/>
      <c r="H56" s="1465"/>
      <c r="I56" s="1465"/>
      <c r="J56" s="1466"/>
      <c r="K56" s="1377"/>
      <c r="L56" s="1465"/>
      <c r="M56" s="1465"/>
      <c r="N56" s="1465"/>
      <c r="O56" s="1465"/>
      <c r="P56" s="1465"/>
      <c r="Q56" s="1466"/>
      <c r="S56" s="914" t="s">
        <v>3596</v>
      </c>
      <c r="T56" s="914"/>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18" t="str">
        <f>CONCATENATE("PART III B: USD 538 LOAN","  -  ",'Part I-Project Information'!$O$4," ",'Part I-Project Information'!$F$23,", ",'Part I-Project Information'!$F$26,", ",'Part I-Project Information'!$J$27," County")</f>
        <v>PART III B: USD 538 LOAN  -  2013-001 Forest Mill Apartments, West Point, Troup County</v>
      </c>
      <c r="B1" s="919"/>
      <c r="C1" s="919"/>
      <c r="D1" s="919"/>
      <c r="E1" s="919"/>
      <c r="F1" s="920"/>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7" t="s">
        <v>236</v>
      </c>
      <c r="B3" s="927"/>
      <c r="C3" s="927"/>
      <c r="D3" s="927"/>
      <c r="E3" s="927"/>
      <c r="F3" s="927"/>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8" t="s">
        <v>134</v>
      </c>
      <c r="B14" s="928"/>
      <c r="C14" s="928"/>
      <c r="D14" s="928"/>
      <c r="E14" s="928"/>
      <c r="F14" s="928"/>
      <c r="G14" s="247"/>
      <c r="H14" s="247"/>
    </row>
    <row r="15" spans="1:17" ht="5.45" customHeight="1">
      <c r="A15" s="32"/>
      <c r="E15" s="258"/>
      <c r="F15" s="247"/>
      <c r="G15" s="247"/>
      <c r="H15" s="247"/>
    </row>
    <row r="16" spans="1:17" ht="13.15" customHeight="1">
      <c r="A16" s="260" t="s">
        <v>3262</v>
      </c>
      <c r="B16" s="261" t="s">
        <v>3259</v>
      </c>
      <c r="C16" s="261" t="s">
        <v>3260</v>
      </c>
      <c r="D16" s="924" t="s">
        <v>2982</v>
      </c>
      <c r="E16" s="924"/>
      <c r="F16" s="247"/>
      <c r="G16" s="247"/>
      <c r="H16" s="247"/>
    </row>
    <row r="17" spans="1:8" ht="12.6" customHeight="1">
      <c r="A17" s="97">
        <v>1</v>
      </c>
      <c r="B17" s="236">
        <f>IF(A17&gt;$C$9,0,SUM(C64:C75)*($C$6/$C$7))</f>
        <v>0</v>
      </c>
      <c r="C17" s="259">
        <f>IF(A17&gt;C9,0,(E63+K63)*$C$8)</f>
        <v>0</v>
      </c>
      <c r="D17" s="929">
        <f t="shared" ref="D17:D56" si="0">IF(A17&gt;$C$9,0,$C$11+C17)</f>
        <v>0</v>
      </c>
      <c r="E17" s="929"/>
      <c r="F17" s="247"/>
      <c r="G17" s="247"/>
      <c r="H17" s="247"/>
    </row>
    <row r="18" spans="1:8" ht="12.6" customHeight="1">
      <c r="A18" s="97">
        <v>2</v>
      </c>
      <c r="B18" s="236">
        <f>IF(A18&gt;C9,0,SUM(C76:C87)*($C$6/$C$7))</f>
        <v>0</v>
      </c>
      <c r="C18" s="266">
        <f>IF(A18&gt;C9,0,(E75+K75)*$C$8)</f>
        <v>0</v>
      </c>
      <c r="D18" s="921">
        <f t="shared" si="0"/>
        <v>0</v>
      </c>
      <c r="E18" s="921"/>
      <c r="F18" s="247"/>
      <c r="G18" s="247"/>
      <c r="H18" s="247"/>
    </row>
    <row r="19" spans="1:8" ht="12.6" customHeight="1">
      <c r="A19" s="97">
        <v>3</v>
      </c>
      <c r="B19" s="236">
        <f>IF(A19&gt;C9,0,SUM(C88:C99)*($C$6/$C$7))</f>
        <v>0</v>
      </c>
      <c r="C19" s="259">
        <f>IF(A19&gt;C9,0,(E87+K87)*$C$8)</f>
        <v>0</v>
      </c>
      <c r="D19" s="921">
        <f t="shared" si="0"/>
        <v>0</v>
      </c>
      <c r="E19" s="921"/>
      <c r="F19" s="247"/>
      <c r="G19" s="247"/>
      <c r="H19" s="247"/>
    </row>
    <row r="20" spans="1:8" ht="12.6" customHeight="1">
      <c r="A20" s="97">
        <v>4</v>
      </c>
      <c r="B20" s="236">
        <f>IF(A20&gt;C9,0,SUM(C100:C111)*($C$6/$C$7))</f>
        <v>0</v>
      </c>
      <c r="C20" s="259">
        <f>IF(A20&gt;C9,0,(E99+K99)*$C$8)</f>
        <v>0</v>
      </c>
      <c r="D20" s="921">
        <f t="shared" si="0"/>
        <v>0</v>
      </c>
      <c r="E20" s="921"/>
      <c r="F20" s="247"/>
      <c r="G20" s="247"/>
      <c r="H20" s="247"/>
    </row>
    <row r="21" spans="1:8" ht="12.6" customHeight="1">
      <c r="A21" s="97">
        <v>5</v>
      </c>
      <c r="B21" s="236">
        <f>IF(A21&gt;C9,0,SUM(C112:C123)*($C$6/$C$7))</f>
        <v>0</v>
      </c>
      <c r="C21" s="259">
        <f>IF(A21&gt;C9,0,(E111+K111)*$C$8)</f>
        <v>0</v>
      </c>
      <c r="D21" s="922">
        <f t="shared" si="0"/>
        <v>0</v>
      </c>
      <c r="E21" s="922"/>
      <c r="F21" s="247"/>
      <c r="G21" s="247"/>
      <c r="H21" s="247"/>
    </row>
    <row r="22" spans="1:8" ht="12.6" customHeight="1">
      <c r="A22" s="237">
        <v>6</v>
      </c>
      <c r="B22" s="238">
        <f>IF(A22&gt;C9,0,SUM(C124:C135)*($C$6/$C$7))</f>
        <v>0</v>
      </c>
      <c r="C22" s="263">
        <f>IF(A22&gt;C9,0,(E123+K123)*$C$8)</f>
        <v>0</v>
      </c>
      <c r="D22" s="921">
        <f t="shared" si="0"/>
        <v>0</v>
      </c>
      <c r="E22" s="921"/>
      <c r="F22" s="247"/>
      <c r="G22" s="247"/>
      <c r="H22" s="247"/>
    </row>
    <row r="23" spans="1:8" ht="12.6" customHeight="1">
      <c r="A23" s="239">
        <v>7</v>
      </c>
      <c r="B23" s="240">
        <f>IF(A23&gt;C9,0,SUM(C136:C147)*($C$6/$C$7))</f>
        <v>0</v>
      </c>
      <c r="C23" s="241">
        <f>IF(A23&gt;C9,0,(E135+K135)*$C$8)</f>
        <v>0</v>
      </c>
      <c r="D23" s="921">
        <f t="shared" si="0"/>
        <v>0</v>
      </c>
      <c r="E23" s="921"/>
      <c r="F23" s="247"/>
      <c r="G23" s="247"/>
      <c r="H23" s="247"/>
    </row>
    <row r="24" spans="1:8" ht="12.6" customHeight="1">
      <c r="A24" s="239">
        <v>8</v>
      </c>
      <c r="B24" s="240">
        <f>IF(A24&gt;C9,0,SUM(C148:C159)*($C$6/$C$7))</f>
        <v>0</v>
      </c>
      <c r="C24" s="241">
        <f>IF(A24&gt;C9,0,(E147+K147)*$C$8)</f>
        <v>0</v>
      </c>
      <c r="D24" s="921">
        <f t="shared" si="0"/>
        <v>0</v>
      </c>
      <c r="E24" s="921"/>
      <c r="F24" s="247"/>
      <c r="G24" s="247"/>
      <c r="H24" s="247"/>
    </row>
    <row r="25" spans="1:8" ht="12.6" customHeight="1">
      <c r="A25" s="239">
        <v>9</v>
      </c>
      <c r="B25" s="240">
        <f>IF(A25&gt;C9,0,SUM(C160:C171)*($C$6/$C$7))</f>
        <v>0</v>
      </c>
      <c r="C25" s="241">
        <f>IF(A25&gt;C9,0,(E159+K159)*$C$8)</f>
        <v>0</v>
      </c>
      <c r="D25" s="921">
        <f t="shared" si="0"/>
        <v>0</v>
      </c>
      <c r="E25" s="921"/>
      <c r="F25" s="247"/>
      <c r="G25" s="247"/>
      <c r="H25" s="247"/>
    </row>
    <row r="26" spans="1:8" ht="12.6" customHeight="1">
      <c r="A26" s="242">
        <v>10</v>
      </c>
      <c r="B26" s="243">
        <f>IF(A26&gt;C9,0,SUM(C172:C183)*($C$6/$C$7))</f>
        <v>0</v>
      </c>
      <c r="C26" s="262">
        <f>IF(A26&gt;C9,0,(E171+K171)*$C$8)</f>
        <v>0</v>
      </c>
      <c r="D26" s="922">
        <f t="shared" si="0"/>
        <v>0</v>
      </c>
      <c r="E26" s="922"/>
      <c r="F26" s="247"/>
      <c r="G26" s="247"/>
      <c r="H26" s="247"/>
    </row>
    <row r="27" spans="1:8" ht="12.6" customHeight="1">
      <c r="A27" s="244">
        <v>11</v>
      </c>
      <c r="B27" s="236">
        <f>IF(A27&gt;C9,0,SUM(C184:C195)*($C$6/$C$7))</f>
        <v>0</v>
      </c>
      <c r="C27" s="259">
        <f>IF(A27&gt;C9,0,(E183+K183)*$C$8)</f>
        <v>0</v>
      </c>
      <c r="D27" s="921">
        <f t="shared" si="0"/>
        <v>0</v>
      </c>
      <c r="E27" s="921"/>
      <c r="F27" s="247"/>
      <c r="G27" s="247"/>
      <c r="H27" s="247"/>
    </row>
    <row r="28" spans="1:8" ht="12.6" customHeight="1">
      <c r="A28" s="244">
        <v>12</v>
      </c>
      <c r="B28" s="236">
        <f>IF(A28&gt;C9,0,SUM(C196:C207)*($C$6/$C$7))</f>
        <v>0</v>
      </c>
      <c r="C28" s="259">
        <f>IF(A28&gt;C9,0,(E195+K195)*$C$8)</f>
        <v>0</v>
      </c>
      <c r="D28" s="921">
        <f t="shared" si="0"/>
        <v>0</v>
      </c>
      <c r="E28" s="921"/>
      <c r="F28" s="247"/>
      <c r="G28" s="247"/>
      <c r="H28" s="247"/>
    </row>
    <row r="29" spans="1:8" ht="12.6" customHeight="1">
      <c r="A29" s="244">
        <v>13</v>
      </c>
      <c r="B29" s="236">
        <f>IF(A29&gt;C9,0,SUM(C208:C219)*($C$6/$C$7))</f>
        <v>0</v>
      </c>
      <c r="C29" s="259">
        <f>IF(A29&gt;C9,0,(E207+K207)*$C$8)</f>
        <v>0</v>
      </c>
      <c r="D29" s="921">
        <f t="shared" si="0"/>
        <v>0</v>
      </c>
      <c r="E29" s="921"/>
      <c r="F29" s="247"/>
      <c r="G29" s="247"/>
      <c r="H29" s="247"/>
    </row>
    <row r="30" spans="1:8" ht="12.6" customHeight="1">
      <c r="A30" s="244">
        <v>14</v>
      </c>
      <c r="B30" s="236">
        <f>IF(A30&gt;C9,0,SUM(C220:C231)*($C$6/$C$7))</f>
        <v>0</v>
      </c>
      <c r="C30" s="259">
        <f>IF(A30&gt;C9,0,(E219+K219)*$C$8)</f>
        <v>0</v>
      </c>
      <c r="D30" s="921">
        <f t="shared" si="0"/>
        <v>0</v>
      </c>
      <c r="E30" s="921"/>
      <c r="F30" s="247"/>
      <c r="G30" s="247"/>
      <c r="H30" s="247"/>
    </row>
    <row r="31" spans="1:8" ht="12.6" customHeight="1">
      <c r="A31" s="244">
        <v>15</v>
      </c>
      <c r="B31" s="236">
        <f>IF(A31&gt;C9,0,SUM(C232:C243)*($C$6/$C$7))</f>
        <v>0</v>
      </c>
      <c r="C31" s="259">
        <f>IF(A31&gt;C9,0,(E231+K231)*$C$8)</f>
        <v>0</v>
      </c>
      <c r="D31" s="922">
        <f t="shared" si="0"/>
        <v>0</v>
      </c>
      <c r="E31" s="922"/>
      <c r="F31" s="247"/>
      <c r="G31" s="247"/>
      <c r="H31" s="247"/>
    </row>
    <row r="32" spans="1:8" ht="12.6" customHeight="1">
      <c r="A32" s="246">
        <v>16</v>
      </c>
      <c r="B32" s="238">
        <f>IF(A32&gt;C9,0,SUM(C244:C255)*($C$6/$C$7))</f>
        <v>0</v>
      </c>
      <c r="C32" s="263">
        <f>IF(A32&gt;C9,0,(E243+K243)*$C$8)</f>
        <v>0</v>
      </c>
      <c r="D32" s="921">
        <f t="shared" si="0"/>
        <v>0</v>
      </c>
      <c r="E32" s="921"/>
      <c r="F32" s="247"/>
      <c r="G32" s="247"/>
      <c r="H32" s="247"/>
    </row>
    <row r="33" spans="1:8" ht="12.6" customHeight="1">
      <c r="A33" s="239">
        <v>17</v>
      </c>
      <c r="B33" s="240">
        <f>IF(A33&gt;C9,0,SUM(C256:C267)*($C$6/$C$7))</f>
        <v>0</v>
      </c>
      <c r="C33" s="241">
        <f>IF(A33&gt;C9,0,(E255+K255)*$C$8)</f>
        <v>0</v>
      </c>
      <c r="D33" s="921">
        <f t="shared" si="0"/>
        <v>0</v>
      </c>
      <c r="E33" s="921"/>
      <c r="F33" s="247"/>
      <c r="G33" s="247"/>
      <c r="H33" s="247"/>
    </row>
    <row r="34" spans="1:8" ht="12.6" customHeight="1">
      <c r="A34" s="239">
        <v>18</v>
      </c>
      <c r="B34" s="240">
        <f>IF(A34&gt;C9,0,SUM(C268:C279)*($C$6/$C$7))</f>
        <v>0</v>
      </c>
      <c r="C34" s="241">
        <f>IF(A34&gt;C9,0,(E267+K267)*$C$8)</f>
        <v>0</v>
      </c>
      <c r="D34" s="921">
        <f t="shared" si="0"/>
        <v>0</v>
      </c>
      <c r="E34" s="921"/>
      <c r="F34" s="247"/>
      <c r="G34" s="247"/>
      <c r="H34" s="247"/>
    </row>
    <row r="35" spans="1:8" ht="12.6" customHeight="1">
      <c r="A35" s="239">
        <v>19</v>
      </c>
      <c r="B35" s="240">
        <f>IF(A35&gt;C9,0,SUM(C280:C291)*($C$6/$C$7))</f>
        <v>0</v>
      </c>
      <c r="C35" s="241">
        <f>IF(A35&gt;C9,0,(E279+K279)*$C$8)</f>
        <v>0</v>
      </c>
      <c r="D35" s="921">
        <f t="shared" si="0"/>
        <v>0</v>
      </c>
      <c r="E35" s="921"/>
      <c r="F35" s="247"/>
      <c r="G35" s="247"/>
      <c r="H35" s="247"/>
    </row>
    <row r="36" spans="1:8" ht="12.6" customHeight="1">
      <c r="A36" s="242">
        <v>20</v>
      </c>
      <c r="B36" s="243">
        <f>IF(A36&gt;C9,0,SUM(C292:C303)*($C$6/$C$7))</f>
        <v>0</v>
      </c>
      <c r="C36" s="262">
        <f>IF(A36&gt;C9,0,(E291+K291)*$C$8)</f>
        <v>0</v>
      </c>
      <c r="D36" s="922">
        <f t="shared" si="0"/>
        <v>0</v>
      </c>
      <c r="E36" s="922"/>
      <c r="F36" s="247"/>
      <c r="G36" s="247"/>
      <c r="H36" s="247"/>
    </row>
    <row r="37" spans="1:8" ht="12.6" customHeight="1">
      <c r="A37" s="97">
        <v>21</v>
      </c>
      <c r="B37" s="238">
        <f>IF(A37&gt;C9,0,SUM(C293:C304)*($C$6/$C$7))</f>
        <v>0</v>
      </c>
      <c r="C37" s="263">
        <f>IF(A37&gt;C9,0,(E303+K303)*$C$8)</f>
        <v>0</v>
      </c>
      <c r="D37" s="923">
        <f t="shared" si="0"/>
        <v>0</v>
      </c>
      <c r="E37" s="923"/>
      <c r="F37" s="247"/>
      <c r="G37" s="247"/>
      <c r="H37" s="247"/>
    </row>
    <row r="38" spans="1:8" ht="12.6" customHeight="1">
      <c r="A38" s="97">
        <v>22</v>
      </c>
      <c r="B38" s="240">
        <f>IF(A38&gt;C9,0,SUM(C294:C305)*($C$6/$C$7))</f>
        <v>0</v>
      </c>
      <c r="C38" s="241">
        <f>IF(A38&gt;C9,0,(E315+K315)*$C$8)</f>
        <v>0</v>
      </c>
      <c r="D38" s="921">
        <f t="shared" si="0"/>
        <v>0</v>
      </c>
      <c r="E38" s="921"/>
      <c r="F38" s="247"/>
      <c r="G38" s="247"/>
      <c r="H38" s="247"/>
    </row>
    <row r="39" spans="1:8" ht="12.6" customHeight="1">
      <c r="A39" s="97">
        <v>23</v>
      </c>
      <c r="B39" s="240">
        <f>IF(A39&gt;C9,0,SUM(C295:C306)*($C$6/$C$7))</f>
        <v>0</v>
      </c>
      <c r="C39" s="241">
        <f>IF(A39&gt;C9,0,(E327+K327)*$C$8)</f>
        <v>0</v>
      </c>
      <c r="D39" s="921">
        <f t="shared" si="0"/>
        <v>0</v>
      </c>
      <c r="E39" s="921"/>
      <c r="F39" s="247"/>
      <c r="G39" s="247"/>
      <c r="H39" s="247"/>
    </row>
    <row r="40" spans="1:8" ht="12.6" customHeight="1">
      <c r="A40" s="97">
        <v>24</v>
      </c>
      <c r="B40" s="240">
        <f>IF(A40&gt;C9,0,SUM(C296:C307)*($C$6/$C$7))</f>
        <v>0</v>
      </c>
      <c r="C40" s="241">
        <f>IF(A40&gt;C9,0,(E339+K339)*$C$8)</f>
        <v>0</v>
      </c>
      <c r="D40" s="921">
        <f t="shared" si="0"/>
        <v>0</v>
      </c>
      <c r="E40" s="921"/>
      <c r="F40" s="247"/>
      <c r="G40" s="247"/>
      <c r="H40" s="247"/>
    </row>
    <row r="41" spans="1:8" ht="12.6" customHeight="1">
      <c r="A41" s="97">
        <v>25</v>
      </c>
      <c r="B41" s="243">
        <f>IF(A41&gt;C9,0,SUM(C297:C308)*($C$6/$C$7))</f>
        <v>0</v>
      </c>
      <c r="C41" s="262">
        <f>IF(A41&gt;C9,0,(E351+K351)*$C$8)</f>
        <v>0</v>
      </c>
      <c r="D41" s="922">
        <f t="shared" si="0"/>
        <v>0</v>
      </c>
      <c r="E41" s="922"/>
      <c r="F41" s="247"/>
      <c r="G41" s="247"/>
      <c r="H41" s="247"/>
    </row>
    <row r="42" spans="1:8" ht="12.6" customHeight="1">
      <c r="A42" s="237">
        <v>26</v>
      </c>
      <c r="B42" s="238">
        <f>IF(A42&gt;C9,0,SUM(C298:C309)*($C$6/$C$7))</f>
        <v>0</v>
      </c>
      <c r="C42" s="263">
        <f>IF(A42&gt;C9,0,(E363+K363)*$C$8)</f>
        <v>0</v>
      </c>
      <c r="D42" s="923">
        <f t="shared" si="0"/>
        <v>0</v>
      </c>
      <c r="E42" s="923"/>
      <c r="F42" s="247"/>
      <c r="G42" s="247"/>
      <c r="H42" s="247"/>
    </row>
    <row r="43" spans="1:8" ht="12.6" customHeight="1">
      <c r="A43" s="239">
        <v>27</v>
      </c>
      <c r="B43" s="240">
        <f>IF(A43&gt;C9,0,SUM(C299:C310)*($C$6/$C$7))</f>
        <v>0</v>
      </c>
      <c r="C43" s="241">
        <f>IF(A43&gt;C9,0,(E375+K375)*$C$8)</f>
        <v>0</v>
      </c>
      <c r="D43" s="921">
        <f t="shared" si="0"/>
        <v>0</v>
      </c>
      <c r="E43" s="921"/>
      <c r="F43" s="247"/>
      <c r="G43" s="247"/>
      <c r="H43" s="247"/>
    </row>
    <row r="44" spans="1:8" ht="12.6" customHeight="1">
      <c r="A44" s="239">
        <v>28</v>
      </c>
      <c r="B44" s="240">
        <f>IF(A44&gt;C9,0,SUM(C300:C311)*($C$6/$C$7))</f>
        <v>0</v>
      </c>
      <c r="C44" s="241">
        <f>IF(A44&gt;C9,0,(E387+K387)*$C$8)</f>
        <v>0</v>
      </c>
      <c r="D44" s="921">
        <f t="shared" si="0"/>
        <v>0</v>
      </c>
      <c r="E44" s="921"/>
      <c r="F44" s="247"/>
      <c r="G44" s="247"/>
      <c r="H44" s="247"/>
    </row>
    <row r="45" spans="1:8" ht="12.6" customHeight="1">
      <c r="A45" s="239">
        <v>29</v>
      </c>
      <c r="B45" s="240">
        <f>IF(A45&gt;C9,0,SUM(C301:C312)*($C$6/$C$7))</f>
        <v>0</v>
      </c>
      <c r="C45" s="241">
        <f>IF(A45&gt;C9,0,(E411+K411)*$C$8)</f>
        <v>0</v>
      </c>
      <c r="D45" s="921">
        <f t="shared" si="0"/>
        <v>0</v>
      </c>
      <c r="E45" s="921"/>
      <c r="F45" s="247"/>
      <c r="G45" s="247"/>
      <c r="H45" s="247"/>
    </row>
    <row r="46" spans="1:8" ht="12.6" customHeight="1">
      <c r="A46" s="242">
        <v>30</v>
      </c>
      <c r="B46" s="243">
        <f>IF(A46&gt;C9,0,SUM(C302:C313)*($C$6/$C$7))</f>
        <v>0</v>
      </c>
      <c r="C46" s="262">
        <f>IF(A46&gt;C9,0,(E423+K423)*$C$8)</f>
        <v>0</v>
      </c>
      <c r="D46" s="922">
        <f t="shared" si="0"/>
        <v>0</v>
      </c>
      <c r="E46" s="922"/>
      <c r="F46" s="247"/>
      <c r="G46" s="247"/>
      <c r="H46" s="247"/>
    </row>
    <row r="47" spans="1:8" ht="12.6" customHeight="1">
      <c r="A47" s="246">
        <v>31</v>
      </c>
      <c r="B47" s="238">
        <f>IF(A47&gt;C9,0,SUM(C303:C314)*($C$6/$C$7))</f>
        <v>0</v>
      </c>
      <c r="C47" s="263">
        <f>IF(A47&gt;C9,0,(E435+K435)*$C$8)</f>
        <v>0</v>
      </c>
      <c r="D47" s="923">
        <f t="shared" si="0"/>
        <v>0</v>
      </c>
      <c r="E47" s="923"/>
      <c r="F47" s="247"/>
      <c r="G47" s="247"/>
      <c r="H47" s="247"/>
    </row>
    <row r="48" spans="1:8" ht="12.6" customHeight="1">
      <c r="A48" s="239">
        <v>32</v>
      </c>
      <c r="B48" s="240">
        <f>IF(A48&gt;C9,0,SUM(C304:C315)*($C$6/$C$7))</f>
        <v>0</v>
      </c>
      <c r="C48" s="241">
        <f>IF(A48&gt;C9,0,(E447+K447)*$C$8)</f>
        <v>0</v>
      </c>
      <c r="D48" s="921">
        <f t="shared" si="0"/>
        <v>0</v>
      </c>
      <c r="E48" s="921"/>
      <c r="F48" s="247"/>
      <c r="G48" s="247"/>
      <c r="H48" s="247"/>
    </row>
    <row r="49" spans="1:12" ht="12.6" customHeight="1">
      <c r="A49" s="239">
        <v>33</v>
      </c>
      <c r="B49" s="240">
        <f>IF(A49&gt;C9,0,SUM(C305:C316)*($C$6/$C$7))</f>
        <v>0</v>
      </c>
      <c r="C49" s="241">
        <f>IF(A49&gt;C9,0,(E459+K459)*$C$8)</f>
        <v>0</v>
      </c>
      <c r="D49" s="921">
        <f t="shared" si="0"/>
        <v>0</v>
      </c>
      <c r="E49" s="921"/>
      <c r="F49" s="247"/>
      <c r="G49" s="247"/>
      <c r="H49" s="247"/>
    </row>
    <row r="50" spans="1:12" ht="12.6" customHeight="1">
      <c r="A50" s="239">
        <v>34</v>
      </c>
      <c r="B50" s="240">
        <f>IF(A50&gt;C9,0,SUM(C306:C317)*($C$6/$C$7))</f>
        <v>0</v>
      </c>
      <c r="C50" s="241">
        <f>IF(A50&gt;C9,0,(E471+K471)*$C$8)</f>
        <v>0</v>
      </c>
      <c r="D50" s="921">
        <f t="shared" si="0"/>
        <v>0</v>
      </c>
      <c r="E50" s="921"/>
      <c r="F50" s="247"/>
      <c r="G50" s="247"/>
      <c r="H50" s="247"/>
    </row>
    <row r="51" spans="1:12" ht="12.6" customHeight="1">
      <c r="A51" s="242">
        <v>35</v>
      </c>
      <c r="B51" s="243">
        <f>IF(A51&gt;C9,0,SUM(C307:C318)*($C$6/$C$7))</f>
        <v>0</v>
      </c>
      <c r="C51" s="262">
        <f>IF(A51&gt;C9,0,(E483+K483)*$C$8)</f>
        <v>0</v>
      </c>
      <c r="D51" s="922">
        <f t="shared" si="0"/>
        <v>0</v>
      </c>
      <c r="E51" s="922"/>
      <c r="F51" s="247"/>
      <c r="G51" s="247"/>
      <c r="H51" s="247"/>
    </row>
    <row r="52" spans="1:12" ht="12.6" customHeight="1">
      <c r="A52" s="246">
        <v>36</v>
      </c>
      <c r="B52" s="238">
        <f>IF(A52&gt;C9,0,SUM(C308:C319)*($C$6/$C$7))</f>
        <v>0</v>
      </c>
      <c r="C52" s="263">
        <f>IF(A52&gt;C9,0,(E495+K495)*$C$8)</f>
        <v>0</v>
      </c>
      <c r="D52" s="923">
        <f t="shared" si="0"/>
        <v>0</v>
      </c>
      <c r="E52" s="923"/>
      <c r="F52" s="247"/>
      <c r="G52" s="247"/>
      <c r="H52" s="247"/>
    </row>
    <row r="53" spans="1:12" ht="12.6" customHeight="1">
      <c r="A53" s="239">
        <v>37</v>
      </c>
      <c r="B53" s="240">
        <f>IF(A53&gt;C9,0,SUM(C309:C320)*($C$6/$C$7))</f>
        <v>0</v>
      </c>
      <c r="C53" s="241">
        <f>IF(A53&gt;C9,0,(E507+K507)*$C$8)</f>
        <v>0</v>
      </c>
      <c r="D53" s="921">
        <f t="shared" si="0"/>
        <v>0</v>
      </c>
      <c r="E53" s="921"/>
      <c r="F53" s="247"/>
      <c r="G53" s="247"/>
      <c r="H53" s="247"/>
    </row>
    <row r="54" spans="1:12" ht="12.6" customHeight="1">
      <c r="A54" s="239">
        <v>38</v>
      </c>
      <c r="B54" s="240">
        <f>IF(A54&gt;C9,0,SUM(C310:C321)*($C$6/$C$7))</f>
        <v>0</v>
      </c>
      <c r="C54" s="241">
        <f>IF(A54&gt;C9,0,(E519+K519)*$C$8)</f>
        <v>0</v>
      </c>
      <c r="D54" s="921">
        <f t="shared" si="0"/>
        <v>0</v>
      </c>
      <c r="E54" s="921"/>
      <c r="F54" s="247"/>
      <c r="G54" s="247"/>
      <c r="H54" s="247"/>
    </row>
    <row r="55" spans="1:12" ht="12.6" customHeight="1">
      <c r="A55" s="239">
        <v>39</v>
      </c>
      <c r="B55" s="240">
        <f>IF(A55&gt;C9,0,SUM(C311:C322)*($C$6/$C$7))</f>
        <v>0</v>
      </c>
      <c r="C55" s="241">
        <f>IF(A55&gt;C9,0,(E531+K531)*$C$8)</f>
        <v>0</v>
      </c>
      <c r="D55" s="921">
        <f t="shared" si="0"/>
        <v>0</v>
      </c>
      <c r="E55" s="921"/>
      <c r="F55" s="247"/>
      <c r="G55" s="247"/>
      <c r="H55" s="247"/>
    </row>
    <row r="56" spans="1:12" ht="12.6" customHeight="1">
      <c r="A56" s="242">
        <v>40</v>
      </c>
      <c r="B56" s="243">
        <f>IF(A56&gt;C9,0,SUM(C312:C323)*($C$6/$C$7))</f>
        <v>0</v>
      </c>
      <c r="C56" s="262">
        <f>IF(A56&gt;C9,0,(E543+K543)*$C$8)</f>
        <v>0</v>
      </c>
      <c r="D56" s="922">
        <f t="shared" si="0"/>
        <v>0</v>
      </c>
      <c r="E56" s="922"/>
      <c r="F56" s="247"/>
      <c r="G56" s="247"/>
      <c r="H56" s="247"/>
    </row>
    <row r="57" spans="1:12" ht="3" customHeight="1">
      <c r="A57" s="247"/>
      <c r="B57" s="247"/>
      <c r="C57" s="247"/>
      <c r="D57" s="247"/>
      <c r="E57" s="247"/>
      <c r="F57" s="247"/>
      <c r="G57" s="247"/>
      <c r="H57" s="247"/>
    </row>
    <row r="58" spans="1:12" ht="13.15" customHeight="1">
      <c r="A58" s="925" t="str">
        <f>CONCATENATE('Part I-Project Information'!$O$4," ",'Part I-Project Information'!$F$23,", ",'Part I-Project Information'!$F$26,", ",'Part I-Project Information'!$J$27," County")</f>
        <v>2013-001 Forest Mill Apartments, West Point, Troup County</v>
      </c>
      <c r="B58" s="925"/>
      <c r="C58" s="925"/>
      <c r="D58" s="925"/>
      <c r="E58" s="925"/>
      <c r="F58" s="925"/>
      <c r="G58" s="925" t="str">
        <f>CONCATENATE('Part I-Project Information'!$O$4," ",'Part I-Project Information'!$F$23,", ",'Part I-Project Information'!$F$26,", ",'Part I-Project Information'!$J$27," County")</f>
        <v>2013-001 Forest Mill Apartments, West Point, Troup County</v>
      </c>
      <c r="H58" s="925"/>
      <c r="I58" s="925"/>
      <c r="J58" s="925"/>
      <c r="K58" s="925"/>
      <c r="L58" s="925"/>
    </row>
    <row r="59" spans="1:12" ht="15">
      <c r="A59" s="926" t="s">
        <v>3253</v>
      </c>
      <c r="B59" s="926"/>
      <c r="C59" s="926"/>
      <c r="D59" s="926"/>
      <c r="E59" s="926"/>
      <c r="F59" s="926"/>
      <c r="G59" s="926" t="s">
        <v>3253</v>
      </c>
      <c r="H59" s="926"/>
      <c r="I59" s="926"/>
      <c r="J59" s="926"/>
      <c r="K59" s="926"/>
      <c r="L59" s="926"/>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18" t="str">
        <f>CONCATENATE("PART III C  - HUD INSURED LOAN","  -  ",'Part I-Project Information'!$O$4," ",'Part I-Project Information'!$F$23,", ",'Part I-Project Information'!$F$26,", ",'Part I-Project Information'!$J$27," County")</f>
        <v>PART III C  - HUD INSURED LOAN  -  2013-001 Forest Mill Apartments, West Point, Troup County</v>
      </c>
      <c r="B1" s="919"/>
      <c r="C1" s="919"/>
      <c r="D1" s="919"/>
      <c r="E1" s="919"/>
      <c r="F1" s="920"/>
      <c r="G1" s="208"/>
      <c r="H1" s="208"/>
      <c r="I1" s="208"/>
      <c r="J1" s="208"/>
      <c r="K1" s="208"/>
      <c r="L1" s="208"/>
      <c r="M1" s="208"/>
      <c r="N1" s="208"/>
      <c r="O1" s="208"/>
      <c r="P1" s="208"/>
      <c r="Q1" s="208"/>
    </row>
    <row r="2" spans="1:17">
      <c r="A2" s="16"/>
      <c r="B2" s="235"/>
      <c r="C2" s="235"/>
      <c r="D2" s="235"/>
    </row>
    <row r="3" spans="1:17" ht="15.6" customHeight="1">
      <c r="A3" s="927" t="s">
        <v>236</v>
      </c>
      <c r="B3" s="927"/>
      <c r="C3" s="927"/>
      <c r="D3" s="927"/>
      <c r="E3" s="927"/>
      <c r="F3" s="927"/>
      <c r="G3" s="286"/>
      <c r="H3" s="286"/>
    </row>
    <row r="4" spans="1:17">
      <c r="A4" s="16"/>
      <c r="B4" s="235"/>
      <c r="C4" s="235"/>
      <c r="D4" s="235"/>
    </row>
    <row r="5" spans="1:17" ht="13.15" customHeight="1">
      <c r="A5" s="31" t="s">
        <v>2983</v>
      </c>
      <c r="D5" s="278"/>
      <c r="E5" s="930" t="s">
        <v>1353</v>
      </c>
      <c r="F5" s="931"/>
      <c r="G5" s="197"/>
    </row>
    <row r="6" spans="1:17">
      <c r="E6" s="931"/>
      <c r="F6" s="931"/>
      <c r="G6" s="197"/>
    </row>
    <row r="7" spans="1:17">
      <c r="A7" s="31" t="s">
        <v>3245</v>
      </c>
      <c r="C7" s="31" t="s">
        <v>3246</v>
      </c>
      <c r="D7" s="279"/>
      <c r="E7" s="931"/>
      <c r="F7" s="931"/>
      <c r="G7" s="197"/>
    </row>
    <row r="8" spans="1:17">
      <c r="C8" s="31" t="s">
        <v>3247</v>
      </c>
      <c r="D8" s="279"/>
      <c r="E8" s="931"/>
      <c r="F8" s="931"/>
      <c r="G8" s="197"/>
    </row>
    <row r="9" spans="1:17">
      <c r="C9" s="31" t="s">
        <v>3248</v>
      </c>
      <c r="D9" s="279"/>
      <c r="E9" s="931"/>
      <c r="F9" s="931"/>
      <c r="G9" s="197"/>
    </row>
    <row r="10" spans="1:17">
      <c r="C10" s="31" t="s">
        <v>3261</v>
      </c>
      <c r="D10" s="287">
        <f>D7+D8+D9</f>
        <v>0</v>
      </c>
      <c r="E10" s="931"/>
      <c r="F10" s="931"/>
      <c r="G10" s="197"/>
    </row>
    <row r="11" spans="1:17">
      <c r="F11" s="197"/>
      <c r="G11" s="197"/>
    </row>
    <row r="12" spans="1:17">
      <c r="A12" s="31" t="s">
        <v>2408</v>
      </c>
      <c r="D12" s="277"/>
      <c r="E12" s="31" t="s">
        <v>2849</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8" t="s">
        <v>2409</v>
      </c>
      <c r="B24" s="928"/>
      <c r="C24" s="928"/>
      <c r="D24" s="928"/>
      <c r="E24" s="928"/>
      <c r="F24" s="928"/>
      <c r="J24" s="290"/>
    </row>
    <row r="25" spans="1:10">
      <c r="C25" s="245"/>
      <c r="J25" s="290"/>
    </row>
    <row r="26" spans="1:10">
      <c r="A26" s="125"/>
      <c r="B26" s="97"/>
      <c r="C26" s="932" t="s">
        <v>2982</v>
      </c>
      <c r="D26" s="285"/>
      <c r="E26" s="97"/>
      <c r="F26" s="932" t="s">
        <v>2982</v>
      </c>
      <c r="J26" s="290"/>
    </row>
    <row r="27" spans="1:10">
      <c r="A27" s="291" t="s">
        <v>3262</v>
      </c>
      <c r="B27" s="86" t="s">
        <v>1429</v>
      </c>
      <c r="C27" s="933"/>
      <c r="D27" s="292" t="s">
        <v>3262</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5" t="str">
        <f>CONCATENATE('Part I-Project Information'!$O$4," ",'Part I-Project Information'!$F$23,", ",'Part I-Project Information'!$F$26,", ",'Part I-Project Information'!$J$27," County")</f>
        <v>2013-001 Forest Mill Apartments, West Point, Troup County</v>
      </c>
      <c r="B50" s="925"/>
      <c r="C50" s="925"/>
      <c r="D50" s="925"/>
      <c r="E50" s="925"/>
      <c r="F50" s="925"/>
      <c r="G50" s="272"/>
      <c r="H50" s="272"/>
    </row>
    <row r="51" spans="1:10" ht="15">
      <c r="A51" s="926" t="s">
        <v>3253</v>
      </c>
      <c r="B51" s="926"/>
      <c r="C51" s="926"/>
      <c r="D51" s="926"/>
      <c r="E51" s="926"/>
      <c r="F51" s="926"/>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65" t="str">
        <f>CONCATENATE("PART FOUR -  USES OF FUNDS","  -  ",'Part I-Project Information'!$O$4," ",'Part I-Project Information'!$F$23,", ",'Part I-Project Information'!F26,", ",'Part I-Project Information'!J27," County")</f>
        <v>PART FOUR -  USES OF FUNDS  -  2013-001 Forest Mill Apartments, West Point, Troup County</v>
      </c>
      <c r="B1" s="966"/>
      <c r="C1" s="966"/>
      <c r="D1" s="966"/>
      <c r="E1" s="966"/>
      <c r="F1" s="966"/>
      <c r="G1" s="966"/>
      <c r="H1" s="966"/>
      <c r="I1" s="966"/>
      <c r="J1" s="966"/>
      <c r="K1" s="966"/>
      <c r="L1" s="966"/>
      <c r="M1" s="966"/>
      <c r="N1" s="966"/>
      <c r="O1" s="966"/>
      <c r="P1" s="966"/>
      <c r="Q1" s="966"/>
      <c r="R1" s="966"/>
      <c r="S1" s="966"/>
      <c r="T1" s="966"/>
      <c r="V1" s="964" t="str">
        <f>A1</f>
        <v>PART FOUR -  USES OF FUNDS  -  2013-001 Forest Mill Apartments, West Point, Troup County</v>
      </c>
      <c r="W1" s="964"/>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40" t="s">
        <v>299</v>
      </c>
      <c r="K5" s="941"/>
      <c r="L5" s="445"/>
      <c r="M5" s="959" t="s">
        <v>623</v>
      </c>
      <c r="N5" s="960"/>
      <c r="P5" s="940" t="s">
        <v>300</v>
      </c>
      <c r="Q5" s="941"/>
      <c r="S5" s="940" t="s">
        <v>301</v>
      </c>
      <c r="T5" s="941"/>
      <c r="V5" s="567" t="str">
        <f>B5</f>
        <v>DEVELOPMENT BUDGET</v>
      </c>
    </row>
    <row r="6" spans="1:23" s="386" customFormat="1" ht="21" customHeight="1" thickBot="1">
      <c r="G6" s="953" t="s">
        <v>107</v>
      </c>
      <c r="H6" s="954"/>
      <c r="J6" s="942"/>
      <c r="K6" s="943"/>
      <c r="L6" s="445"/>
      <c r="M6" s="961"/>
      <c r="N6" s="962"/>
      <c r="P6" s="942"/>
      <c r="Q6" s="943"/>
      <c r="S6" s="942"/>
      <c r="T6" s="943"/>
      <c r="V6" s="937" t="s">
        <v>3548</v>
      </c>
      <c r="W6" s="937"/>
    </row>
    <row r="7" spans="1:23" s="386" customFormat="1" ht="13.15" customHeight="1">
      <c r="B7" s="389" t="s">
        <v>108</v>
      </c>
      <c r="O7" s="687" t="str">
        <f>B7</f>
        <v>PRE-DEVELOPMENT COSTS</v>
      </c>
      <c r="V7" s="386" t="str">
        <f>B7</f>
        <v>PRE-DEVELOPMENT COSTS</v>
      </c>
    </row>
    <row r="8" spans="1:23" s="386" customFormat="1" ht="12.6" customHeight="1">
      <c r="B8" s="386" t="s">
        <v>2712</v>
      </c>
      <c r="G8" s="1437">
        <v>10000</v>
      </c>
      <c r="H8" s="1438"/>
      <c r="J8" s="1437">
        <f>G8</f>
        <v>10000</v>
      </c>
      <c r="K8" s="1438"/>
      <c r="L8" s="796"/>
      <c r="M8" s="1437"/>
      <c r="N8" s="1438"/>
      <c r="P8" s="1437"/>
      <c r="Q8" s="1438"/>
      <c r="S8" s="1437"/>
      <c r="T8" s="1438"/>
      <c r="V8" s="1467"/>
      <c r="W8" s="1468"/>
    </row>
    <row r="9" spans="1:23" s="386" customFormat="1" ht="12.6" customHeight="1">
      <c r="B9" s="386" t="s">
        <v>584</v>
      </c>
      <c r="G9" s="1437">
        <v>5000</v>
      </c>
      <c r="H9" s="1438"/>
      <c r="J9" s="1437">
        <f t="shared" ref="J9:J11" si="0">G9</f>
        <v>5000</v>
      </c>
      <c r="K9" s="1438"/>
      <c r="L9" s="796"/>
      <c r="M9" s="1437"/>
      <c r="N9" s="1438"/>
      <c r="P9" s="1437"/>
      <c r="Q9" s="1438"/>
      <c r="S9" s="1437"/>
      <c r="T9" s="1438"/>
      <c r="V9" s="1469"/>
      <c r="W9" s="1470"/>
    </row>
    <row r="10" spans="1:23" s="386" customFormat="1" ht="12.6" customHeight="1">
      <c r="B10" s="386" t="s">
        <v>620</v>
      </c>
      <c r="G10" s="1437">
        <v>8250</v>
      </c>
      <c r="H10" s="1438"/>
      <c r="J10" s="1437">
        <f t="shared" si="0"/>
        <v>8250</v>
      </c>
      <c r="K10" s="1438"/>
      <c r="L10" s="796"/>
      <c r="M10" s="1437"/>
      <c r="N10" s="1438"/>
      <c r="P10" s="1437"/>
      <c r="Q10" s="1438"/>
      <c r="S10" s="1437"/>
      <c r="T10" s="1438"/>
      <c r="V10" s="1469"/>
      <c r="W10" s="1470"/>
    </row>
    <row r="11" spans="1:23" s="386" customFormat="1" ht="12.6" customHeight="1">
      <c r="B11" s="386" t="s">
        <v>621</v>
      </c>
      <c r="G11" s="1437">
        <v>5000</v>
      </c>
      <c r="H11" s="1438"/>
      <c r="J11" s="1437">
        <f t="shared" si="0"/>
        <v>5000</v>
      </c>
      <c r="K11" s="1438"/>
      <c r="L11" s="796"/>
      <c r="M11" s="1437"/>
      <c r="N11" s="1438"/>
      <c r="P11" s="1437"/>
      <c r="Q11" s="1438"/>
      <c r="S11" s="1437"/>
      <c r="T11" s="1438"/>
      <c r="V11" s="1469"/>
      <c r="W11" s="1470"/>
    </row>
    <row r="12" spans="1:23" s="386" customFormat="1" ht="12.6" customHeight="1">
      <c r="B12" s="386" t="s">
        <v>3282</v>
      </c>
      <c r="G12" s="1437">
        <v>13500</v>
      </c>
      <c r="H12" s="1438"/>
      <c r="J12" s="1437"/>
      <c r="K12" s="1438"/>
      <c r="L12" s="796"/>
      <c r="M12" s="1437"/>
      <c r="N12" s="1438"/>
      <c r="P12" s="1437"/>
      <c r="Q12" s="1438"/>
      <c r="S12" s="1437">
        <f>G12</f>
        <v>13500</v>
      </c>
      <c r="T12" s="1438"/>
      <c r="V12" s="1469"/>
      <c r="W12" s="1470"/>
    </row>
    <row r="13" spans="1:23" s="386" customFormat="1" ht="12.6" customHeight="1">
      <c r="B13" s="386" t="s">
        <v>208</v>
      </c>
      <c r="G13" s="1437">
        <v>250</v>
      </c>
      <c r="H13" s="1438"/>
      <c r="J13" s="1437">
        <f>G13</f>
        <v>250</v>
      </c>
      <c r="K13" s="1438"/>
      <c r="L13" s="796"/>
      <c r="M13" s="1437"/>
      <c r="N13" s="1438"/>
      <c r="P13" s="1437"/>
      <c r="Q13" s="1438"/>
      <c r="S13" s="1437"/>
      <c r="T13" s="1438"/>
      <c r="V13" s="1469"/>
      <c r="W13" s="1470"/>
    </row>
    <row r="14" spans="1:23" s="386" customFormat="1" ht="12.6" customHeight="1">
      <c r="A14" s="480" t="str">
        <f>IF(AND(G14&gt;0,OR(C14="",C14="&lt;Enter detailed description here; use Comments section if needed&gt;")),"X","")</f>
        <v/>
      </c>
      <c r="B14" s="386" t="s">
        <v>1046</v>
      </c>
      <c r="C14" s="1299"/>
      <c r="D14" s="1299"/>
      <c r="E14" s="1299"/>
      <c r="F14" s="1300"/>
      <c r="G14" s="1437"/>
      <c r="H14" s="1438"/>
      <c r="J14" s="1437"/>
      <c r="K14" s="1438"/>
      <c r="L14" s="796"/>
      <c r="M14" s="1437"/>
      <c r="N14" s="1438"/>
      <c r="P14" s="1437"/>
      <c r="Q14" s="1438"/>
      <c r="S14" s="1437"/>
      <c r="T14" s="1438"/>
      <c r="U14" s="479" t="str">
        <f>IF(AND(G14&gt;0,OR(C14="",C14="&lt;Enter detailed description here; use Comments section if needed&gt;")),"NO DESCRIPTION PROVIDED - please enter detailed description in Other box at left; use Comments section below if needed.","")</f>
        <v/>
      </c>
      <c r="V14" s="1469"/>
      <c r="W14" s="1470"/>
    </row>
    <row r="15" spans="1:23" s="386" customFormat="1" ht="12.6" customHeight="1">
      <c r="A15" s="480" t="str">
        <f>IF(AND(G15&gt;0,OR(C15="",C15="&lt;Enter detailed description here; use Comments section if needed&gt;")),"X","")</f>
        <v/>
      </c>
      <c r="B15" s="386" t="s">
        <v>1046</v>
      </c>
      <c r="C15" s="1299"/>
      <c r="D15" s="1299"/>
      <c r="E15" s="1299"/>
      <c r="F15" s="1300"/>
      <c r="G15" s="1437"/>
      <c r="H15" s="1438"/>
      <c r="J15" s="1437"/>
      <c r="K15" s="1438"/>
      <c r="L15" s="796"/>
      <c r="M15" s="1437"/>
      <c r="N15" s="1438"/>
      <c r="P15" s="1437"/>
      <c r="Q15" s="1438"/>
      <c r="S15" s="1437"/>
      <c r="T15" s="1438"/>
      <c r="U15" s="479" t="str">
        <f>IF(AND(G15&gt;0,OR(C15="",C15="&lt;Enter detailed description here; use Comments section if needed&gt;")),"NO DESCRIPTION PROVIDED - please enter detailed description in Other box at left; use Comments section below if needed.","")</f>
        <v/>
      </c>
      <c r="V15" s="1469"/>
      <c r="W15" s="1470"/>
    </row>
    <row r="16" spans="1:23" s="386" customFormat="1" ht="12.6" customHeight="1" thickBot="1">
      <c r="A16" s="480" t="str">
        <f>IF(AND(G16&gt;0,OR(C16="",C16="&lt;Enter detailed description here; use Comments section if needed&gt;")),"X","")</f>
        <v/>
      </c>
      <c r="B16" s="386" t="s">
        <v>1046</v>
      </c>
      <c r="C16" s="1299"/>
      <c r="D16" s="1299"/>
      <c r="E16" s="1299"/>
      <c r="F16" s="1300"/>
      <c r="G16" s="1437"/>
      <c r="H16" s="1438"/>
      <c r="J16" s="1471"/>
      <c r="K16" s="1472"/>
      <c r="L16" s="796"/>
      <c r="M16" s="1437"/>
      <c r="N16" s="1438"/>
      <c r="P16" s="1437"/>
      <c r="Q16" s="1438"/>
      <c r="S16" s="1471"/>
      <c r="T16" s="1472"/>
      <c r="U16" s="479" t="str">
        <f>IF(AND(G16&gt;0,OR(C16="",C16="&lt;Enter detailed description here; use Comments section if needed&gt;")),"NO DESCRIPTION PROVIDED - please enter detailed description in Other box at left; use Comments section below if needed.","")</f>
        <v/>
      </c>
      <c r="V16" s="1469"/>
      <c r="W16" s="1470"/>
    </row>
    <row r="17" spans="2:23" s="386" customFormat="1" ht="12.6" customHeight="1" thickTop="1">
      <c r="F17" s="446" t="s">
        <v>209</v>
      </c>
      <c r="G17" s="934">
        <f>SUM(G8:H16)</f>
        <v>42000</v>
      </c>
      <c r="H17" s="938"/>
      <c r="J17" s="934">
        <f>SUM(J8:K16)</f>
        <v>28500</v>
      </c>
      <c r="K17" s="935"/>
      <c r="L17" s="796"/>
      <c r="M17" s="934">
        <f>SUM(M8:N16)</f>
        <v>0</v>
      </c>
      <c r="N17" s="938"/>
      <c r="P17" s="934">
        <f>SUM(P8:Q16)</f>
        <v>0</v>
      </c>
      <c r="Q17" s="938"/>
      <c r="S17" s="934">
        <f>SUM(S8:T16)</f>
        <v>13500</v>
      </c>
      <c r="T17" s="938"/>
      <c r="V17" s="1473"/>
      <c r="W17" s="1474"/>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437">
        <v>515400</v>
      </c>
      <c r="H19" s="1438"/>
      <c r="J19" s="448"/>
      <c r="K19" s="445"/>
      <c r="L19" s="448"/>
      <c r="M19" s="448"/>
      <c r="N19" s="445"/>
      <c r="P19" s="448"/>
      <c r="Q19" s="445"/>
      <c r="S19" s="1437">
        <v>515400</v>
      </c>
      <c r="T19" s="1438"/>
      <c r="V19" s="1467"/>
      <c r="W19" s="1468"/>
    </row>
    <row r="20" spans="2:23" s="386" customFormat="1" ht="12.6" customHeight="1">
      <c r="B20" s="386" t="s">
        <v>1527</v>
      </c>
      <c r="G20" s="1437"/>
      <c r="H20" s="1438"/>
      <c r="J20" s="448"/>
      <c r="K20" s="445"/>
      <c r="L20" s="448"/>
      <c r="M20" s="448"/>
      <c r="N20" s="445"/>
      <c r="P20" s="448"/>
      <c r="Q20" s="445"/>
      <c r="S20" s="1437"/>
      <c r="T20" s="1438"/>
      <c r="V20" s="1469"/>
      <c r="W20" s="1470"/>
    </row>
    <row r="21" spans="2:23" s="386" customFormat="1" ht="12.6" customHeight="1">
      <c r="B21" s="386" t="s">
        <v>585</v>
      </c>
      <c r="G21" s="1437"/>
      <c r="H21" s="1438"/>
      <c r="J21" s="448"/>
      <c r="K21" s="445"/>
      <c r="L21" s="448"/>
      <c r="M21" s="1437"/>
      <c r="N21" s="1438"/>
      <c r="P21" s="448"/>
      <c r="Q21" s="445"/>
      <c r="S21" s="1437"/>
      <c r="T21" s="1438"/>
      <c r="V21" s="1469"/>
      <c r="W21" s="1470"/>
    </row>
    <row r="22" spans="2:23" s="386" customFormat="1" ht="12.6" customHeight="1" thickBot="1">
      <c r="B22" s="386" t="s">
        <v>553</v>
      </c>
      <c r="G22" s="1475"/>
      <c r="H22" s="1476"/>
      <c r="J22" s="448"/>
      <c r="K22" s="445"/>
      <c r="L22" s="448"/>
      <c r="M22" s="1475"/>
      <c r="N22" s="1476"/>
      <c r="P22" s="448"/>
      <c r="Q22" s="445"/>
      <c r="S22" s="1437"/>
      <c r="T22" s="1438"/>
      <c r="V22" s="1469"/>
      <c r="W22" s="1470"/>
    </row>
    <row r="23" spans="2:23" s="386" customFormat="1" ht="12.6" customHeight="1" thickTop="1">
      <c r="F23" s="446" t="s">
        <v>209</v>
      </c>
      <c r="G23" s="934">
        <f>SUM(G19:H22)</f>
        <v>515400</v>
      </c>
      <c r="H23" s="938"/>
      <c r="J23" s="448"/>
      <c r="K23" s="445"/>
      <c r="L23" s="448"/>
      <c r="M23" s="934">
        <f>SUM(M21:N22)</f>
        <v>0</v>
      </c>
      <c r="N23" s="938"/>
      <c r="P23" s="448"/>
      <c r="Q23" s="445"/>
      <c r="S23" s="934">
        <f>SUM(S19:T22)</f>
        <v>515400</v>
      </c>
      <c r="T23" s="938"/>
      <c r="V23" s="1473"/>
      <c r="W23" s="1474"/>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37">
        <v>800000</v>
      </c>
      <c r="H25" s="1438"/>
      <c r="J25" s="1471">
        <f>G25</f>
        <v>800000</v>
      </c>
      <c r="K25" s="1472"/>
      <c r="L25" s="796"/>
      <c r="M25" s="1471"/>
      <c r="N25" s="1472"/>
      <c r="P25" s="1471"/>
      <c r="Q25" s="1472"/>
      <c r="S25" s="1437"/>
      <c r="T25" s="1438"/>
      <c r="V25" s="1467"/>
      <c r="W25" s="1468"/>
    </row>
    <row r="26" spans="2:23" s="386" customFormat="1" ht="12.6" customHeight="1" thickBot="1">
      <c r="B26" s="386" t="s">
        <v>1530</v>
      </c>
      <c r="G26" s="1437"/>
      <c r="H26" s="1438"/>
      <c r="J26" s="1471"/>
      <c r="K26" s="1472"/>
      <c r="L26" s="449"/>
      <c r="M26" s="936"/>
      <c r="N26" s="936"/>
      <c r="P26" s="936"/>
      <c r="Q26" s="936"/>
      <c r="S26" s="1437"/>
      <c r="T26" s="1438"/>
      <c r="V26" s="1469"/>
      <c r="W26" s="1470"/>
    </row>
    <row r="27" spans="2:23" s="386" customFormat="1" ht="12.6" customHeight="1" thickTop="1">
      <c r="F27" s="446" t="s">
        <v>209</v>
      </c>
      <c r="G27" s="934">
        <f>SUM(G25:H26)</f>
        <v>800000</v>
      </c>
      <c r="H27" s="938"/>
      <c r="J27" s="934">
        <f>SUM(J25:K26)</f>
        <v>800000</v>
      </c>
      <c r="K27" s="938"/>
      <c r="L27" s="448"/>
      <c r="M27" s="934">
        <f>M25</f>
        <v>0</v>
      </c>
      <c r="N27" s="938"/>
      <c r="P27" s="934">
        <f>P25</f>
        <v>0</v>
      </c>
      <c r="Q27" s="938"/>
      <c r="S27" s="934">
        <f>SUM(S25:T26)</f>
        <v>0</v>
      </c>
      <c r="T27" s="938"/>
      <c r="V27" s="1473"/>
      <c r="W27" s="1474"/>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37">
        <v>6160000</v>
      </c>
      <c r="H29" s="1438"/>
      <c r="J29" s="1437">
        <f>G29</f>
        <v>6160000</v>
      </c>
      <c r="K29" s="1438"/>
      <c r="L29" s="796"/>
      <c r="M29" s="1437"/>
      <c r="N29" s="1438"/>
      <c r="P29" s="1437"/>
      <c r="Q29" s="1438"/>
      <c r="S29" s="1437"/>
      <c r="T29" s="1438"/>
      <c r="V29" s="1467"/>
      <c r="W29" s="1468"/>
    </row>
    <row r="30" spans="2:23" s="386" customFormat="1" ht="12.6" customHeight="1">
      <c r="B30" s="386" t="s">
        <v>1533</v>
      </c>
      <c r="G30" s="1437"/>
      <c r="H30" s="1438"/>
      <c r="J30" s="1437"/>
      <c r="K30" s="1438"/>
      <c r="L30" s="796"/>
      <c r="M30" s="1437"/>
      <c r="N30" s="1438"/>
      <c r="P30" s="1437"/>
      <c r="Q30" s="1438"/>
      <c r="S30" s="1437"/>
      <c r="T30" s="1438"/>
      <c r="V30" s="1469"/>
      <c r="W30" s="1470"/>
    </row>
    <row r="31" spans="2:23" ht="12.6" customHeight="1" thickBot="1">
      <c r="B31" s="386" t="s">
        <v>1534</v>
      </c>
      <c r="G31" s="1437"/>
      <c r="H31" s="1438"/>
      <c r="I31" s="386"/>
      <c r="J31" s="1437"/>
      <c r="K31" s="1438"/>
      <c r="L31" s="796"/>
      <c r="M31" s="1437"/>
      <c r="N31" s="1438"/>
      <c r="O31" s="386"/>
      <c r="P31" s="1437"/>
      <c r="Q31" s="1438"/>
      <c r="R31" s="386"/>
      <c r="S31" s="1437"/>
      <c r="T31" s="1438"/>
      <c r="V31" s="1469"/>
      <c r="W31" s="1470"/>
    </row>
    <row r="32" spans="2:23" s="386" customFormat="1" ht="12.6" customHeight="1" thickTop="1">
      <c r="C32" s="995"/>
      <c r="D32" s="995"/>
      <c r="E32" s="798"/>
      <c r="F32" s="446" t="s">
        <v>209</v>
      </c>
      <c r="G32" s="934">
        <f>SUM(G29:H31)</f>
        <v>6160000</v>
      </c>
      <c r="H32" s="938"/>
      <c r="J32" s="934">
        <f>SUM(J29:K31)</f>
        <v>6160000</v>
      </c>
      <c r="K32" s="938"/>
      <c r="L32" s="796"/>
      <c r="M32" s="934">
        <f>SUM(M29:N31)</f>
        <v>0</v>
      </c>
      <c r="N32" s="938"/>
      <c r="P32" s="934">
        <f>SUM(P29:Q31)</f>
        <v>0</v>
      </c>
      <c r="Q32" s="938"/>
      <c r="S32" s="934">
        <f>SUM(S29:T31)</f>
        <v>0</v>
      </c>
      <c r="T32" s="938"/>
      <c r="V32" s="1473"/>
      <c r="W32" s="1474"/>
    </row>
    <row r="33" spans="1:23" s="386" customFormat="1" ht="13.15" customHeight="1">
      <c r="B33" s="389" t="s">
        <v>3076</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417600</v>
      </c>
      <c r="G34" s="1437">
        <v>417600</v>
      </c>
      <c r="H34" s="1438"/>
      <c r="I34" s="406"/>
      <c r="J34" s="1437">
        <f>G34</f>
        <v>417600</v>
      </c>
      <c r="K34" s="1438"/>
      <c r="L34" s="796"/>
      <c r="M34" s="1437"/>
      <c r="N34" s="1438"/>
      <c r="P34" s="1437"/>
      <c r="Q34" s="1438"/>
      <c r="S34" s="1437"/>
      <c r="T34" s="1438"/>
      <c r="V34" s="1467"/>
      <c r="W34" s="1468"/>
    </row>
    <row r="35" spans="1:23" s="386" customFormat="1" ht="12.6" customHeight="1">
      <c r="B35" s="386" t="s">
        <v>3751</v>
      </c>
      <c r="E35" s="520">
        <f>'DCA Underwriting Assumptions'!$R$37</f>
        <v>0.02</v>
      </c>
      <c r="F35" s="521">
        <f>E35*($G$27+$G$32)</f>
        <v>139200</v>
      </c>
      <c r="G35" s="1437">
        <v>139200</v>
      </c>
      <c r="H35" s="1438"/>
      <c r="I35" s="406"/>
      <c r="J35" s="1437">
        <f t="shared" ref="J35:J36" si="1">G35</f>
        <v>139200</v>
      </c>
      <c r="K35" s="1438"/>
      <c r="L35" s="796"/>
      <c r="M35" s="1437"/>
      <c r="N35" s="1438"/>
      <c r="P35" s="1437"/>
      <c r="Q35" s="1438"/>
      <c r="S35" s="1437"/>
      <c r="T35" s="1438"/>
      <c r="V35" s="1469"/>
      <c r="W35" s="1470"/>
    </row>
    <row r="36" spans="1:23" s="386" customFormat="1" ht="12.6" customHeight="1" thickBot="1">
      <c r="B36" s="386" t="s">
        <v>3752</v>
      </c>
      <c r="E36" s="520">
        <f>'DCA Underwriting Assumptions'!$R$38</f>
        <v>0.06</v>
      </c>
      <c r="F36" s="521">
        <f>E36*($G$27+$G$32)</f>
        <v>417600</v>
      </c>
      <c r="G36" s="1437">
        <v>417600</v>
      </c>
      <c r="H36" s="1438"/>
      <c r="I36" s="406"/>
      <c r="J36" s="1437">
        <f t="shared" si="1"/>
        <v>417600</v>
      </c>
      <c r="K36" s="1438"/>
      <c r="L36" s="796"/>
      <c r="M36" s="1437"/>
      <c r="N36" s="1438"/>
      <c r="P36" s="1437"/>
      <c r="Q36" s="1438"/>
      <c r="S36" s="1437"/>
      <c r="T36" s="1438"/>
      <c r="V36" s="1469"/>
      <c r="W36" s="1470"/>
    </row>
    <row r="37" spans="1:23" s="386" customFormat="1" ht="12.6" customHeight="1" thickTop="1">
      <c r="B37" s="386" t="s">
        <v>2753</v>
      </c>
      <c r="D37" s="453"/>
      <c r="E37" s="786"/>
      <c r="F37" s="522" t="s">
        <v>209</v>
      </c>
      <c r="G37" s="934">
        <f>SUM(G34:H36)</f>
        <v>974400</v>
      </c>
      <c r="H37" s="938"/>
      <c r="J37" s="934">
        <f>SUM(J34:K36)</f>
        <v>974400</v>
      </c>
      <c r="K37" s="938"/>
      <c r="L37" s="448"/>
      <c r="M37" s="934">
        <f>SUM(M34:N36)</f>
        <v>0</v>
      </c>
      <c r="N37" s="938"/>
      <c r="P37" s="934">
        <f>SUM(P34:Q36)</f>
        <v>0</v>
      </c>
      <c r="Q37" s="938"/>
      <c r="S37" s="934">
        <f>SUM(S34:T36)</f>
        <v>0</v>
      </c>
      <c r="T37" s="938"/>
      <c r="V37" s="1473"/>
      <c r="W37" s="1474"/>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3757</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3181</v>
      </c>
      <c r="D40" s="1477"/>
      <c r="E40" s="1477"/>
      <c r="F40" s="1478"/>
      <c r="G40" s="1437"/>
      <c r="H40" s="1438"/>
      <c r="I40" s="386"/>
      <c r="J40" s="1437"/>
      <c r="K40" s="1438"/>
      <c r="L40" s="796"/>
      <c r="M40" s="1437"/>
      <c r="N40" s="1438"/>
      <c r="O40" s="386"/>
      <c r="P40" s="1437"/>
      <c r="Q40" s="1438"/>
      <c r="R40" s="386"/>
      <c r="S40" s="1437"/>
      <c r="T40" s="1438"/>
      <c r="V40" s="1467"/>
      <c r="W40" s="1468"/>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69"/>
      <c r="W41" s="1470"/>
    </row>
    <row r="42" spans="1:23" s="386" customFormat="1" ht="12.6" customHeight="1">
      <c r="B42" s="454" t="s">
        <v>3766</v>
      </c>
      <c r="C42" s="455"/>
      <c r="D42" s="968" t="s">
        <v>3765</v>
      </c>
      <c r="E42" s="456">
        <f>B43/'Part VI-Revenues &amp; Expenses'!$M$60</f>
        <v>100435.44303797468</v>
      </c>
      <c r="F42" s="688" t="s">
        <v>3730</v>
      </c>
      <c r="G42" s="963">
        <f>B43/'Part VI-Revenues &amp; Expenses'!$M$62</f>
        <v>99180</v>
      </c>
      <c r="H42" s="963"/>
      <c r="I42" s="690"/>
      <c r="J42" s="457" t="s">
        <v>1840</v>
      </c>
      <c r="V42" s="1469"/>
      <c r="W42" s="1470"/>
    </row>
    <row r="43" spans="1:23" s="386" customFormat="1" ht="12.6" customHeight="1">
      <c r="B43" s="955">
        <f>G27+G32+G37+G40</f>
        <v>7934400</v>
      </c>
      <c r="C43" s="956"/>
      <c r="D43" s="969"/>
      <c r="E43" s="799">
        <f>B43/'Part VI-Revenues &amp; Expenses'!$M$98</f>
        <v>85.367533138233782</v>
      </c>
      <c r="F43" s="689" t="s">
        <v>3731</v>
      </c>
      <c r="G43" s="967">
        <f>B43/'Part VI-Revenues &amp; Expenses'!$M$100</f>
        <v>84.286564119996598</v>
      </c>
      <c r="H43" s="967"/>
      <c r="I43" s="791"/>
      <c r="J43" s="458" t="s">
        <v>1151</v>
      </c>
      <c r="K43" s="445"/>
      <c r="L43" s="459"/>
      <c r="M43" s="445"/>
      <c r="N43" s="796"/>
      <c r="P43" s="445"/>
      <c r="Q43" s="796"/>
      <c r="S43" s="445"/>
      <c r="T43" s="796"/>
      <c r="V43" s="1473"/>
      <c r="W43" s="1474"/>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0.05</v>
      </c>
      <c r="G46" s="1437">
        <v>396720</v>
      </c>
      <c r="H46" s="1438"/>
      <c r="I46" s="386"/>
      <c r="J46" s="1437">
        <v>396720</v>
      </c>
      <c r="K46" s="1438"/>
      <c r="L46" s="796"/>
      <c r="M46" s="1437"/>
      <c r="N46" s="1438"/>
      <c r="O46" s="386"/>
      <c r="P46" s="1437"/>
      <c r="Q46" s="1438"/>
      <c r="R46" s="386"/>
      <c r="S46" s="1437"/>
      <c r="T46" s="1438"/>
      <c r="V46" s="1479"/>
      <c r="W46" s="1480"/>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40" t="s">
        <v>299</v>
      </c>
      <c r="K49" s="941"/>
      <c r="L49" s="445"/>
      <c r="M49" s="959" t="s">
        <v>623</v>
      </c>
      <c r="N49" s="960"/>
      <c r="P49" s="940" t="s">
        <v>300</v>
      </c>
      <c r="Q49" s="941"/>
      <c r="S49" s="940" t="s">
        <v>301</v>
      </c>
      <c r="T49" s="941"/>
      <c r="V49" s="567" t="str">
        <f>B49</f>
        <v>DEVELOPMENT BUDGET</v>
      </c>
    </row>
    <row r="50" spans="1:23" s="386" customFormat="1" ht="18.75" customHeight="1" thickBot="1">
      <c r="G50" s="953" t="s">
        <v>107</v>
      </c>
      <c r="H50" s="954"/>
      <c r="J50" s="942"/>
      <c r="K50" s="943"/>
      <c r="L50" s="445"/>
      <c r="M50" s="961"/>
      <c r="N50" s="962"/>
      <c r="P50" s="942"/>
      <c r="Q50" s="943"/>
      <c r="S50" s="942"/>
      <c r="T50" s="943"/>
      <c r="V50" s="937" t="s">
        <v>3548</v>
      </c>
      <c r="W50" s="937"/>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437"/>
      <c r="H52" s="1438"/>
      <c r="J52" s="1437">
        <f>G52</f>
        <v>0</v>
      </c>
      <c r="K52" s="1438"/>
      <c r="L52" s="796"/>
      <c r="M52" s="1437"/>
      <c r="N52" s="1438"/>
      <c r="P52" s="1437"/>
      <c r="Q52" s="1438"/>
      <c r="S52" s="1437"/>
      <c r="T52" s="1438"/>
      <c r="V52" s="1467"/>
      <c r="W52" s="1468"/>
    </row>
    <row r="53" spans="1:23" s="386" customFormat="1" ht="12" customHeight="1">
      <c r="B53" s="386" t="s">
        <v>3080</v>
      </c>
      <c r="G53" s="1437"/>
      <c r="H53" s="1438"/>
      <c r="J53" s="1437">
        <f t="shared" ref="J53:J62" si="2">G53</f>
        <v>0</v>
      </c>
      <c r="K53" s="1438"/>
      <c r="L53" s="796"/>
      <c r="M53" s="1437"/>
      <c r="N53" s="1438"/>
      <c r="P53" s="1437"/>
      <c r="Q53" s="1438"/>
      <c r="S53" s="1437"/>
      <c r="T53" s="1438"/>
      <c r="V53" s="1469"/>
      <c r="W53" s="1470"/>
    </row>
    <row r="54" spans="1:23" s="386" customFormat="1" ht="12" customHeight="1">
      <c r="B54" s="386" t="s">
        <v>3081</v>
      </c>
      <c r="G54" s="1437">
        <v>25000</v>
      </c>
      <c r="H54" s="1438"/>
      <c r="J54" s="1437">
        <f t="shared" si="2"/>
        <v>25000</v>
      </c>
      <c r="K54" s="1438"/>
      <c r="L54" s="796"/>
      <c r="M54" s="1437"/>
      <c r="N54" s="1438"/>
      <c r="P54" s="1437"/>
      <c r="Q54" s="1438"/>
      <c r="S54" s="1437"/>
      <c r="T54" s="1438"/>
      <c r="V54" s="1469"/>
      <c r="W54" s="1470"/>
    </row>
    <row r="55" spans="1:23" s="386" customFormat="1" ht="12" customHeight="1">
      <c r="B55" s="386" t="s">
        <v>3580</v>
      </c>
      <c r="G55" s="1437"/>
      <c r="H55" s="1438"/>
      <c r="J55" s="1437">
        <f t="shared" si="2"/>
        <v>0</v>
      </c>
      <c r="K55" s="1438"/>
      <c r="L55" s="796"/>
      <c r="M55" s="1437"/>
      <c r="N55" s="1438"/>
      <c r="P55" s="1437"/>
      <c r="Q55" s="1438"/>
      <c r="S55" s="1437"/>
      <c r="T55" s="1438"/>
      <c r="V55" s="1469"/>
      <c r="W55" s="1470"/>
    </row>
    <row r="56" spans="1:23" s="386" customFormat="1" ht="12" customHeight="1">
      <c r="B56" s="386" t="s">
        <v>916</v>
      </c>
      <c r="G56" s="1437">
        <v>15000</v>
      </c>
      <c r="H56" s="1438"/>
      <c r="J56" s="1437">
        <f t="shared" si="2"/>
        <v>15000</v>
      </c>
      <c r="K56" s="1438"/>
      <c r="L56" s="796"/>
      <c r="M56" s="1437"/>
      <c r="N56" s="1438"/>
      <c r="P56" s="1437"/>
      <c r="Q56" s="1438"/>
      <c r="S56" s="1437"/>
      <c r="T56" s="1438"/>
      <c r="V56" s="1469"/>
      <c r="W56" s="1470"/>
    </row>
    <row r="57" spans="1:23" s="386" customFormat="1" ht="12" customHeight="1">
      <c r="B57" s="386" t="s">
        <v>3082</v>
      </c>
      <c r="G57" s="1437">
        <v>21000</v>
      </c>
      <c r="H57" s="1438"/>
      <c r="J57" s="1437">
        <f t="shared" si="2"/>
        <v>21000</v>
      </c>
      <c r="K57" s="1438"/>
      <c r="L57" s="796"/>
      <c r="M57" s="1437"/>
      <c r="N57" s="1438"/>
      <c r="P57" s="1437"/>
      <c r="Q57" s="1438"/>
      <c r="S57" s="1437"/>
      <c r="T57" s="1438"/>
      <c r="V57" s="1469"/>
      <c r="W57" s="1470"/>
    </row>
    <row r="58" spans="1:23" s="386" customFormat="1" ht="12" customHeight="1">
      <c r="B58" s="386" t="s">
        <v>1701</v>
      </c>
      <c r="G58" s="1437"/>
      <c r="H58" s="1438"/>
      <c r="J58" s="1437">
        <f t="shared" si="2"/>
        <v>0</v>
      </c>
      <c r="K58" s="1438"/>
      <c r="L58" s="796"/>
      <c r="M58" s="1437"/>
      <c r="N58" s="1438"/>
      <c r="P58" s="1437"/>
      <c r="Q58" s="1438"/>
      <c r="S58" s="1437"/>
      <c r="T58" s="1438"/>
      <c r="V58" s="1469"/>
      <c r="W58" s="1470"/>
    </row>
    <row r="59" spans="1:23" s="386" customFormat="1" ht="12" customHeight="1">
      <c r="B59" s="386" t="s">
        <v>309</v>
      </c>
      <c r="G59" s="1437"/>
      <c r="H59" s="1438"/>
      <c r="J59" s="1437">
        <f t="shared" si="2"/>
        <v>0</v>
      </c>
      <c r="K59" s="1438"/>
      <c r="L59" s="796"/>
      <c r="M59" s="1437"/>
      <c r="N59" s="1438"/>
      <c r="P59" s="1437"/>
      <c r="Q59" s="1438"/>
      <c r="S59" s="1437"/>
      <c r="T59" s="1438"/>
      <c r="V59" s="1469"/>
      <c r="W59" s="1470"/>
    </row>
    <row r="60" spans="1:23" s="386" customFormat="1" ht="12" customHeight="1">
      <c r="B60" s="452" t="s">
        <v>1566</v>
      </c>
      <c r="D60" s="450"/>
      <c r="E60" s="450"/>
      <c r="F60" s="451"/>
      <c r="G60" s="1437">
        <v>25000</v>
      </c>
      <c r="H60" s="1438"/>
      <c r="I60" s="406"/>
      <c r="J60" s="1437">
        <f t="shared" si="2"/>
        <v>25000</v>
      </c>
      <c r="K60" s="1438"/>
      <c r="L60" s="796"/>
      <c r="M60" s="1437"/>
      <c r="N60" s="1438"/>
      <c r="P60" s="1437"/>
      <c r="Q60" s="1438"/>
      <c r="S60" s="1437"/>
      <c r="T60" s="1438"/>
      <c r="V60" s="1469"/>
      <c r="W60" s="1470"/>
    </row>
    <row r="61" spans="1:23" s="386" customFormat="1" ht="12" customHeight="1">
      <c r="A61" s="480" t="str">
        <f>IF(AND(G61&gt;0,OR(C61="",C61="&lt;Enter detailed description here; use Comments section if needed&gt;")),"X","")</f>
        <v/>
      </c>
      <c r="B61" s="386" t="s">
        <v>1046</v>
      </c>
      <c r="C61" s="1299" t="s">
        <v>3181</v>
      </c>
      <c r="D61" s="1299"/>
      <c r="E61" s="1299"/>
      <c r="F61" s="1300"/>
      <c r="G61" s="1437"/>
      <c r="H61" s="1438"/>
      <c r="J61" s="1437">
        <f t="shared" si="2"/>
        <v>0</v>
      </c>
      <c r="K61" s="1438"/>
      <c r="L61" s="796"/>
      <c r="M61" s="1437"/>
      <c r="N61" s="1438"/>
      <c r="P61" s="1437"/>
      <c r="Q61" s="1438"/>
      <c r="S61" s="1437"/>
      <c r="T61" s="1438"/>
      <c r="U61" s="479" t="str">
        <f>IF(AND(G61&gt;0,OR(C61="",C61="&lt;Enter detailed description here; use Comments section if needed&gt;")),"NO DESCRIPTION PROVIDED - please enter detailed description in Other box at left; use Comments section below if needed.","")</f>
        <v/>
      </c>
      <c r="V61" s="1469"/>
      <c r="W61" s="1470"/>
    </row>
    <row r="62" spans="1:23" s="386" customFormat="1" ht="12" customHeight="1" thickBot="1">
      <c r="A62" s="480" t="str">
        <f>IF(AND(G62&gt;0,OR(C62="",C62="&lt;Enter detailed description here; use Comments section if needed&gt;")),"X","")</f>
        <v/>
      </c>
      <c r="B62" s="386" t="s">
        <v>1046</v>
      </c>
      <c r="C62" s="1299" t="s">
        <v>3181</v>
      </c>
      <c r="D62" s="1299"/>
      <c r="E62" s="1299"/>
      <c r="F62" s="1300"/>
      <c r="G62" s="1437"/>
      <c r="H62" s="1438"/>
      <c r="J62" s="1437">
        <f t="shared" si="2"/>
        <v>0</v>
      </c>
      <c r="K62" s="1438"/>
      <c r="L62" s="796"/>
      <c r="M62" s="1437"/>
      <c r="N62" s="1438"/>
      <c r="P62" s="1437"/>
      <c r="Q62" s="1438"/>
      <c r="S62" s="1437"/>
      <c r="T62" s="1438"/>
      <c r="U62" s="479" t="str">
        <f>IF(AND(G62&gt;0,OR(C62="",C62="&lt;Enter detailed description here; use Comments section if needed&gt;")),"NO DESCRIPTION PROVIDED - please enter detailed description in Other box at left; use Comments section below if needed.","")</f>
        <v/>
      </c>
      <c r="V62" s="1469"/>
      <c r="W62" s="1470"/>
    </row>
    <row r="63" spans="1:23" s="386" customFormat="1" ht="12" customHeight="1" thickTop="1">
      <c r="F63" s="446" t="s">
        <v>209</v>
      </c>
      <c r="G63" s="934">
        <f>SUM(G52:H62)</f>
        <v>86000</v>
      </c>
      <c r="H63" s="938"/>
      <c r="J63" s="934">
        <f>SUM(J52:K62)</f>
        <v>86000</v>
      </c>
      <c r="K63" s="938"/>
      <c r="L63" s="448"/>
      <c r="M63" s="934">
        <f>SUM(M52:N62)</f>
        <v>0</v>
      </c>
      <c r="N63" s="938"/>
      <c r="P63" s="934">
        <f>SUM(P52:Q62)</f>
        <v>0</v>
      </c>
      <c r="Q63" s="938"/>
      <c r="S63" s="934">
        <f>SUM(S52:T62)</f>
        <v>0</v>
      </c>
      <c r="T63" s="938"/>
      <c r="V63" s="1473"/>
      <c r="W63" s="1474"/>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37">
        <v>160000</v>
      </c>
      <c r="H65" s="1438"/>
      <c r="J65" s="1437">
        <f>G65</f>
        <v>160000</v>
      </c>
      <c r="K65" s="1438"/>
      <c r="L65" s="796"/>
      <c r="M65" s="1437"/>
      <c r="N65" s="1438"/>
      <c r="P65" s="1437"/>
      <c r="Q65" s="1438"/>
      <c r="S65" s="1437"/>
      <c r="T65" s="1438"/>
      <c r="V65" s="1467"/>
      <c r="W65" s="1468"/>
    </row>
    <row r="66" spans="1:23" s="386" customFormat="1" ht="12" customHeight="1">
      <c r="B66" s="386" t="s">
        <v>610</v>
      </c>
      <c r="G66" s="1437">
        <v>60000</v>
      </c>
      <c r="H66" s="1438"/>
      <c r="J66" s="1437">
        <f t="shared" ref="J66:J75" si="3">G66</f>
        <v>60000</v>
      </c>
      <c r="K66" s="1438"/>
      <c r="L66" s="796"/>
      <c r="M66" s="1437"/>
      <c r="N66" s="1438"/>
      <c r="P66" s="1437"/>
      <c r="Q66" s="1438"/>
      <c r="S66" s="1437"/>
      <c r="T66" s="1438"/>
      <c r="V66" s="1469"/>
      <c r="W66" s="1470"/>
    </row>
    <row r="67" spans="1:23" s="386" customFormat="1" ht="12" customHeight="1">
      <c r="B67" s="386" t="s">
        <v>1537</v>
      </c>
      <c r="F67" s="386" t="s">
        <v>3952</v>
      </c>
      <c r="G67" s="1437">
        <v>10000</v>
      </c>
      <c r="H67" s="1438"/>
      <c r="J67" s="1437">
        <f t="shared" si="3"/>
        <v>10000</v>
      </c>
      <c r="K67" s="1438"/>
      <c r="L67" s="796"/>
      <c r="M67" s="1437"/>
      <c r="N67" s="1438"/>
      <c r="P67" s="1437"/>
      <c r="Q67" s="1438"/>
      <c r="S67" s="1437"/>
      <c r="T67" s="1438"/>
      <c r="V67" s="1469"/>
      <c r="W67" s="1470"/>
    </row>
    <row r="68" spans="1:23" s="386" customFormat="1" ht="12" customHeight="1">
      <c r="B68" s="386" t="s">
        <v>1538</v>
      </c>
      <c r="G68" s="1437">
        <v>10000</v>
      </c>
      <c r="H68" s="1438"/>
      <c r="J68" s="1437">
        <f t="shared" si="3"/>
        <v>10000</v>
      </c>
      <c r="K68" s="1438"/>
      <c r="L68" s="796"/>
      <c r="M68" s="1437"/>
      <c r="N68" s="1438"/>
      <c r="P68" s="1437"/>
      <c r="Q68" s="1438"/>
      <c r="S68" s="1437"/>
      <c r="T68" s="1438"/>
      <c r="V68" s="1469"/>
      <c r="W68" s="1470"/>
    </row>
    <row r="69" spans="1:23" s="386" customFormat="1" ht="12" customHeight="1">
      <c r="B69" s="386" t="s">
        <v>1539</v>
      </c>
      <c r="G69" s="1437">
        <v>10000</v>
      </c>
      <c r="H69" s="1438"/>
      <c r="J69" s="1437">
        <f t="shared" si="3"/>
        <v>10000</v>
      </c>
      <c r="K69" s="1438"/>
      <c r="L69" s="796"/>
      <c r="M69" s="1437"/>
      <c r="N69" s="1438"/>
      <c r="P69" s="1437"/>
      <c r="Q69" s="1438"/>
      <c r="S69" s="1437"/>
      <c r="T69" s="1438"/>
      <c r="V69" s="1469"/>
      <c r="W69" s="1470"/>
    </row>
    <row r="70" spans="1:23" s="386" customFormat="1" ht="12" customHeight="1">
      <c r="B70" s="386" t="s">
        <v>1540</v>
      </c>
      <c r="G70" s="1437"/>
      <c r="H70" s="1438"/>
      <c r="J70" s="1437">
        <f t="shared" si="3"/>
        <v>0</v>
      </c>
      <c r="K70" s="1438"/>
      <c r="L70" s="796"/>
      <c r="M70" s="1437"/>
      <c r="N70" s="1438"/>
      <c r="P70" s="1437"/>
      <c r="Q70" s="1438"/>
      <c r="S70" s="1437"/>
      <c r="T70" s="1438"/>
      <c r="V70" s="1469"/>
      <c r="W70" s="1470"/>
    </row>
    <row r="71" spans="1:23" s="386" customFormat="1" ht="12" customHeight="1">
      <c r="B71" s="386" t="s">
        <v>611</v>
      </c>
      <c r="G71" s="1437">
        <v>45000</v>
      </c>
      <c r="H71" s="1438"/>
      <c r="J71" s="1437">
        <f t="shared" si="3"/>
        <v>45000</v>
      </c>
      <c r="K71" s="1438"/>
      <c r="L71" s="796"/>
      <c r="M71" s="1437"/>
      <c r="N71" s="1438"/>
      <c r="P71" s="1437"/>
      <c r="Q71" s="1438"/>
      <c r="S71" s="1437"/>
      <c r="T71" s="1438"/>
      <c r="V71" s="1469"/>
      <c r="W71" s="1470"/>
    </row>
    <row r="72" spans="1:23" s="386" customFormat="1" ht="12" customHeight="1">
      <c r="B72" s="386" t="s">
        <v>612</v>
      </c>
      <c r="G72" s="1437">
        <v>45000</v>
      </c>
      <c r="H72" s="1438"/>
      <c r="J72" s="1437">
        <f t="shared" si="3"/>
        <v>45000</v>
      </c>
      <c r="K72" s="1438"/>
      <c r="L72" s="796"/>
      <c r="M72" s="1437"/>
      <c r="N72" s="1438"/>
      <c r="P72" s="1437"/>
      <c r="Q72" s="1438"/>
      <c r="S72" s="1437"/>
      <c r="T72" s="1438"/>
      <c r="V72" s="1469"/>
      <c r="W72" s="1470"/>
    </row>
    <row r="73" spans="1:23" s="386" customFormat="1" ht="12" customHeight="1">
      <c r="B73" s="386" t="s">
        <v>2763</v>
      </c>
      <c r="G73" s="1437">
        <v>10000</v>
      </c>
      <c r="H73" s="1438"/>
      <c r="J73" s="1437">
        <f t="shared" si="3"/>
        <v>10000</v>
      </c>
      <c r="K73" s="1438"/>
      <c r="L73" s="796"/>
      <c r="M73" s="1437"/>
      <c r="N73" s="1438"/>
      <c r="P73" s="1437"/>
      <c r="Q73" s="1438"/>
      <c r="S73" s="1437"/>
      <c r="T73" s="1438"/>
      <c r="V73" s="1469"/>
      <c r="W73" s="1470"/>
    </row>
    <row r="74" spans="1:23" s="386" customFormat="1" ht="12" customHeight="1">
      <c r="B74" s="386" t="s">
        <v>1702</v>
      </c>
      <c r="G74" s="1437">
        <v>15000</v>
      </c>
      <c r="H74" s="1438"/>
      <c r="J74" s="1437">
        <f t="shared" si="3"/>
        <v>15000</v>
      </c>
      <c r="K74" s="1438"/>
      <c r="L74" s="796"/>
      <c r="M74" s="1437"/>
      <c r="N74" s="1438"/>
      <c r="P74" s="1437"/>
      <c r="Q74" s="1438"/>
      <c r="S74" s="1437"/>
      <c r="T74" s="1438"/>
      <c r="V74" s="1469"/>
      <c r="W74" s="1470"/>
    </row>
    <row r="75" spans="1:23" s="386" customFormat="1" ht="12" customHeight="1" thickBot="1">
      <c r="A75" s="480" t="str">
        <f>IF(AND(G75&gt;0,OR(C75="",C75="&lt;Enter detailed description here; use Comments section if needed&gt;")),"X","")</f>
        <v/>
      </c>
      <c r="B75" s="386" t="s">
        <v>1046</v>
      </c>
      <c r="C75" s="1299" t="s">
        <v>3181</v>
      </c>
      <c r="D75" s="1299"/>
      <c r="E75" s="1299"/>
      <c r="F75" s="1300"/>
      <c r="G75" s="1437"/>
      <c r="H75" s="1438"/>
      <c r="J75" s="1437">
        <f t="shared" si="3"/>
        <v>0</v>
      </c>
      <c r="K75" s="1438"/>
      <c r="L75" s="796"/>
      <c r="M75" s="1437"/>
      <c r="N75" s="1438"/>
      <c r="P75" s="1437"/>
      <c r="Q75" s="1438"/>
      <c r="S75" s="1437"/>
      <c r="T75" s="1438"/>
      <c r="U75" s="479" t="str">
        <f>IF(AND(G75&gt;0,OR(C75="",C75="&lt;Enter detailed description here; use Comments section if needed&gt;")),"NO DESCRIPTION PROVIDED - please enter detailed description in Other box at left; use Comments section below if needed.","")</f>
        <v/>
      </c>
      <c r="V75" s="1469"/>
      <c r="W75" s="1470"/>
    </row>
    <row r="76" spans="1:23" s="386" customFormat="1" ht="12" customHeight="1" thickTop="1">
      <c r="F76" s="446" t="s">
        <v>209</v>
      </c>
      <c r="G76" s="934">
        <f>SUM(G65:H75)</f>
        <v>365000</v>
      </c>
      <c r="H76" s="938"/>
      <c r="J76" s="934">
        <f>SUM(J65:K75)</f>
        <v>365000</v>
      </c>
      <c r="K76" s="938"/>
      <c r="L76" s="448"/>
      <c r="M76" s="934">
        <f>SUM(M65:N75)</f>
        <v>0</v>
      </c>
      <c r="N76" s="938"/>
      <c r="P76" s="934">
        <f>SUM(P65:Q75)</f>
        <v>0</v>
      </c>
      <c r="Q76" s="938"/>
      <c r="S76" s="934">
        <f>SUM(S65:T75)</f>
        <v>0</v>
      </c>
      <c r="T76" s="938"/>
      <c r="V76" s="1473"/>
      <c r="W76" s="1474"/>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37">
        <v>3500</v>
      </c>
      <c r="H78" s="1438"/>
      <c r="J78" s="1437">
        <v>3500</v>
      </c>
      <c r="K78" s="1438"/>
      <c r="L78" s="796"/>
      <c r="M78" s="1437"/>
      <c r="N78" s="1438"/>
      <c r="P78" s="1437"/>
      <c r="Q78" s="1438"/>
      <c r="S78" s="1437"/>
      <c r="T78" s="1438"/>
      <c r="V78" s="1481"/>
      <c r="W78" s="1482"/>
    </row>
    <row r="79" spans="1:23" s="386" customFormat="1" ht="12" customHeight="1">
      <c r="B79" s="386" t="s">
        <v>1696</v>
      </c>
      <c r="G79" s="1437"/>
      <c r="H79" s="1438"/>
      <c r="J79" s="1437">
        <f t="shared" ref="J79" si="4">G79</f>
        <v>0</v>
      </c>
      <c r="K79" s="1438"/>
      <c r="L79" s="796"/>
      <c r="M79" s="1437"/>
      <c r="N79" s="1438"/>
      <c r="P79" s="1437"/>
      <c r="Q79" s="1438"/>
      <c r="S79" s="1437"/>
      <c r="T79" s="1438"/>
      <c r="V79" s="1483"/>
      <c r="W79" s="1484"/>
    </row>
    <row r="80" spans="1:23" s="386" customFormat="1" ht="12" customHeight="1">
      <c r="B80" s="386" t="s">
        <v>1697</v>
      </c>
      <c r="D80" s="461" t="s">
        <v>1841</v>
      </c>
      <c r="E80" s="1485" t="s">
        <v>4103</v>
      </c>
      <c r="G80" s="1437">
        <v>100000</v>
      </c>
      <c r="H80" s="1438"/>
      <c r="I80" s="406"/>
      <c r="J80" s="1437">
        <v>100000</v>
      </c>
      <c r="K80" s="1438"/>
      <c r="L80" s="796"/>
      <c r="M80" s="1437"/>
      <c r="N80" s="1438"/>
      <c r="P80" s="1437"/>
      <c r="Q80" s="1438"/>
      <c r="S80" s="1437"/>
      <c r="T80" s="1438"/>
      <c r="V80" s="1483"/>
      <c r="W80" s="1484"/>
    </row>
    <row r="81" spans="1:23" s="386" customFormat="1" ht="12" customHeight="1" thickBot="1">
      <c r="B81" s="386" t="s">
        <v>1698</v>
      </c>
      <c r="D81" s="461" t="s">
        <v>1841</v>
      </c>
      <c r="E81" s="1485" t="s">
        <v>4103</v>
      </c>
      <c r="G81" s="1437">
        <v>72000</v>
      </c>
      <c r="H81" s="1438"/>
      <c r="I81" s="406"/>
      <c r="J81" s="1437">
        <v>72000</v>
      </c>
      <c r="K81" s="1438"/>
      <c r="L81" s="796"/>
      <c r="M81" s="1437"/>
      <c r="N81" s="1438"/>
      <c r="P81" s="1437"/>
      <c r="Q81" s="1438"/>
      <c r="S81" s="1437"/>
      <c r="T81" s="1438"/>
      <c r="V81" s="1483"/>
      <c r="W81" s="1484"/>
    </row>
    <row r="82" spans="1:23" s="386" customFormat="1" ht="12" customHeight="1" thickTop="1">
      <c r="F82" s="446" t="s">
        <v>209</v>
      </c>
      <c r="G82" s="934">
        <f>SUM(G78:H81)</f>
        <v>175500</v>
      </c>
      <c r="H82" s="938"/>
      <c r="J82" s="934">
        <f>SUM(J78:K81)</f>
        <v>175500</v>
      </c>
      <c r="K82" s="938"/>
      <c r="L82" s="448"/>
      <c r="M82" s="934">
        <f>SUM(M78:N81)</f>
        <v>0</v>
      </c>
      <c r="N82" s="938"/>
      <c r="P82" s="934">
        <f>SUM(P78:Q81)</f>
        <v>0</v>
      </c>
      <c r="Q82" s="938"/>
      <c r="S82" s="934">
        <f>SUM(S78:T81)</f>
        <v>0</v>
      </c>
      <c r="T82" s="938"/>
      <c r="V82" s="1486"/>
      <c r="W82" s="1487"/>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37"/>
      <c r="H84" s="1438"/>
      <c r="J84" s="939"/>
      <c r="K84" s="939"/>
      <c r="L84" s="796"/>
      <c r="M84" s="939"/>
      <c r="N84" s="939"/>
      <c r="P84" s="939"/>
      <c r="Q84" s="939"/>
      <c r="S84" s="1437">
        <f>G84</f>
        <v>0</v>
      </c>
      <c r="T84" s="1438"/>
      <c r="V84" s="1481"/>
      <c r="W84" s="1482"/>
    </row>
    <row r="85" spans="1:23" s="386" customFormat="1" ht="12" customHeight="1">
      <c r="B85" s="386" t="s">
        <v>1700</v>
      </c>
      <c r="G85" s="1437"/>
      <c r="H85" s="1438"/>
      <c r="J85" s="939"/>
      <c r="K85" s="939"/>
      <c r="L85" s="796"/>
      <c r="M85" s="939"/>
      <c r="N85" s="939"/>
      <c r="P85" s="939"/>
      <c r="Q85" s="939"/>
      <c r="S85" s="1437">
        <f t="shared" ref="S85:S89" si="5">G85</f>
        <v>0</v>
      </c>
      <c r="T85" s="1438"/>
      <c r="V85" s="1483"/>
      <c r="W85" s="1484"/>
    </row>
    <row r="86" spans="1:23" s="386" customFormat="1" ht="12" customHeight="1">
      <c r="B86" s="386" t="s">
        <v>1701</v>
      </c>
      <c r="G86" s="1437">
        <v>39761</v>
      </c>
      <c r="H86" s="1438"/>
      <c r="J86" s="939"/>
      <c r="K86" s="939"/>
      <c r="L86" s="796"/>
      <c r="M86" s="939"/>
      <c r="N86" s="939"/>
      <c r="P86" s="939"/>
      <c r="Q86" s="939"/>
      <c r="S86" s="1437">
        <v>39761</v>
      </c>
      <c r="T86" s="1438"/>
      <c r="V86" s="1483"/>
      <c r="W86" s="1484"/>
    </row>
    <row r="87" spans="1:23" s="386" customFormat="1" ht="12" customHeight="1">
      <c r="B87" s="386" t="s">
        <v>1703</v>
      </c>
      <c r="G87" s="1437"/>
      <c r="H87" s="1438"/>
      <c r="J87" s="939"/>
      <c r="K87" s="939"/>
      <c r="L87" s="796"/>
      <c r="M87" s="939"/>
      <c r="N87" s="939"/>
      <c r="P87" s="939"/>
      <c r="Q87" s="939"/>
      <c r="S87" s="1437">
        <f t="shared" si="5"/>
        <v>0</v>
      </c>
      <c r="T87" s="1438"/>
      <c r="V87" s="1483"/>
      <c r="W87" s="1484"/>
    </row>
    <row r="88" spans="1:23" s="386" customFormat="1" ht="12" customHeight="1">
      <c r="B88" s="386" t="s">
        <v>3027</v>
      </c>
      <c r="G88" s="1437"/>
      <c r="H88" s="1438"/>
      <c r="J88" s="939"/>
      <c r="K88" s="939"/>
      <c r="L88" s="796"/>
      <c r="M88" s="939"/>
      <c r="N88" s="939"/>
      <c r="P88" s="939"/>
      <c r="Q88" s="939"/>
      <c r="S88" s="1437">
        <f t="shared" si="5"/>
        <v>0</v>
      </c>
      <c r="T88" s="1438"/>
      <c r="V88" s="1483"/>
      <c r="W88" s="1484"/>
    </row>
    <row r="89" spans="1:23" s="386" customFormat="1" ht="12" customHeight="1" thickBot="1">
      <c r="A89" s="480" t="str">
        <f>IF(AND(G89&gt;0,OR(C89="",C89="&lt;Enter detailed description here; use Comments section if needed&gt;")),"X","")</f>
        <v/>
      </c>
      <c r="B89" s="386" t="s">
        <v>1046</v>
      </c>
      <c r="C89" s="1299" t="s">
        <v>3181</v>
      </c>
      <c r="D89" s="1299"/>
      <c r="E89" s="1299"/>
      <c r="F89" s="1300"/>
      <c r="G89" s="1437"/>
      <c r="H89" s="1438"/>
      <c r="J89" s="939"/>
      <c r="K89" s="939"/>
      <c r="L89" s="796"/>
      <c r="M89" s="939"/>
      <c r="N89" s="939"/>
      <c r="P89" s="939"/>
      <c r="Q89" s="939"/>
      <c r="S89" s="1437">
        <f t="shared" si="5"/>
        <v>0</v>
      </c>
      <c r="T89" s="1438"/>
      <c r="U89" s="479" t="str">
        <f>IF(AND(G89&gt;0,OR(C89="",C89="&lt;Enter detailed description here; use Comments section if needed&gt;")),"NO DESCRIPTION PROVIDED - please enter detailed description in Other box at left; use Comments section below if needed.","")</f>
        <v/>
      </c>
      <c r="V89" s="1483"/>
      <c r="W89" s="1484"/>
    </row>
    <row r="90" spans="1:23" s="386" customFormat="1" ht="12" customHeight="1" thickTop="1">
      <c r="F90" s="446" t="s">
        <v>209</v>
      </c>
      <c r="G90" s="934">
        <f>SUM(G84:H89)</f>
        <v>39761</v>
      </c>
      <c r="H90" s="938"/>
      <c r="J90" s="939"/>
      <c r="K90" s="939"/>
      <c r="L90" s="448"/>
      <c r="M90" s="939"/>
      <c r="N90" s="939"/>
      <c r="P90" s="939"/>
      <c r="Q90" s="939"/>
      <c r="S90" s="934">
        <f>SUM(S84:T89)</f>
        <v>39761</v>
      </c>
      <c r="T90" s="938"/>
      <c r="V90" s="1486"/>
      <c r="W90" s="1487"/>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40" t="s">
        <v>299</v>
      </c>
      <c r="K92" s="941"/>
      <c r="L92" s="445"/>
      <c r="M92" s="959" t="s">
        <v>623</v>
      </c>
      <c r="N92" s="960"/>
      <c r="P92" s="940" t="s">
        <v>300</v>
      </c>
      <c r="Q92" s="941"/>
      <c r="S92" s="940" t="s">
        <v>301</v>
      </c>
      <c r="T92" s="941"/>
      <c r="V92" s="567" t="str">
        <f>B92</f>
        <v>DEVELOPMENT BUDGET</v>
      </c>
    </row>
    <row r="93" spans="1:23" s="386" customFormat="1" ht="18" customHeight="1" thickBot="1">
      <c r="G93" s="953" t="s">
        <v>107</v>
      </c>
      <c r="H93" s="954"/>
      <c r="J93" s="942"/>
      <c r="K93" s="943"/>
      <c r="L93" s="445"/>
      <c r="M93" s="961"/>
      <c r="N93" s="962"/>
      <c r="P93" s="942"/>
      <c r="Q93" s="943"/>
      <c r="S93" s="942"/>
      <c r="T93" s="943"/>
      <c r="V93" s="937" t="s">
        <v>3548</v>
      </c>
      <c r="W93" s="937"/>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37">
        <v>1000</v>
      </c>
      <c r="H95" s="1438"/>
      <c r="J95" s="448"/>
      <c r="K95" s="448"/>
      <c r="L95" s="796"/>
      <c r="M95" s="448"/>
      <c r="N95" s="448"/>
      <c r="P95" s="448"/>
      <c r="Q95" s="448"/>
      <c r="S95" s="1437">
        <f>G95</f>
        <v>1000</v>
      </c>
      <c r="T95" s="1438"/>
      <c r="V95" s="1481"/>
      <c r="W95" s="1482"/>
    </row>
    <row r="96" spans="1:23" s="386" customFormat="1" ht="12.6" customHeight="1">
      <c r="B96" s="386" t="s">
        <v>1618</v>
      </c>
      <c r="G96" s="1437">
        <v>6500</v>
      </c>
      <c r="H96" s="1438"/>
      <c r="J96" s="448"/>
      <c r="K96" s="448"/>
      <c r="L96" s="462"/>
      <c r="M96" s="448"/>
      <c r="N96" s="448"/>
      <c r="P96" s="448"/>
      <c r="Q96" s="448"/>
      <c r="S96" s="1437">
        <f t="shared" ref="S96:S103" si="6">G96</f>
        <v>6500</v>
      </c>
      <c r="T96" s="1438"/>
      <c r="V96" s="1483"/>
      <c r="W96" s="1484"/>
    </row>
    <row r="97" spans="1:23" s="386" customFormat="1" ht="12.6" customHeight="1">
      <c r="B97" s="386" t="s">
        <v>3590</v>
      </c>
      <c r="G97" s="1437">
        <v>1000</v>
      </c>
      <c r="H97" s="1438"/>
      <c r="J97" s="448"/>
      <c r="K97" s="448"/>
      <c r="L97" s="462"/>
      <c r="M97" s="448"/>
      <c r="N97" s="448"/>
      <c r="O97" s="786"/>
      <c r="P97" s="448"/>
      <c r="Q97" s="448"/>
      <c r="S97" s="1437">
        <f t="shared" si="6"/>
        <v>1000</v>
      </c>
      <c r="T97" s="1438"/>
      <c r="V97" s="1483"/>
      <c r="W97" s="1484"/>
    </row>
    <row r="98" spans="1:23" s="386" customFormat="1" ht="12.6" customHeight="1">
      <c r="B98" s="386" t="s">
        <v>686</v>
      </c>
      <c r="E98" s="957">
        <f>'DCA Underwriting Assumptions'!$Q$39*$J$172</f>
        <v>71865.52</v>
      </c>
      <c r="F98" s="958"/>
      <c r="G98" s="1437">
        <v>71866</v>
      </c>
      <c r="H98" s="1438"/>
      <c r="J98" s="448"/>
      <c r="K98" s="448"/>
      <c r="L98" s="796"/>
      <c r="M98" s="448"/>
      <c r="N98" s="448"/>
      <c r="O98" s="786"/>
      <c r="P98" s="448"/>
      <c r="Q98" s="448"/>
      <c r="S98" s="1437">
        <v>71866</v>
      </c>
      <c r="T98" s="1438"/>
      <c r="V98" s="1483"/>
      <c r="W98" s="1484"/>
    </row>
    <row r="99" spans="1:23" s="386" customFormat="1" ht="12.6" customHeight="1">
      <c r="B99" s="386" t="s">
        <v>1058</v>
      </c>
      <c r="E99" s="957">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64000</v>
      </c>
      <c r="F99" s="958"/>
      <c r="G99" s="1437">
        <v>64000</v>
      </c>
      <c r="H99" s="1438"/>
      <c r="J99" s="353"/>
      <c r="K99" s="353"/>
      <c r="L99" s="353"/>
      <c r="M99" s="353"/>
      <c r="N99" s="353"/>
      <c r="O99" s="353"/>
      <c r="P99" s="353"/>
      <c r="Q99" s="353"/>
      <c r="S99" s="1437">
        <f t="shared" si="6"/>
        <v>64000</v>
      </c>
      <c r="T99" s="1438"/>
      <c r="V99" s="1483"/>
      <c r="W99" s="1484"/>
    </row>
    <row r="100" spans="1:23" s="386" customFormat="1" ht="12.6" customHeight="1">
      <c r="B100" s="386" t="s">
        <v>618</v>
      </c>
      <c r="G100" s="1437">
        <v>2700</v>
      </c>
      <c r="H100" s="1438"/>
      <c r="J100" s="353"/>
      <c r="K100" s="353"/>
      <c r="L100" s="353"/>
      <c r="M100" s="353"/>
      <c r="N100" s="353"/>
      <c r="O100" s="353"/>
      <c r="P100" s="353"/>
      <c r="Q100" s="353"/>
      <c r="S100" s="1437">
        <f t="shared" si="6"/>
        <v>2700</v>
      </c>
      <c r="T100" s="1438"/>
      <c r="V100" s="1483"/>
      <c r="W100" s="1484"/>
    </row>
    <row r="101" spans="1:23" s="386" customFormat="1" ht="12.6" customHeight="1">
      <c r="B101" s="386" t="s">
        <v>3105</v>
      </c>
      <c r="G101" s="1437"/>
      <c r="H101" s="1438"/>
      <c r="J101" s="353"/>
      <c r="K101" s="353"/>
      <c r="L101" s="353"/>
      <c r="M101" s="353"/>
      <c r="N101" s="353"/>
      <c r="O101" s="353"/>
      <c r="P101" s="353"/>
      <c r="Q101" s="353"/>
      <c r="S101" s="1437">
        <f t="shared" si="6"/>
        <v>0</v>
      </c>
      <c r="T101" s="1438"/>
      <c r="V101" s="1483"/>
      <c r="W101" s="1484"/>
    </row>
    <row r="102" spans="1:23" s="386" customFormat="1" ht="12.6" customHeight="1">
      <c r="A102" s="480" t="str">
        <f>IF(AND(G102&gt;0,OR(C102="",C102="&lt;Enter detailed description here; use Comments section if needed&gt;")),"X","")</f>
        <v/>
      </c>
      <c r="B102" s="386" t="s">
        <v>1046</v>
      </c>
      <c r="C102" s="1299" t="s">
        <v>3181</v>
      </c>
      <c r="D102" s="1299"/>
      <c r="E102" s="1299"/>
      <c r="F102" s="1300"/>
      <c r="G102" s="1437"/>
      <c r="H102" s="1438"/>
      <c r="J102" s="353"/>
      <c r="K102" s="353"/>
      <c r="L102" s="353"/>
      <c r="M102" s="353"/>
      <c r="N102" s="353"/>
      <c r="O102" s="353"/>
      <c r="P102" s="353"/>
      <c r="Q102" s="353"/>
      <c r="S102" s="1437">
        <f t="shared" si="6"/>
        <v>0</v>
      </c>
      <c r="T102" s="1438"/>
      <c r="U102" s="479" t="str">
        <f>IF(AND(G102&gt;0,OR(C102="",C102="&lt;Enter detailed description here; use Comments section if needed&gt;")),"NO DESCRIPTION PROVIDED - please enter detailed description in Other box at left; use Comments section below if needed.","")</f>
        <v/>
      </c>
      <c r="V102" s="1483"/>
      <c r="W102" s="1484"/>
    </row>
    <row r="103" spans="1:23" s="386" customFormat="1" ht="12.6" customHeight="1" thickBot="1">
      <c r="A103" s="480" t="str">
        <f>IF(AND(G103&gt;0,OR(C103="",C103="&lt;Enter detailed description here; use Comments section if needed&gt;")),"X","")</f>
        <v/>
      </c>
      <c r="B103" s="386" t="s">
        <v>1046</v>
      </c>
      <c r="C103" s="1299" t="s">
        <v>3181</v>
      </c>
      <c r="D103" s="1299"/>
      <c r="E103" s="1299"/>
      <c r="F103" s="1300"/>
      <c r="G103" s="1437"/>
      <c r="H103" s="1438"/>
      <c r="J103" s="353"/>
      <c r="K103" s="353"/>
      <c r="L103" s="353"/>
      <c r="M103" s="353"/>
      <c r="N103" s="353"/>
      <c r="O103" s="353"/>
      <c r="P103" s="353"/>
      <c r="Q103" s="353"/>
      <c r="S103" s="1437">
        <f t="shared" si="6"/>
        <v>0</v>
      </c>
      <c r="T103" s="1438"/>
      <c r="U103" s="479" t="str">
        <f>IF(AND(G103&gt;0,OR(C103="",C103="&lt;Enter detailed description here; use Comments section if needed&gt;")),"NO DESCRIPTION PROVIDED - please enter detailed description in Other box at left; use Comments section below if needed.","")</f>
        <v/>
      </c>
      <c r="V103" s="1483"/>
      <c r="W103" s="1484"/>
    </row>
    <row r="104" spans="1:23" s="386" customFormat="1" ht="12.6" customHeight="1" thickTop="1">
      <c r="F104" s="446" t="s">
        <v>209</v>
      </c>
      <c r="G104" s="934">
        <f>SUM(G95:H103)</f>
        <v>147066</v>
      </c>
      <c r="H104" s="938"/>
      <c r="J104" s="448"/>
      <c r="K104" s="448"/>
      <c r="L104" s="796"/>
      <c r="M104" s="448"/>
      <c r="N104" s="448"/>
      <c r="P104" s="448"/>
      <c r="Q104" s="448"/>
      <c r="S104" s="934">
        <f>SUM(S95:T103)</f>
        <v>147066</v>
      </c>
      <c r="T104" s="938"/>
      <c r="V104" s="1486"/>
      <c r="W104" s="1487"/>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37">
        <v>500</v>
      </c>
      <c r="H106" s="1438"/>
      <c r="J106" s="939"/>
      <c r="K106" s="939"/>
      <c r="L106" s="796"/>
      <c r="M106" s="939"/>
      <c r="N106" s="939"/>
      <c r="O106" s="786"/>
      <c r="P106" s="939"/>
      <c r="Q106" s="939"/>
      <c r="S106" s="1437">
        <f>G106</f>
        <v>500</v>
      </c>
      <c r="T106" s="1438"/>
      <c r="V106" s="1481"/>
      <c r="W106" s="1482"/>
    </row>
    <row r="107" spans="1:23" s="386" customFormat="1" ht="12.6" customHeight="1">
      <c r="B107" s="386" t="s">
        <v>310</v>
      </c>
      <c r="G107" s="1437">
        <v>2000</v>
      </c>
      <c r="H107" s="1438"/>
      <c r="J107" s="939"/>
      <c r="K107" s="939"/>
      <c r="L107" s="796"/>
      <c r="M107" s="939"/>
      <c r="N107" s="939"/>
      <c r="O107" s="786"/>
      <c r="P107" s="939"/>
      <c r="Q107" s="939"/>
      <c r="S107" s="1437">
        <f t="shared" ref="S107:S109" si="7">G107</f>
        <v>2000</v>
      </c>
      <c r="T107" s="1438"/>
      <c r="V107" s="1483"/>
      <c r="W107" s="1484"/>
    </row>
    <row r="108" spans="1:23" s="386" customFormat="1" ht="12.6" customHeight="1">
      <c r="B108" s="386" t="s">
        <v>3143</v>
      </c>
      <c r="G108" s="1437"/>
      <c r="H108" s="1438"/>
      <c r="J108" s="939"/>
      <c r="K108" s="939"/>
      <c r="L108" s="796"/>
      <c r="M108" s="939"/>
      <c r="N108" s="939"/>
      <c r="O108" s="786"/>
      <c r="P108" s="939"/>
      <c r="Q108" s="939"/>
      <c r="S108" s="1437">
        <f t="shared" si="7"/>
        <v>0</v>
      </c>
      <c r="T108" s="1438"/>
      <c r="V108" s="1483"/>
      <c r="W108" s="1484"/>
    </row>
    <row r="109" spans="1:23" s="386" customFormat="1" ht="12.6" customHeight="1" thickBot="1">
      <c r="A109" s="480" t="str">
        <f>IF(AND(G109&gt;0,OR(C109="",C109="&lt;Enter detailed description here; use Comments section if needed&gt;")),"X","")</f>
        <v/>
      </c>
      <c r="B109" s="386" t="s">
        <v>1046</v>
      </c>
      <c r="C109" s="1299" t="s">
        <v>3181</v>
      </c>
      <c r="D109" s="1299"/>
      <c r="E109" s="1299"/>
      <c r="F109" s="1300"/>
      <c r="G109" s="1437"/>
      <c r="H109" s="1438"/>
      <c r="J109" s="939"/>
      <c r="K109" s="939"/>
      <c r="L109" s="796"/>
      <c r="M109" s="939"/>
      <c r="N109" s="939"/>
      <c r="O109" s="786"/>
      <c r="P109" s="939"/>
      <c r="Q109" s="939"/>
      <c r="S109" s="1437">
        <f t="shared" si="7"/>
        <v>0</v>
      </c>
      <c r="T109" s="1438"/>
      <c r="U109" s="479" t="str">
        <f>IF(AND(G109&gt;0,OR(C109="",C109="&lt;Enter detailed description here; use Comments section if needed&gt;")),"NO DESCRIPTION PROVIDED - please enter detailed description in Other box at left; use Comments section below if needed.","")</f>
        <v/>
      </c>
      <c r="V109" s="1483"/>
      <c r="W109" s="1484"/>
    </row>
    <row r="110" spans="1:23" s="386" customFormat="1" ht="12.6" customHeight="1" thickTop="1">
      <c r="F110" s="446" t="s">
        <v>209</v>
      </c>
      <c r="G110" s="934">
        <f>SUM(G106:H109)</f>
        <v>2500</v>
      </c>
      <c r="H110" s="938"/>
      <c r="J110" s="939"/>
      <c r="K110" s="939"/>
      <c r="L110" s="796"/>
      <c r="M110" s="939"/>
      <c r="N110" s="939"/>
      <c r="O110" s="786"/>
      <c r="P110" s="939"/>
      <c r="Q110" s="939"/>
      <c r="S110" s="934">
        <f>SUM(S106:T109)</f>
        <v>2500</v>
      </c>
      <c r="T110" s="938"/>
      <c r="V110" s="1486"/>
      <c r="W110" s="1487"/>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0.19999970589792304</v>
      </c>
      <c r="G112" s="1437">
        <v>272014</v>
      </c>
      <c r="H112" s="1438"/>
      <c r="J112" s="1437">
        <v>272014</v>
      </c>
      <c r="K112" s="1438"/>
      <c r="L112" s="447"/>
      <c r="M112" s="1437"/>
      <c r="N112" s="1438"/>
      <c r="P112" s="1437"/>
      <c r="Q112" s="1438"/>
      <c r="S112" s="1437"/>
      <c r="T112" s="1438"/>
      <c r="V112" s="1481"/>
      <c r="W112" s="1482"/>
    </row>
    <row r="113" spans="1:23" s="386" customFormat="1" ht="12.6" customHeight="1">
      <c r="B113" s="386" t="s">
        <v>2565</v>
      </c>
      <c r="F113" s="527">
        <f>G113/$G$115</f>
        <v>0</v>
      </c>
      <c r="G113" s="1437"/>
      <c r="H113" s="1438"/>
      <c r="J113" s="1437">
        <f t="shared" ref="J113" si="8">G113</f>
        <v>0</v>
      </c>
      <c r="K113" s="1438"/>
      <c r="L113" s="796"/>
      <c r="M113" s="1437"/>
      <c r="N113" s="1438"/>
      <c r="P113" s="1437"/>
      <c r="Q113" s="1438"/>
      <c r="S113" s="1437"/>
      <c r="T113" s="1438"/>
      <c r="V113" s="1483"/>
      <c r="W113" s="1484"/>
    </row>
    <row r="114" spans="1:23" s="386" customFormat="1" ht="12.6" customHeight="1" thickBot="1">
      <c r="B114" s="386" t="s">
        <v>2557</v>
      </c>
      <c r="F114" s="527">
        <f>G114/$G$115</f>
        <v>0.80000029410207696</v>
      </c>
      <c r="G114" s="1437">
        <v>1088058</v>
      </c>
      <c r="H114" s="1438"/>
      <c r="J114" s="1437">
        <v>1088058</v>
      </c>
      <c r="K114" s="1438"/>
      <c r="L114" s="796"/>
      <c r="M114" s="1437"/>
      <c r="N114" s="1438"/>
      <c r="P114" s="1437"/>
      <c r="Q114" s="1438"/>
      <c r="S114" s="1437"/>
      <c r="T114" s="1438"/>
      <c r="V114" s="1483"/>
      <c r="W114" s="1484"/>
    </row>
    <row r="115" spans="1:23" s="386" customFormat="1" ht="12.6" customHeight="1" thickTop="1">
      <c r="C115" s="479" t="str">
        <f>IF(G115&lt;='DCA Underwriting Assumptions'!$Q$46,"","Developer Fee exceeds DCA Program Maximum !!!")</f>
        <v/>
      </c>
      <c r="F115" s="446" t="s">
        <v>209</v>
      </c>
      <c r="G115" s="934">
        <f>SUM(G112:H114)</f>
        <v>1360072</v>
      </c>
      <c r="H115" s="938"/>
      <c r="J115" s="934">
        <f>SUM(J112:K114)</f>
        <v>1360072</v>
      </c>
      <c r="K115" s="938"/>
      <c r="L115" s="796"/>
      <c r="M115" s="934">
        <f>SUM(M112:N114)</f>
        <v>0</v>
      </c>
      <c r="N115" s="938"/>
      <c r="P115" s="934">
        <f>SUM(P112:Q114)</f>
        <v>0</v>
      </c>
      <c r="Q115" s="938"/>
      <c r="S115" s="934">
        <f>SUM(S112:T114)</f>
        <v>0</v>
      </c>
      <c r="T115" s="938"/>
      <c r="V115" s="1486"/>
      <c r="W115" s="1487"/>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37">
        <v>30000</v>
      </c>
      <c r="H117" s="1438"/>
      <c r="J117" s="463"/>
      <c r="K117" s="463"/>
      <c r="L117" s="463"/>
      <c r="M117" s="463"/>
      <c r="N117" s="463"/>
      <c r="P117" s="463"/>
      <c r="Q117" s="463"/>
      <c r="S117" s="1437">
        <f>G117</f>
        <v>30000</v>
      </c>
      <c r="T117" s="1438"/>
      <c r="V117" s="1481"/>
      <c r="W117" s="1482"/>
    </row>
    <row r="118" spans="1:23" s="386" customFormat="1" ht="12.6" customHeight="1">
      <c r="B118" s="386" t="s">
        <v>1993</v>
      </c>
      <c r="F118" s="754">
        <f>+'Part VI-Revenues &amp; Expenses'!P157*('DCA Underwriting Assumptions'!$Q$58/12)</f>
        <v>70234.5</v>
      </c>
      <c r="G118" s="1437">
        <v>70234</v>
      </c>
      <c r="H118" s="1438"/>
      <c r="J118" s="939"/>
      <c r="K118" s="939"/>
      <c r="L118" s="796"/>
      <c r="M118" s="939"/>
      <c r="N118" s="939"/>
      <c r="O118" s="786"/>
      <c r="P118" s="939"/>
      <c r="Q118" s="939"/>
      <c r="R118" s="786"/>
      <c r="S118" s="1437">
        <f t="shared" ref="S118:S120" si="9">G118</f>
        <v>70234</v>
      </c>
      <c r="T118" s="1438"/>
      <c r="V118" s="1483"/>
      <c r="W118" s="1484"/>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165569</v>
      </c>
      <c r="G119" s="1437">
        <v>165569</v>
      </c>
      <c r="H119" s="1438"/>
      <c r="J119" s="462"/>
      <c r="K119" s="462"/>
      <c r="L119" s="462"/>
      <c r="M119" s="462"/>
      <c r="N119" s="462"/>
      <c r="O119" s="786"/>
      <c r="P119" s="462"/>
      <c r="Q119" s="462"/>
      <c r="R119" s="786"/>
      <c r="S119" s="1437">
        <f t="shared" si="9"/>
        <v>165569</v>
      </c>
      <c r="T119" s="1438"/>
      <c r="V119" s="1483"/>
      <c r="W119" s="1484"/>
    </row>
    <row r="120" spans="1:23" s="386" customFormat="1" ht="12.6" customHeight="1">
      <c r="B120" s="386" t="s">
        <v>1667</v>
      </c>
      <c r="G120" s="1437"/>
      <c r="H120" s="1438"/>
      <c r="J120" s="463"/>
      <c r="K120" s="463"/>
      <c r="L120" s="463"/>
      <c r="M120" s="463"/>
      <c r="N120" s="463"/>
      <c r="P120" s="463"/>
      <c r="Q120" s="463"/>
      <c r="S120" s="1437">
        <f t="shared" si="9"/>
        <v>0</v>
      </c>
      <c r="T120" s="1438"/>
      <c r="V120" s="1483"/>
      <c r="W120" s="1484"/>
    </row>
    <row r="121" spans="1:23" s="386" customFormat="1" ht="12.6" customHeight="1">
      <c r="B121" s="386" t="s">
        <v>1668</v>
      </c>
      <c r="E121" s="386" t="s">
        <v>3943</v>
      </c>
      <c r="F121" s="650">
        <f>G121/'Part VI-Revenues &amp; Expenses'!$M$62</f>
        <v>375</v>
      </c>
      <c r="G121" s="1437">
        <v>30000</v>
      </c>
      <c r="H121" s="1438"/>
      <c r="J121" s="1437">
        <v>30000</v>
      </c>
      <c r="K121" s="1438"/>
      <c r="L121" s="796"/>
      <c r="M121" s="1437"/>
      <c r="N121" s="1438"/>
      <c r="P121" s="1437"/>
      <c r="Q121" s="1438"/>
      <c r="S121" s="1437"/>
      <c r="T121" s="1438"/>
      <c r="V121" s="1483"/>
      <c r="W121" s="1484"/>
    </row>
    <row r="122" spans="1:23" s="386" customFormat="1" ht="12.6" customHeight="1" thickBot="1">
      <c r="A122" s="480" t="str">
        <f>IF(AND(G122&gt;0,OR(C122="",C122="&lt;Enter detailed description here; use Comments section if needed&gt;")),"X","")</f>
        <v/>
      </c>
      <c r="B122" s="386" t="s">
        <v>1046</v>
      </c>
      <c r="C122" s="1299" t="s">
        <v>3181</v>
      </c>
      <c r="D122" s="1299"/>
      <c r="E122" s="1299"/>
      <c r="F122" s="1300"/>
      <c r="G122" s="1437"/>
      <c r="H122" s="1438"/>
      <c r="J122" s="1437"/>
      <c r="K122" s="1438"/>
      <c r="L122" s="796"/>
      <c r="M122" s="1437"/>
      <c r="N122" s="1438"/>
      <c r="P122" s="1437"/>
      <c r="Q122" s="1438"/>
      <c r="S122" s="1437"/>
      <c r="T122" s="1438"/>
      <c r="U122" s="479" t="str">
        <f>IF(AND(G122&gt;0,OR(C122="",C122="&lt;Enter detailed description here; use Comments section if needed&gt;")),"NO DESCRIPTION PROVIDED - please enter detailed description in Other box at left; use Comments section below if needed.","")</f>
        <v/>
      </c>
      <c r="V122" s="1483"/>
      <c r="W122" s="1484"/>
    </row>
    <row r="123" spans="1:23" s="386" customFormat="1" ht="12.6" customHeight="1" thickTop="1">
      <c r="B123" s="464"/>
      <c r="F123" s="446" t="s">
        <v>209</v>
      </c>
      <c r="G123" s="934">
        <f>SUM(G117:H122)</f>
        <v>295803</v>
      </c>
      <c r="H123" s="938"/>
      <c r="J123" s="934">
        <f>SUM(J121:K122)</f>
        <v>30000</v>
      </c>
      <c r="K123" s="938"/>
      <c r="L123" s="796"/>
      <c r="M123" s="934">
        <f>SUM(M121:N122)</f>
        <v>0</v>
      </c>
      <c r="N123" s="938"/>
      <c r="P123" s="934">
        <f>SUM(P121:Q122)</f>
        <v>0</v>
      </c>
      <c r="Q123" s="938"/>
      <c r="S123" s="934">
        <f>SUM(S117:T122)</f>
        <v>265803</v>
      </c>
      <c r="T123" s="938"/>
      <c r="V123" s="1486"/>
      <c r="W123" s="1487"/>
    </row>
    <row r="124" spans="1:23" s="386" customFormat="1" ht="13.15" customHeight="1">
      <c r="B124" s="389" t="s">
        <v>790</v>
      </c>
      <c r="C124" s="781"/>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81"/>
      <c r="G125" s="1437"/>
      <c r="H125" s="1438"/>
      <c r="J125" s="1437"/>
      <c r="K125" s="1438"/>
      <c r="L125" s="447"/>
      <c r="M125" s="1437"/>
      <c r="N125" s="1438"/>
      <c r="P125" s="1437"/>
      <c r="Q125" s="1438"/>
      <c r="S125" s="1437"/>
      <c r="T125" s="1438"/>
      <c r="V125" s="1481"/>
      <c r="W125" s="1482"/>
    </row>
    <row r="126" spans="1:23" s="386" customFormat="1" ht="12.6" customHeight="1" thickBot="1">
      <c r="A126" s="480" t="str">
        <f>IF(AND(G126&gt;0,OR(C126="",C126="&lt;Enter detailed description here; use Comments section if needed&gt;")),"X","")</f>
        <v/>
      </c>
      <c r="B126" s="386" t="s">
        <v>1046</v>
      </c>
      <c r="C126" s="1299" t="s">
        <v>3181</v>
      </c>
      <c r="D126" s="1299"/>
      <c r="E126" s="1299"/>
      <c r="F126" s="1300"/>
      <c r="G126" s="1437"/>
      <c r="H126" s="1438"/>
      <c r="J126" s="1437"/>
      <c r="K126" s="1438"/>
      <c r="L126" s="796"/>
      <c r="M126" s="1437"/>
      <c r="N126" s="1438"/>
      <c r="P126" s="1437"/>
      <c r="Q126" s="1438"/>
      <c r="S126" s="1437"/>
      <c r="T126" s="1438"/>
      <c r="U126" s="479" t="str">
        <f>IF(AND(G126&gt;0,OR(C126="",C126="&lt;Enter detailed description here; use Comments section if needed&gt;")),"NO DESCRIPTION PROVIDED - please enter detailed description in Other box at left; use Comments section below if needed.","")</f>
        <v/>
      </c>
      <c r="V126" s="1483"/>
      <c r="W126" s="1484"/>
    </row>
    <row r="127" spans="1:23" s="386" customFormat="1" ht="12.6" customHeight="1" thickTop="1">
      <c r="C127" s="781"/>
      <c r="F127" s="446" t="s">
        <v>209</v>
      </c>
      <c r="G127" s="934">
        <f>SUM(G125:H126)</f>
        <v>0</v>
      </c>
      <c r="H127" s="938"/>
      <c r="J127" s="934">
        <f>SUM(J125:K126)</f>
        <v>0</v>
      </c>
      <c r="K127" s="938"/>
      <c r="L127" s="796"/>
      <c r="M127" s="934">
        <f>SUM(M125:N126)</f>
        <v>0</v>
      </c>
      <c r="N127" s="938"/>
      <c r="P127" s="934">
        <f>SUM(P125:Q126)</f>
        <v>0</v>
      </c>
      <c r="Q127" s="938"/>
      <c r="S127" s="934">
        <f>SUM(S125:T126)</f>
        <v>0</v>
      </c>
      <c r="T127" s="938"/>
      <c r="V127" s="1483"/>
      <c r="W127" s="1484"/>
    </row>
    <row r="128" spans="1:23" s="386" customFormat="1" ht="3" customHeight="1" thickBot="1">
      <c r="C128" s="781"/>
      <c r="H128" s="460"/>
      <c r="I128" s="460"/>
      <c r="L128" s="786"/>
      <c r="V128" s="1483"/>
      <c r="W128" s="1484"/>
    </row>
    <row r="129" spans="1:23" s="386" customFormat="1" ht="13.9" customHeight="1" thickBot="1">
      <c r="B129" s="393" t="s">
        <v>3960</v>
      </c>
      <c r="G129" s="944">
        <f>G17+G23+G27+G32+G37+G40+G46+G63+G76+G82+G90+G104+G110+G115+G123+G127</f>
        <v>11360222</v>
      </c>
      <c r="H129" s="945"/>
      <c r="J129" s="944">
        <f>J17+J23+J27+J32+J37+J40+J46+J63+J76+J82+J90+J104+J110+J115+J123+J127</f>
        <v>10376192</v>
      </c>
      <c r="K129" s="945"/>
      <c r="M129" s="944">
        <f>M17+M23+M27+M32+M37+M40+M46+M63+M76+M82+M90+M104+M110+M115+M123+M127</f>
        <v>0</v>
      </c>
      <c r="N129" s="945"/>
      <c r="P129" s="944">
        <f>P17+P23+P27+P32+P37+P40+P46+P63+P76+P82+P90+P104+P110+P115+P123+P127</f>
        <v>0</v>
      </c>
      <c r="Q129" s="945"/>
      <c r="S129" s="944">
        <f>S17+S23+S27+S32+S37+S40+S46+S63+S76+S82+S90+S104+S110+S115+S123+S127</f>
        <v>984030</v>
      </c>
      <c r="T129" s="945"/>
      <c r="V129" s="1486"/>
      <c r="W129" s="1487"/>
    </row>
    <row r="130" spans="1:23" s="386" customFormat="1" ht="3" customHeight="1">
      <c r="C130" s="781"/>
      <c r="H130" s="460"/>
      <c r="I130" s="460"/>
      <c r="L130" s="786"/>
    </row>
    <row r="131" spans="1:23" s="386" customFormat="1" ht="13.9" customHeight="1">
      <c r="B131" s="769" t="s">
        <v>3961</v>
      </c>
      <c r="C131" s="767"/>
      <c r="D131" s="951">
        <f>G129/'Part VI-Revenues &amp; Expenses'!$M$62</f>
        <v>142002.77499999999</v>
      </c>
      <c r="E131" s="951"/>
      <c r="F131" s="768" t="s">
        <v>3959</v>
      </c>
      <c r="G131" s="951">
        <f>G129/'Part VI-Revenues &amp; Expenses'!$M$100</f>
        <v>120.67882637885613</v>
      </c>
      <c r="H131" s="952"/>
      <c r="I131" s="465"/>
    </row>
    <row r="132" spans="1:23" s="386" customFormat="1" ht="3" customHeight="1">
      <c r="I132" s="465"/>
      <c r="L132" s="465"/>
    </row>
    <row r="133" spans="1:23" s="386" customFormat="1" ht="3.6" customHeight="1" thickBot="1">
      <c r="D133" s="781"/>
      <c r="E133" s="781"/>
      <c r="I133" s="460"/>
      <c r="J133" s="460"/>
      <c r="K133" s="466"/>
      <c r="L133" s="392"/>
      <c r="P133" s="786"/>
    </row>
    <row r="134" spans="1:23" s="386" customFormat="1" ht="25.9" customHeight="1">
      <c r="A134" s="566" t="s">
        <v>1045</v>
      </c>
      <c r="B134" s="568" t="s">
        <v>1869</v>
      </c>
      <c r="C134" s="387"/>
      <c r="D134" s="796"/>
      <c r="E134" s="796"/>
      <c r="G134" s="786"/>
      <c r="H134" s="786"/>
      <c r="I134" s="467"/>
      <c r="J134" s="940" t="s">
        <v>299</v>
      </c>
      <c r="K134" s="941"/>
      <c r="M134" s="940" t="s">
        <v>106</v>
      </c>
      <c r="N134" s="941"/>
      <c r="P134" s="940" t="s">
        <v>300</v>
      </c>
      <c r="Q134" s="941"/>
      <c r="V134" s="567" t="str">
        <f>B134</f>
        <v>TAX CREDIT CALCULATION - BASIS METHOD</v>
      </c>
    </row>
    <row r="135" spans="1:23" s="386" customFormat="1" ht="15" customHeight="1" thickBot="1">
      <c r="B135" s="393" t="s">
        <v>2758</v>
      </c>
      <c r="D135" s="796"/>
      <c r="E135" s="796"/>
      <c r="I135" s="467"/>
      <c r="J135" s="942"/>
      <c r="K135" s="943"/>
      <c r="L135" s="387"/>
      <c r="M135" s="942"/>
      <c r="N135" s="943"/>
      <c r="P135" s="942"/>
      <c r="Q135" s="943"/>
      <c r="V135" s="386" t="str">
        <f>B135</f>
        <v>Subtractions From Eligible Basis</v>
      </c>
      <c r="W135" s="430"/>
    </row>
    <row r="136" spans="1:23" s="386" customFormat="1" ht="6" customHeight="1">
      <c r="D136" s="781"/>
      <c r="E136" s="781"/>
      <c r="I136" s="460"/>
      <c r="J136" s="460"/>
      <c r="K136" s="466"/>
      <c r="L136" s="392"/>
      <c r="P136" s="786"/>
    </row>
    <row r="137" spans="1:23" s="386" customFormat="1" ht="13.9" customHeight="1">
      <c r="B137" s="781" t="s">
        <v>151</v>
      </c>
      <c r="D137" s="786"/>
      <c r="E137" s="786"/>
      <c r="F137" s="786"/>
      <c r="G137" s="786"/>
      <c r="H137" s="786"/>
      <c r="I137" s="467"/>
      <c r="J137" s="1488"/>
      <c r="K137" s="1489"/>
      <c r="P137" s="1488"/>
      <c r="Q137" s="1489"/>
      <c r="V137" s="1481"/>
      <c r="W137" s="1482"/>
    </row>
    <row r="138" spans="1:23" s="386" customFormat="1" ht="13.9" customHeight="1">
      <c r="B138" s="786" t="s">
        <v>2869</v>
      </c>
      <c r="D138" s="786"/>
      <c r="E138" s="786"/>
      <c r="F138" s="786"/>
      <c r="G138" s="786"/>
      <c r="H138" s="786"/>
      <c r="I138" s="467"/>
      <c r="J138" s="1488"/>
      <c r="K138" s="1489"/>
      <c r="P138" s="1488"/>
      <c r="Q138" s="1489"/>
      <c r="V138" s="1483"/>
      <c r="W138" s="1484"/>
    </row>
    <row r="139" spans="1:23" s="386" customFormat="1" ht="13.9" customHeight="1">
      <c r="B139" s="786" t="s">
        <v>2567</v>
      </c>
      <c r="D139" s="786"/>
      <c r="E139" s="786"/>
      <c r="I139" s="467"/>
      <c r="J139" s="1488"/>
      <c r="K139" s="1489"/>
      <c r="P139" s="1488"/>
      <c r="Q139" s="1489"/>
      <c r="V139" s="1483"/>
      <c r="W139" s="1484"/>
    </row>
    <row r="140" spans="1:23" s="386" customFormat="1" ht="13.9" customHeight="1">
      <c r="B140" s="786" t="s">
        <v>2568</v>
      </c>
      <c r="D140" s="786"/>
      <c r="E140" s="786"/>
      <c r="I140" s="467"/>
      <c r="J140" s="1488"/>
      <c r="K140" s="1489"/>
      <c r="P140" s="1488"/>
      <c r="Q140" s="1489"/>
      <c r="V140" s="1483"/>
      <c r="W140" s="1484"/>
    </row>
    <row r="141" spans="1:23" s="386" customFormat="1" ht="13.9" customHeight="1">
      <c r="B141" s="786" t="s">
        <v>279</v>
      </c>
      <c r="D141" s="786"/>
      <c r="E141" s="786"/>
      <c r="I141" s="467"/>
      <c r="J141" s="1488"/>
      <c r="K141" s="1489"/>
      <c r="P141" s="1488"/>
      <c r="Q141" s="1489"/>
      <c r="V141" s="1483"/>
      <c r="W141" s="1484"/>
    </row>
    <row r="142" spans="1:23" s="386" customFormat="1" ht="13.9" customHeight="1" thickBot="1">
      <c r="B142" s="786" t="s">
        <v>2066</v>
      </c>
      <c r="C142" s="1299" t="s">
        <v>3181</v>
      </c>
      <c r="D142" s="1299"/>
      <c r="E142" s="1299"/>
      <c r="F142" s="1299"/>
      <c r="G142" s="1299"/>
      <c r="H142" s="1299"/>
      <c r="I142" s="1300"/>
      <c r="J142" s="1488"/>
      <c r="K142" s="1489"/>
      <c r="P142" s="1488"/>
      <c r="Q142" s="1489"/>
      <c r="V142" s="1483"/>
      <c r="W142" s="1484"/>
    </row>
    <row r="143" spans="1:23" s="386" customFormat="1" ht="13.9" customHeight="1" thickBot="1">
      <c r="B143" s="398" t="s">
        <v>2569</v>
      </c>
      <c r="C143" s="401"/>
      <c r="J143" s="894">
        <f>SUM(J137:K142)</f>
        <v>0</v>
      </c>
      <c r="K143" s="895"/>
      <c r="P143" s="894">
        <f>SUM(P137:Q142)</f>
        <v>0</v>
      </c>
      <c r="Q143" s="895"/>
      <c r="V143" s="1486"/>
      <c r="W143" s="1487"/>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2486</v>
      </c>
      <c r="J146" s="999">
        <f>J129</f>
        <v>10376192</v>
      </c>
      <c r="K146" s="1000"/>
      <c r="M146" s="1001">
        <f>M129</f>
        <v>0</v>
      </c>
      <c r="N146" s="1002"/>
      <c r="P146" s="999">
        <f>P129</f>
        <v>0</v>
      </c>
      <c r="Q146" s="1000"/>
      <c r="V146" s="1481"/>
      <c r="W146" s="1482"/>
    </row>
    <row r="147" spans="1:23" s="386" customFormat="1" ht="13.9" customHeight="1">
      <c r="B147" s="386" t="s">
        <v>2944</v>
      </c>
      <c r="J147" s="946">
        <f>J143</f>
        <v>0</v>
      </c>
      <c r="K147" s="947"/>
      <c r="M147" s="950"/>
      <c r="N147" s="950"/>
      <c r="P147" s="946">
        <f>P143</f>
        <v>0</v>
      </c>
      <c r="Q147" s="947"/>
      <c r="V147" s="1483"/>
      <c r="W147" s="1484"/>
    </row>
    <row r="148" spans="1:23" s="386" customFormat="1" ht="13.9" customHeight="1">
      <c r="B148" s="386" t="s">
        <v>2945</v>
      </c>
      <c r="J148" s="946">
        <f>J146-J147</f>
        <v>10376192</v>
      </c>
      <c r="K148" s="947"/>
      <c r="M148" s="946">
        <f>M146</f>
        <v>0</v>
      </c>
      <c r="N148" s="947"/>
      <c r="P148" s="946">
        <f>P146-P147</f>
        <v>0</v>
      </c>
      <c r="Q148" s="947"/>
      <c r="V148" s="1483"/>
      <c r="W148" s="1484"/>
    </row>
    <row r="149" spans="1:23" s="386" customFormat="1" ht="13.9" customHeight="1">
      <c r="B149" s="386" t="s">
        <v>1937</v>
      </c>
      <c r="G149" s="778" t="s">
        <v>2404</v>
      </c>
      <c r="H149" s="1289" t="s">
        <v>4109</v>
      </c>
      <c r="I149" s="1290"/>
      <c r="J149" s="1490">
        <v>1.3</v>
      </c>
      <c r="K149" s="1491"/>
      <c r="M149" s="998"/>
      <c r="N149" s="998"/>
      <c r="P149" s="1490">
        <v>1.3</v>
      </c>
      <c r="Q149" s="1491"/>
      <c r="V149" s="1483"/>
      <c r="W149" s="1484"/>
    </row>
    <row r="150" spans="1:23" s="386" customFormat="1" ht="13.9" customHeight="1">
      <c r="B150" s="386" t="s">
        <v>2769</v>
      </c>
      <c r="J150" s="946">
        <f>J148*J149</f>
        <v>13489049.6</v>
      </c>
      <c r="K150" s="947"/>
      <c r="M150" s="946">
        <f>+M148</f>
        <v>0</v>
      </c>
      <c r="N150" s="947"/>
      <c r="P150" s="946">
        <f>P148*P149</f>
        <v>0</v>
      </c>
      <c r="Q150" s="947"/>
      <c r="V150" s="1483"/>
      <c r="W150" s="1484"/>
    </row>
    <row r="151" spans="1:23" s="386" customFormat="1" ht="13.9" customHeight="1">
      <c r="B151" s="386" t="s">
        <v>3339</v>
      </c>
      <c r="J151" s="948">
        <f>MIN('Part VI-Revenues &amp; Expenses'!$M$58/'Part VI-Revenues &amp; Expenses'!$M$60,'Part VI-Revenues &amp; Expenses'!$M$96/'Part VI-Revenues &amp; Expenses'!$M$98)</f>
        <v>0.89873417721518989</v>
      </c>
      <c r="K151" s="949"/>
      <c r="M151" s="948">
        <f>MIN('Part VI-Revenues &amp; Expenses'!$M$58/'Part VI-Revenues &amp; Expenses'!$M$60,'Part VI-Revenues &amp; Expenses'!$M$96/'Part VI-Revenues &amp; Expenses'!$M$98)</f>
        <v>0.89873417721518989</v>
      </c>
      <c r="N151" s="949"/>
      <c r="P151" s="948">
        <f>MIN('Part VI-Revenues &amp; Expenses'!$M$58/'Part VI-Revenues &amp; Expenses'!$M$60,'Part VI-Revenues &amp; Expenses'!$M$96/'Part VI-Revenues &amp; Expenses'!$M$98)</f>
        <v>0.89873417721518989</v>
      </c>
      <c r="Q151" s="949"/>
      <c r="V151" s="1483"/>
      <c r="W151" s="1484"/>
    </row>
    <row r="152" spans="1:23" s="386" customFormat="1" ht="13.9" customHeight="1">
      <c r="B152" s="386" t="s">
        <v>2759</v>
      </c>
      <c r="J152" s="946">
        <f>J150*J151</f>
        <v>12123069.893670887</v>
      </c>
      <c r="K152" s="947"/>
      <c r="M152" s="946">
        <f>M150*M151</f>
        <v>0</v>
      </c>
      <c r="N152" s="947"/>
      <c r="P152" s="946">
        <f>P150*P151</f>
        <v>0</v>
      </c>
      <c r="Q152" s="947"/>
      <c r="V152" s="1483"/>
      <c r="W152" s="1484"/>
    </row>
    <row r="153" spans="1:23" s="386" customFormat="1" ht="13.9" customHeight="1">
      <c r="B153" s="386" t="s">
        <v>2760</v>
      </c>
      <c r="J153" s="1490">
        <v>7.4099999999999999E-2</v>
      </c>
      <c r="K153" s="1491"/>
      <c r="M153" s="1490"/>
      <c r="N153" s="1491"/>
      <c r="P153" s="1490">
        <v>7.4099999999999999E-2</v>
      </c>
      <c r="Q153" s="1491"/>
      <c r="V153" s="1483"/>
      <c r="W153" s="1484"/>
    </row>
    <row r="154" spans="1:23" s="386" customFormat="1" ht="13.9" customHeight="1" thickBot="1">
      <c r="B154" s="386" t="s">
        <v>3340</v>
      </c>
      <c r="J154" s="996">
        <f>J152*J153</f>
        <v>898319.47912101273</v>
      </c>
      <c r="K154" s="997"/>
      <c r="M154" s="996">
        <f>M152*M153</f>
        <v>0</v>
      </c>
      <c r="N154" s="997"/>
      <c r="P154" s="996">
        <f>P152*P153</f>
        <v>0</v>
      </c>
      <c r="Q154" s="997"/>
      <c r="V154" s="1483"/>
      <c r="W154" s="1484"/>
    </row>
    <row r="155" spans="1:23" s="386" customFormat="1" ht="13.9" customHeight="1" thickBot="1">
      <c r="B155" s="389" t="s">
        <v>1867</v>
      </c>
      <c r="J155" s="894">
        <f>J154+M154+P154</f>
        <v>898319.47912101273</v>
      </c>
      <c r="K155" s="988"/>
      <c r="L155" s="988"/>
      <c r="M155" s="988"/>
      <c r="N155" s="988"/>
      <c r="O155" s="988"/>
      <c r="P155" s="988"/>
      <c r="Q155" s="895"/>
      <c r="V155" s="1486"/>
      <c r="W155" s="1487"/>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3928</v>
      </c>
      <c r="G159" s="983" t="str">
        <f>IF(J160&gt;J159,"TDC exceeds QAP PUCL!","")</f>
        <v/>
      </c>
      <c r="H159" s="983"/>
      <c r="I159" s="984"/>
      <c r="J159" s="985">
        <f>'Part VIII-Threshold Criteria'!$P$48</f>
        <v>12967968</v>
      </c>
      <c r="K159" s="986"/>
      <c r="L159" s="987"/>
      <c r="M159" s="973" t="s">
        <v>3770</v>
      </c>
      <c r="N159" s="974"/>
      <c r="O159" s="974"/>
      <c r="P159" s="974"/>
      <c r="Q159" s="974"/>
      <c r="R159" s="975"/>
      <c r="S159" s="979" t="s">
        <v>3669</v>
      </c>
      <c r="T159" s="980"/>
      <c r="V159" s="1481"/>
      <c r="W159" s="1482"/>
    </row>
    <row r="160" spans="1:23" s="386" customFormat="1" ht="13.9" customHeight="1">
      <c r="B160" s="386" t="s">
        <v>3772</v>
      </c>
      <c r="J160" s="1492">
        <v>11360222</v>
      </c>
      <c r="K160" s="1493"/>
      <c r="L160" s="1494"/>
      <c r="M160" s="976"/>
      <c r="N160" s="977"/>
      <c r="O160" s="977"/>
      <c r="P160" s="977"/>
      <c r="Q160" s="977"/>
      <c r="R160" s="978"/>
      <c r="S160" s="981"/>
      <c r="T160" s="982"/>
      <c r="V160" s="1483"/>
      <c r="W160" s="1484"/>
    </row>
    <row r="161" spans="1:23" s="386" customFormat="1" ht="13.9" customHeight="1">
      <c r="B161" s="386" t="s">
        <v>289</v>
      </c>
      <c r="J161" s="946">
        <f>'Part III-Sources of Funds'!$H$49-'Part III-Sources of Funds'!H36-'Part III-Sources of Funds'!$H$37-'Part III-Sources of Funds'!$H$40-'Part III-Sources of Funds'!$H$41</f>
        <v>1865000</v>
      </c>
      <c r="K161" s="950"/>
      <c r="L161" s="989"/>
      <c r="M161" s="976"/>
      <c r="N161" s="977"/>
      <c r="O161" s="977"/>
      <c r="P161" s="977"/>
      <c r="Q161" s="977"/>
      <c r="R161" s="978"/>
      <c r="S161" s="981"/>
      <c r="T161" s="982"/>
      <c r="V161" s="1483"/>
      <c r="W161" s="1484"/>
    </row>
    <row r="162" spans="1:23" s="386" customFormat="1" ht="13.9" customHeight="1" thickBot="1">
      <c r="B162" s="386" t="s">
        <v>2957</v>
      </c>
      <c r="J162" s="946">
        <f>+J160-J161</f>
        <v>9495222</v>
      </c>
      <c r="K162" s="950"/>
      <c r="L162" s="989"/>
      <c r="M162" s="1004" t="s">
        <v>3771</v>
      </c>
      <c r="N162" s="1005"/>
      <c r="O162" s="990">
        <f>'Part III-Sources of Funds'!H36</f>
        <v>0</v>
      </c>
      <c r="P162" s="990"/>
      <c r="Q162" s="990"/>
      <c r="R162" s="991"/>
      <c r="S162" s="540" t="s">
        <v>2342</v>
      </c>
      <c r="T162" s="1495" t="s">
        <v>4103</v>
      </c>
      <c r="V162" s="1483"/>
      <c r="W162" s="1484"/>
    </row>
    <row r="163" spans="1:23" s="386" customFormat="1" ht="13.9" customHeight="1">
      <c r="B163" s="386" t="s">
        <v>1720</v>
      </c>
      <c r="J163" s="1003" t="str">
        <f>"/ 10"</f>
        <v>/ 10</v>
      </c>
      <c r="K163" s="1003"/>
      <c r="L163" s="1003"/>
      <c r="M163" s="786"/>
      <c r="N163" s="668"/>
      <c r="O163" s="668"/>
      <c r="P163" s="668"/>
      <c r="Q163" s="668"/>
      <c r="R163" s="668"/>
      <c r="V163" s="1483"/>
      <c r="W163" s="1484"/>
    </row>
    <row r="164" spans="1:23" s="386" customFormat="1" ht="13.9" customHeight="1">
      <c r="B164" s="386" t="s">
        <v>1721</v>
      </c>
      <c r="J164" s="946">
        <f>J162/10</f>
        <v>949522.2</v>
      </c>
      <c r="K164" s="950"/>
      <c r="L164" s="947"/>
      <c r="M164" s="406"/>
      <c r="N164" s="828" t="s">
        <v>1722</v>
      </c>
      <c r="O164" s="828"/>
      <c r="Q164" s="828" t="s">
        <v>2495</v>
      </c>
      <c r="R164" s="828"/>
      <c r="V164" s="1483"/>
      <c r="W164" s="1484"/>
    </row>
    <row r="165" spans="1:23" s="386" customFormat="1" ht="13.9" customHeight="1" thickBot="1">
      <c r="B165" s="386" t="s">
        <v>1936</v>
      </c>
      <c r="J165" s="992">
        <f>N165+Q165</f>
        <v>1.0565</v>
      </c>
      <c r="K165" s="993"/>
      <c r="L165" s="994"/>
      <c r="M165" s="778" t="s">
        <v>1723</v>
      </c>
      <c r="N165" s="1496">
        <v>0.80649999999999999</v>
      </c>
      <c r="O165" s="1497"/>
      <c r="P165" s="778" t="s">
        <v>792</v>
      </c>
      <c r="Q165" s="1496">
        <v>0.25</v>
      </c>
      <c r="R165" s="1497"/>
      <c r="V165" s="1483"/>
      <c r="W165" s="1484"/>
    </row>
    <row r="166" spans="1:23" s="386" customFormat="1" ht="13.9" customHeight="1" thickBot="1">
      <c r="B166" s="389" t="s">
        <v>1868</v>
      </c>
      <c r="J166" s="894">
        <f>IF(J165=0,"",J164/J165)</f>
        <v>898743.20870799804</v>
      </c>
      <c r="K166" s="988"/>
      <c r="L166" s="895"/>
      <c r="M166" s="406"/>
      <c r="N166" s="786"/>
      <c r="O166" s="786"/>
      <c r="V166" s="1483"/>
      <c r="W166" s="1484"/>
    </row>
    <row r="167" spans="1:23" s="386" customFormat="1" ht="6" customHeight="1">
      <c r="J167" s="470"/>
      <c r="K167" s="470"/>
      <c r="L167" s="470"/>
      <c r="M167" s="406"/>
      <c r="N167" s="789"/>
      <c r="O167" s="789"/>
      <c r="V167" s="1483"/>
      <c r="W167" s="1484"/>
    </row>
    <row r="168" spans="1:23" s="386" customFormat="1" ht="16.149999999999999" customHeight="1">
      <c r="B168" s="389" t="s">
        <v>381</v>
      </c>
      <c r="J168" s="970">
        <f>+MIN(J155,J166,'DCA Underwriting Assumptions'!$R$6)</f>
        <v>898319.47912101273</v>
      </c>
      <c r="K168" s="971"/>
      <c r="L168" s="972"/>
      <c r="M168" s="406"/>
      <c r="N168" s="789"/>
      <c r="O168" s="789"/>
      <c r="V168" s="1483"/>
      <c r="W168" s="1484"/>
    </row>
    <row r="169" spans="1:23" s="386" customFormat="1" ht="3" customHeight="1">
      <c r="J169" s="470"/>
      <c r="K169" s="470"/>
      <c r="L169" s="470"/>
      <c r="M169" s="406"/>
      <c r="N169" s="789"/>
      <c r="O169" s="789"/>
      <c r="V169" s="1483"/>
      <c r="W169" s="1484"/>
    </row>
    <row r="170" spans="1:23" s="386" customFormat="1" ht="16.149999999999999" customHeight="1">
      <c r="B170" s="389" t="s">
        <v>382</v>
      </c>
      <c r="J170" s="1498">
        <v>898319</v>
      </c>
      <c r="K170" s="1499"/>
      <c r="L170" s="1500"/>
      <c r="M170" s="471" t="str">
        <f>IF(J168=0,"",IF(J170&gt;J168,"ALLOCATION CANNOT EXCEED MAXIMUM - REVISE REQUEST!",""))</f>
        <v/>
      </c>
      <c r="N170" s="789"/>
      <c r="O170" s="789"/>
      <c r="V170" s="1483"/>
      <c r="W170" s="1484"/>
    </row>
    <row r="171" spans="1:23" s="386" customFormat="1" ht="3" customHeight="1">
      <c r="J171" s="470"/>
      <c r="K171" s="470"/>
      <c r="L171" s="470"/>
      <c r="M171" s="406"/>
      <c r="N171" s="789"/>
      <c r="O171" s="789"/>
      <c r="V171" s="1483"/>
      <c r="W171" s="1484"/>
    </row>
    <row r="172" spans="1:23" s="386" customFormat="1" ht="16.149999999999999" customHeight="1">
      <c r="A172" s="567" t="s">
        <v>2488</v>
      </c>
      <c r="B172" s="567" t="s">
        <v>3420</v>
      </c>
      <c r="D172" s="406"/>
      <c r="E172" s="406"/>
      <c r="F172" s="392"/>
      <c r="J172" s="970">
        <f>IF(J170="",0,+MIN(J168,J170))</f>
        <v>898319</v>
      </c>
      <c r="K172" s="971"/>
      <c r="L172" s="972"/>
      <c r="N172" s="1501"/>
      <c r="O172" s="1501"/>
      <c r="P172" s="1501"/>
      <c r="Q172" s="1501"/>
      <c r="R172" s="1501"/>
      <c r="S172" s="1501"/>
      <c r="T172" s="1501"/>
      <c r="V172" s="1486"/>
      <c r="W172" s="1487"/>
    </row>
    <row r="173" spans="1:23" ht="3" customHeight="1"/>
    <row r="174" spans="1:23" ht="6" customHeight="1"/>
    <row r="175" spans="1:23" ht="12" customHeight="1">
      <c r="A175" s="389" t="s">
        <v>2490</v>
      </c>
      <c r="B175" s="415" t="s">
        <v>744</v>
      </c>
      <c r="K175" s="389" t="s">
        <v>697</v>
      </c>
      <c r="L175" s="389" t="s">
        <v>83</v>
      </c>
    </row>
    <row r="176" spans="1:23" ht="201" customHeight="1">
      <c r="A176" s="1502" t="s">
        <v>4187</v>
      </c>
      <c r="B176" s="1503"/>
      <c r="C176" s="1503"/>
      <c r="D176" s="1503"/>
      <c r="E176" s="1503"/>
      <c r="F176" s="1503"/>
      <c r="G176" s="1503"/>
      <c r="H176" s="1503"/>
      <c r="I176" s="1503"/>
      <c r="J176" s="1504"/>
      <c r="K176" s="1505"/>
      <c r="L176" s="1503"/>
      <c r="M176" s="1503"/>
      <c r="N176" s="1503"/>
      <c r="O176" s="1503"/>
      <c r="P176" s="1503"/>
      <c r="Q176" s="1503"/>
      <c r="R176" s="1503"/>
      <c r="S176" s="1503"/>
      <c r="T176" s="1504"/>
      <c r="V176" s="914" t="s">
        <v>3596</v>
      </c>
      <c r="W176" s="914"/>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V146:W155"/>
    <mergeCell ref="V137:W143"/>
    <mergeCell ref="V125:W129"/>
    <mergeCell ref="V117:W123"/>
    <mergeCell ref="V112:W115"/>
    <mergeCell ref="V106:W110"/>
    <mergeCell ref="V95:W104"/>
    <mergeCell ref="V84:W90"/>
    <mergeCell ref="V93:W9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M34:N34 P34:Q34 J34:K36">
    <cfRule type="cellIs" dxfId="8" priority="3" operator="greaterThan">
      <formula>$G$34</formula>
    </cfRule>
  </conditionalFormatting>
  <conditionalFormatting sqref="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6" t="str">
        <f>CONCATENATE("PART FIVE - UTILITY ALLOWANCES","  -  ",'Part I-Project Information'!$O$4," ",'Part I-Project Information'!$F$23,", ",'Part I-Project Information'!F26,", ",'Part I-Project Information'!J27," County")</f>
        <v>PART FIVE - UTILITY ALLOWANCES  -  2013-001 Forest Mill Apartments, West Point, Troup County</v>
      </c>
      <c r="B1" s="1007"/>
      <c r="C1" s="1007"/>
      <c r="D1" s="1007"/>
      <c r="E1" s="1007"/>
      <c r="F1" s="1007"/>
      <c r="G1" s="1007"/>
      <c r="H1" s="1007"/>
      <c r="I1" s="1007"/>
      <c r="J1" s="1007"/>
      <c r="K1" s="1007"/>
      <c r="L1" s="1007"/>
      <c r="M1" s="1007"/>
      <c r="N1" s="11"/>
      <c r="O1" s="11"/>
      <c r="P1" s="11"/>
      <c r="Q1" s="11"/>
      <c r="R1" s="19"/>
      <c r="S1" s="19"/>
      <c r="T1" s="19"/>
    </row>
    <row r="2" spans="1:20" s="9" customFormat="1"/>
    <row r="3" spans="1:20" s="9" customFormat="1">
      <c r="F3" s="5" t="s">
        <v>682</v>
      </c>
      <c r="I3" s="810" t="str">
        <f>VLOOKUP('Part I-Project Information'!$J$27,'Part I-Project Information'!$C$177:$D$336,2)</f>
        <v>Middle</v>
      </c>
    </row>
    <row r="4" spans="1:20" s="9" customFormat="1"/>
    <row r="5" spans="1:20" s="9" customFormat="1">
      <c r="A5" s="16" t="s">
        <v>796</v>
      </c>
      <c r="B5" s="16" t="s">
        <v>2952</v>
      </c>
      <c r="F5" s="9" t="s">
        <v>3306</v>
      </c>
      <c r="I5" s="1506" t="s">
        <v>4110</v>
      </c>
      <c r="J5" s="1507"/>
      <c r="K5" s="1507"/>
      <c r="L5" s="1507"/>
      <c r="M5" s="1508"/>
    </row>
    <row r="6" spans="1:20" s="9" customFormat="1" ht="13.15" customHeight="1">
      <c r="A6" s="16"/>
      <c r="F6" s="9" t="s">
        <v>816</v>
      </c>
      <c r="H6" s="31"/>
      <c r="I6" s="1509">
        <v>41426</v>
      </c>
      <c r="J6" s="1510"/>
      <c r="K6" s="73" t="s">
        <v>707</v>
      </c>
      <c r="L6" s="1511" t="s">
        <v>4113</v>
      </c>
      <c r="M6" s="1508"/>
    </row>
    <row r="7" spans="1:20" s="9" customFormat="1" ht="6" customHeight="1">
      <c r="A7" s="16"/>
    </row>
    <row r="8" spans="1:20" s="16" customFormat="1">
      <c r="B8" s="307"/>
      <c r="C8" s="307"/>
      <c r="D8" s="307"/>
      <c r="E8" s="307"/>
      <c r="F8" s="1009" t="s">
        <v>789</v>
      </c>
      <c r="G8" s="1009"/>
      <c r="I8" s="1008" t="s">
        <v>218</v>
      </c>
      <c r="J8" s="1008"/>
      <c r="K8" s="1008"/>
      <c r="L8" s="1008"/>
      <c r="M8" s="1008"/>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512" t="s">
        <v>2060</v>
      </c>
      <c r="E10" s="1513"/>
      <c r="F10" s="1514" t="s">
        <v>566</v>
      </c>
      <c r="G10" s="1514"/>
      <c r="H10" s="312"/>
      <c r="I10" s="1515"/>
      <c r="J10" s="1515">
        <v>7</v>
      </c>
      <c r="K10" s="1515">
        <v>9</v>
      </c>
      <c r="L10" s="1515">
        <v>14</v>
      </c>
      <c r="M10" s="1515"/>
    </row>
    <row r="11" spans="1:20" s="9" customFormat="1">
      <c r="B11" s="313" t="s">
        <v>596</v>
      </c>
      <c r="C11" s="314"/>
      <c r="D11" s="313" t="s">
        <v>2060</v>
      </c>
      <c r="E11" s="314"/>
      <c r="F11" s="1516" t="s">
        <v>566</v>
      </c>
      <c r="G11" s="1516"/>
      <c r="H11" s="315"/>
      <c r="I11" s="1517"/>
      <c r="J11" s="1517">
        <v>33</v>
      </c>
      <c r="K11" s="1517">
        <v>42</v>
      </c>
      <c r="L11" s="1518">
        <v>51</v>
      </c>
      <c r="M11" s="1518"/>
    </row>
    <row r="12" spans="1:20" s="9" customFormat="1">
      <c r="B12" s="313" t="s">
        <v>2061</v>
      </c>
      <c r="C12" s="314"/>
      <c r="D12" s="1519" t="s">
        <v>2060</v>
      </c>
      <c r="E12" s="1520"/>
      <c r="F12" s="1516" t="s">
        <v>566</v>
      </c>
      <c r="G12" s="1516"/>
      <c r="H12" s="315"/>
      <c r="I12" s="1517"/>
      <c r="J12" s="1517">
        <v>9</v>
      </c>
      <c r="K12" s="1517">
        <v>12</v>
      </c>
      <c r="L12" s="1518">
        <v>15</v>
      </c>
      <c r="M12" s="1518"/>
    </row>
    <row r="13" spans="1:20" s="9" customFormat="1">
      <c r="B13" s="313" t="s">
        <v>2062</v>
      </c>
      <c r="C13" s="314"/>
      <c r="D13" s="1519" t="s">
        <v>2060</v>
      </c>
      <c r="E13" s="1520"/>
      <c r="F13" s="1516" t="s">
        <v>566</v>
      </c>
      <c r="G13" s="1516"/>
      <c r="H13" s="315"/>
      <c r="I13" s="1517"/>
      <c r="J13" s="1517">
        <v>29</v>
      </c>
      <c r="K13" s="1517">
        <v>37</v>
      </c>
      <c r="L13" s="1518">
        <v>45</v>
      </c>
      <c r="M13" s="1518"/>
    </row>
    <row r="14" spans="1:20" s="9" customFormat="1">
      <c r="B14" s="313" t="s">
        <v>2063</v>
      </c>
      <c r="C14" s="314"/>
      <c r="D14" s="313" t="s">
        <v>2060</v>
      </c>
      <c r="E14" s="316"/>
      <c r="F14" s="1516" t="s">
        <v>566</v>
      </c>
      <c r="G14" s="1516"/>
      <c r="H14" s="315"/>
      <c r="I14" s="1517"/>
      <c r="J14" s="1517">
        <v>27</v>
      </c>
      <c r="K14" s="1517">
        <v>34</v>
      </c>
      <c r="L14" s="1518">
        <v>42</v>
      </c>
      <c r="M14" s="1518"/>
    </row>
    <row r="15" spans="1:20" s="9" customFormat="1">
      <c r="B15" s="313" t="s">
        <v>1805</v>
      </c>
      <c r="C15" s="314"/>
      <c r="D15" s="313" t="s">
        <v>2951</v>
      </c>
      <c r="E15" s="1521" t="s">
        <v>4103</v>
      </c>
      <c r="F15" s="1516" t="s">
        <v>566</v>
      </c>
      <c r="G15" s="1516"/>
      <c r="H15" s="315"/>
      <c r="I15" s="1517"/>
      <c r="J15" s="1517">
        <v>59</v>
      </c>
      <c r="K15" s="1517">
        <v>74</v>
      </c>
      <c r="L15" s="1518">
        <v>92</v>
      </c>
      <c r="M15" s="1518"/>
    </row>
    <row r="16" spans="1:20" s="9" customFormat="1">
      <c r="B16" s="317" t="s">
        <v>2555</v>
      </c>
      <c r="C16" s="318"/>
      <c r="D16" s="317"/>
      <c r="E16" s="284"/>
      <c r="F16" s="1522"/>
      <c r="G16" s="1522" t="s">
        <v>566</v>
      </c>
      <c r="H16" s="319"/>
      <c r="I16" s="1523"/>
      <c r="J16" s="1523"/>
      <c r="K16" s="1523"/>
      <c r="L16" s="1524"/>
      <c r="M16" s="1524"/>
    </row>
    <row r="17" spans="1:19" s="9" customFormat="1">
      <c r="B17" s="307" t="s">
        <v>1423</v>
      </c>
      <c r="D17" s="31"/>
      <c r="E17" s="31"/>
      <c r="F17" s="97"/>
      <c r="G17" s="97"/>
      <c r="I17" s="800">
        <f>SUM(I10:I16)</f>
        <v>0</v>
      </c>
      <c r="J17" s="800">
        <f>SUM(J10:J16)</f>
        <v>164</v>
      </c>
      <c r="K17" s="800">
        <f>SUM(K10:K16)</f>
        <v>208</v>
      </c>
      <c r="L17" s="800">
        <f>SUM(L10:L16)</f>
        <v>259</v>
      </c>
      <c r="M17" s="800">
        <f>SUM(M10:M16)</f>
        <v>0</v>
      </c>
    </row>
    <row r="18" spans="1:19" s="9" customFormat="1" ht="11.25" customHeight="1">
      <c r="M18" s="31"/>
      <c r="N18" s="31"/>
      <c r="O18" s="31"/>
      <c r="P18" s="31"/>
      <c r="Q18" s="31"/>
      <c r="R18" s="31"/>
      <c r="S18" s="31"/>
    </row>
    <row r="19" spans="1:19" s="9" customFormat="1">
      <c r="A19" s="16" t="s">
        <v>1045</v>
      </c>
      <c r="B19" s="16" t="s">
        <v>2953</v>
      </c>
      <c r="F19" s="9" t="s">
        <v>3306</v>
      </c>
      <c r="I19" s="1511"/>
      <c r="J19" s="1507"/>
      <c r="K19" s="1507"/>
      <c r="L19" s="1507"/>
      <c r="M19" s="1508"/>
    </row>
    <row r="20" spans="1:19" s="9" customFormat="1" ht="13.15" customHeight="1">
      <c r="A20" s="16"/>
      <c r="B20" s="16"/>
      <c r="F20" s="9" t="s">
        <v>816</v>
      </c>
      <c r="H20" s="31"/>
      <c r="I20" s="1509"/>
      <c r="J20" s="1510"/>
      <c r="K20" s="73" t="s">
        <v>707</v>
      </c>
      <c r="L20" s="1511"/>
      <c r="M20" s="1508"/>
    </row>
    <row r="21" spans="1:19" s="9" customFormat="1" ht="6" customHeight="1">
      <c r="A21" s="16"/>
    </row>
    <row r="22" spans="1:19" s="16" customFormat="1">
      <c r="B22" s="307"/>
      <c r="C22" s="307"/>
      <c r="D22" s="307"/>
      <c r="E22" s="307"/>
      <c r="F22" s="1009" t="s">
        <v>789</v>
      </c>
      <c r="G22" s="1009"/>
      <c r="I22" s="1008" t="s">
        <v>218</v>
      </c>
      <c r="J22" s="1008"/>
      <c r="K22" s="1008"/>
      <c r="L22" s="1008"/>
      <c r="M22" s="1008"/>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512" t="s">
        <v>2519</v>
      </c>
      <c r="E24" s="1513"/>
      <c r="F24" s="1514"/>
      <c r="G24" s="1514"/>
      <c r="H24" s="312"/>
      <c r="I24" s="1515"/>
      <c r="J24" s="1515"/>
      <c r="K24" s="1515"/>
      <c r="L24" s="1515"/>
      <c r="M24" s="1515"/>
    </row>
    <row r="25" spans="1:19" s="9" customFormat="1">
      <c r="B25" s="313" t="s">
        <v>596</v>
      </c>
      <c r="C25" s="314"/>
      <c r="D25" s="313" t="s">
        <v>2060</v>
      </c>
      <c r="E25" s="314"/>
      <c r="F25" s="1516"/>
      <c r="G25" s="1516"/>
      <c r="H25" s="315"/>
      <c r="I25" s="1517"/>
      <c r="J25" s="1517"/>
      <c r="K25" s="1517"/>
      <c r="L25" s="1518"/>
      <c r="M25" s="1518"/>
    </row>
    <row r="26" spans="1:19" s="9" customFormat="1">
      <c r="B26" s="313" t="s">
        <v>2061</v>
      </c>
      <c r="C26" s="314"/>
      <c r="D26" s="1519" t="s">
        <v>2519</v>
      </c>
      <c r="E26" s="1520"/>
      <c r="F26" s="1516"/>
      <c r="G26" s="1516"/>
      <c r="H26" s="315"/>
      <c r="I26" s="1517"/>
      <c r="J26" s="1517"/>
      <c r="K26" s="1517"/>
      <c r="L26" s="1518"/>
      <c r="M26" s="1518"/>
    </row>
    <row r="27" spans="1:19" s="9" customFormat="1">
      <c r="B27" s="313" t="s">
        <v>2062</v>
      </c>
      <c r="C27" s="314"/>
      <c r="D27" s="1519" t="s">
        <v>2519</v>
      </c>
      <c r="E27" s="1520"/>
      <c r="F27" s="1516"/>
      <c r="G27" s="1516"/>
      <c r="H27" s="315"/>
      <c r="I27" s="1517"/>
      <c r="J27" s="1517"/>
      <c r="K27" s="1517"/>
      <c r="L27" s="1518"/>
      <c r="M27" s="1518"/>
    </row>
    <row r="28" spans="1:19" s="9" customFormat="1">
      <c r="B28" s="313" t="s">
        <v>2063</v>
      </c>
      <c r="C28" s="314"/>
      <c r="D28" s="313" t="s">
        <v>2060</v>
      </c>
      <c r="E28" s="316"/>
      <c r="F28" s="1516"/>
      <c r="G28" s="1516"/>
      <c r="H28" s="315"/>
      <c r="I28" s="1517"/>
      <c r="J28" s="1517"/>
      <c r="K28" s="1517"/>
      <c r="L28" s="1518"/>
      <c r="M28" s="1518"/>
    </row>
    <row r="29" spans="1:19" s="9" customFormat="1">
      <c r="B29" s="313" t="s">
        <v>1805</v>
      </c>
      <c r="C29" s="314"/>
      <c r="D29" s="313" t="s">
        <v>2951</v>
      </c>
      <c r="E29" s="1521" t="s">
        <v>219</v>
      </c>
      <c r="F29" s="1516"/>
      <c r="G29" s="1516"/>
      <c r="H29" s="315"/>
      <c r="I29" s="1517"/>
      <c r="J29" s="1517"/>
      <c r="K29" s="1517"/>
      <c r="L29" s="1518"/>
      <c r="M29" s="1518"/>
    </row>
    <row r="30" spans="1:19" s="9" customFormat="1">
      <c r="B30" s="317" t="s">
        <v>2555</v>
      </c>
      <c r="C30" s="318"/>
      <c r="D30" s="317"/>
      <c r="E30" s="284"/>
      <c r="F30" s="1522"/>
      <c r="G30" s="1522"/>
      <c r="H30" s="319"/>
      <c r="I30" s="1523"/>
      <c r="J30" s="1523"/>
      <c r="K30" s="1523"/>
      <c r="L30" s="1524"/>
      <c r="M30" s="1524"/>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5" t="s">
        <v>4192</v>
      </c>
      <c r="C36" s="1526"/>
      <c r="D36" s="1526"/>
      <c r="E36" s="1526"/>
      <c r="F36" s="1526"/>
      <c r="G36" s="1526"/>
      <c r="H36" s="1526"/>
      <c r="I36" s="1526"/>
      <c r="J36" s="1526"/>
      <c r="K36" s="1526"/>
      <c r="L36" s="1526"/>
      <c r="M36" s="1527"/>
      <c r="N36" s="31"/>
      <c r="O36" s="816" t="s">
        <v>3596</v>
      </c>
      <c r="P36" s="816"/>
      <c r="Q36" s="816"/>
      <c r="R36" s="816"/>
      <c r="S36" s="816"/>
    </row>
    <row r="37" spans="1:19" s="9" customFormat="1" ht="3" customHeight="1">
      <c r="M37" s="31"/>
      <c r="N37" s="31"/>
      <c r="O37" s="816"/>
      <c r="P37" s="816"/>
      <c r="Q37" s="816"/>
      <c r="R37" s="816"/>
      <c r="S37" s="816"/>
    </row>
    <row r="38" spans="1:19" s="9" customFormat="1" ht="12" customHeight="1">
      <c r="A38" s="16"/>
      <c r="B38" s="16" t="s">
        <v>2549</v>
      </c>
      <c r="M38" s="31"/>
      <c r="N38" s="31"/>
      <c r="O38" s="816"/>
      <c r="P38" s="816"/>
      <c r="Q38" s="816"/>
      <c r="R38" s="816"/>
      <c r="S38" s="816"/>
    </row>
    <row r="39" spans="1:19" s="9" customFormat="1" ht="24.75" customHeight="1">
      <c r="B39" s="1528"/>
      <c r="C39" s="1529"/>
      <c r="D39" s="1529"/>
      <c r="E39" s="1529"/>
      <c r="F39" s="1529"/>
      <c r="G39" s="1529"/>
      <c r="H39" s="1529"/>
      <c r="I39" s="1529"/>
      <c r="J39" s="1529"/>
      <c r="K39" s="1529"/>
      <c r="L39" s="1529"/>
      <c r="M39" s="1530"/>
      <c r="N39" s="31"/>
      <c r="O39" s="816"/>
      <c r="P39" s="816"/>
      <c r="Q39" s="816"/>
      <c r="R39" s="816"/>
      <c r="S39" s="816"/>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2013-06-09T18:05:30Z</cp:lastPrinted>
  <dcterms:created xsi:type="dcterms:W3CDTF">2005-09-15T20:51:37Z</dcterms:created>
  <dcterms:modified xsi:type="dcterms:W3CDTF">2013-09-26T18:34:54Z</dcterms:modified>
</cp:coreProperties>
</file>