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735" yWindow="255" windowWidth="19440" windowHeight="529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F153" i="36"/>
  <c r="BK11"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100" i="8" l="1"/>
  <c r="P218" i="11"/>
  <c r="C40" i="8"/>
  <c r="C70"/>
  <c r="O273" i="11"/>
  <c r="P273"/>
  <c r="D40" i="8" l="1"/>
  <c r="D100"/>
  <c r="D70"/>
  <c r="M291" i="11"/>
  <c r="M6" s="1"/>
  <c r="L277"/>
  <c r="A265"/>
  <c r="P246"/>
  <c r="O246"/>
  <c r="L233"/>
  <c r="K221"/>
  <c r="O218" l="1"/>
  <c r="O242"/>
  <c r="P242"/>
  <c r="E70" i="8"/>
  <c r="E100"/>
  <c r="E40"/>
  <c r="O264" i="11"/>
  <c r="P264"/>
  <c r="L211"/>
  <c r="F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70" i="8" l="1"/>
  <c r="G100"/>
  <c r="G40"/>
  <c r="K83"/>
  <c r="B23"/>
  <c r="B53"/>
  <c r="D53"/>
  <c r="F53"/>
  <c r="H53"/>
  <c r="J53"/>
  <c r="B83"/>
  <c r="D83"/>
  <c r="F83"/>
  <c r="H83"/>
  <c r="J83"/>
  <c r="C23"/>
  <c r="C53"/>
  <c r="E53"/>
  <c r="G53"/>
  <c r="I53"/>
  <c r="K53"/>
  <c r="C83"/>
  <c r="E83"/>
  <c r="G83"/>
  <c r="I83"/>
  <c r="Q19" i="36"/>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K48"/>
  <c r="H59" s="1"/>
  <c r="Y48"/>
  <c r="K56" s="1"/>
  <c r="W48"/>
  <c r="I56" s="1"/>
  <c r="L26" i="3" l="1"/>
  <c r="L27" s="1"/>
  <c r="C109" i="15"/>
  <c r="CV48" i="36"/>
  <c r="CT48"/>
  <c r="CS48"/>
  <c r="AM48"/>
  <c r="J59" s="1"/>
  <c r="Z48"/>
  <c r="L56" s="1"/>
  <c r="X48"/>
  <c r="J56" s="1"/>
  <c r="V48"/>
  <c r="H56" s="1"/>
  <c r="M56" s="1"/>
  <c r="AU48"/>
  <c r="H65" s="1"/>
  <c r="AW48"/>
  <c r="J65" s="1"/>
  <c r="AY48"/>
  <c r="L65" s="1"/>
  <c r="BA48"/>
  <c r="I64" s="1"/>
  <c r="BC48"/>
  <c r="K64" s="1"/>
  <c r="FT48"/>
  <c r="L90" s="1"/>
  <c r="AQ48"/>
  <c r="AX48"/>
  <c r="K65" s="1"/>
  <c r="GS48"/>
  <c r="BD48"/>
  <c r="L64" s="1"/>
  <c r="AZ48"/>
  <c r="H64" s="1"/>
  <c r="H66" s="1"/>
  <c r="BB48"/>
  <c r="J64" s="1"/>
  <c r="J66" s="1"/>
  <c r="AV48"/>
  <c r="I65" s="1"/>
  <c r="K29" i="8"/>
  <c r="G29"/>
  <c r="I29"/>
  <c r="E29"/>
  <c r="J29"/>
  <c r="H29"/>
  <c r="F29"/>
  <c r="D29"/>
  <c r="B36"/>
  <c r="FY48" i="36"/>
  <c r="L85" s="1"/>
  <c r="FW48"/>
  <c r="J85" s="1"/>
  <c r="FH48"/>
  <c r="J92" s="1"/>
  <c r="FP48"/>
  <c r="H90" s="1"/>
  <c r="EX48"/>
  <c r="J17" i="8"/>
  <c r="G17"/>
  <c r="E17"/>
  <c r="C17"/>
  <c r="GH48" i="36"/>
  <c r="K87" s="1"/>
  <c r="GF48"/>
  <c r="I87" s="1"/>
  <c r="CU48"/>
  <c r="CW48"/>
  <c r="HF48"/>
  <c r="GO48"/>
  <c r="G85" i="8"/>
  <c r="I55"/>
  <c r="E55"/>
  <c r="K25"/>
  <c r="E25"/>
  <c r="J85"/>
  <c r="H85"/>
  <c r="F85"/>
  <c r="D85"/>
  <c r="B85"/>
  <c r="J55"/>
  <c r="H55"/>
  <c r="F55"/>
  <c r="D55"/>
  <c r="B55"/>
  <c r="J25"/>
  <c r="H25"/>
  <c r="F25"/>
  <c r="D25"/>
  <c r="B25"/>
  <c r="K85"/>
  <c r="I85"/>
  <c r="E85"/>
  <c r="C85"/>
  <c r="K55"/>
  <c r="G55"/>
  <c r="C55"/>
  <c r="I25"/>
  <c r="G25"/>
  <c r="C25"/>
  <c r="BG48" i="36"/>
  <c r="BY48"/>
  <c r="H94" s="1"/>
  <c r="AN48"/>
  <c r="K59" s="1"/>
  <c r="AL48"/>
  <c r="I59" s="1"/>
  <c r="AE48"/>
  <c r="L57" s="1"/>
  <c r="AD48"/>
  <c r="K57" s="1"/>
  <c r="K58" s="1"/>
  <c r="AC48"/>
  <c r="J57" s="1"/>
  <c r="J58" s="1"/>
  <c r="J60" s="1"/>
  <c r="AB48"/>
  <c r="I57" s="1"/>
  <c r="AA48"/>
  <c r="H57" s="1"/>
  <c r="F108" i="15"/>
  <c r="L254" i="11"/>
  <c r="M123" i="15"/>
  <c r="M140" s="1"/>
  <c r="M142" s="1"/>
  <c r="M144" s="1"/>
  <c r="J154"/>
  <c r="J155" s="1"/>
  <c r="J157" s="1"/>
  <c r="J159" s="1"/>
  <c r="FN48" i="36"/>
  <c r="K91" s="1"/>
  <c r="FB48"/>
  <c r="I89" s="1"/>
  <c r="K17" i="8"/>
  <c r="I17"/>
  <c r="H17"/>
  <c r="F17"/>
  <c r="D17"/>
  <c r="B17"/>
  <c r="B18"/>
  <c r="K18"/>
  <c r="J18"/>
  <c r="I18"/>
  <c r="H18"/>
  <c r="G18"/>
  <c r="F18"/>
  <c r="E18"/>
  <c r="D18"/>
  <c r="C18"/>
  <c r="GZ48" i="36"/>
  <c r="HL48"/>
  <c r="K84" i="8"/>
  <c r="E84"/>
  <c r="K54"/>
  <c r="G54"/>
  <c r="K24"/>
  <c r="G24"/>
  <c r="J84"/>
  <c r="H84"/>
  <c r="F84"/>
  <c r="D84"/>
  <c r="B84"/>
  <c r="J54"/>
  <c r="H54"/>
  <c r="F54"/>
  <c r="D54"/>
  <c r="B54"/>
  <c r="J24"/>
  <c r="H24"/>
  <c r="F24"/>
  <c r="D24"/>
  <c r="B24"/>
  <c r="I84"/>
  <c r="G84"/>
  <c r="C84"/>
  <c r="I54"/>
  <c r="E54"/>
  <c r="C54"/>
  <c r="I24"/>
  <c r="E24"/>
  <c r="C24"/>
  <c r="K86"/>
  <c r="C86"/>
  <c r="K56"/>
  <c r="C56"/>
  <c r="K26"/>
  <c r="G26"/>
  <c r="J86"/>
  <c r="H86"/>
  <c r="F86"/>
  <c r="D86"/>
  <c r="B86"/>
  <c r="J56"/>
  <c r="H56"/>
  <c r="F56"/>
  <c r="D56"/>
  <c r="B56"/>
  <c r="J26"/>
  <c r="H26"/>
  <c r="F26"/>
  <c r="D26"/>
  <c r="B26"/>
  <c r="I86"/>
  <c r="G86"/>
  <c r="E86"/>
  <c r="I56"/>
  <c r="G56"/>
  <c r="E56"/>
  <c r="I26"/>
  <c r="E26"/>
  <c r="C26"/>
  <c r="F42" i="15"/>
  <c r="AT48" i="36"/>
  <c r="AR48"/>
  <c r="AP48"/>
  <c r="H40" i="8"/>
  <c r="H100"/>
  <c r="H7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I58"/>
  <c r="I60" s="1"/>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F23"/>
  <c r="J23"/>
  <c r="D63"/>
  <c r="B63"/>
  <c r="E23"/>
  <c r="G23"/>
  <c r="I23"/>
  <c r="K23"/>
  <c r="GN48" i="36"/>
  <c r="L88" s="1"/>
  <c r="GL48"/>
  <c r="J88" s="1"/>
  <c r="GJ48"/>
  <c r="H88" s="1"/>
  <c r="GD48"/>
  <c r="L86" s="1"/>
  <c r="GB48"/>
  <c r="J86" s="1"/>
  <c r="FZ48"/>
  <c r="H86" s="1"/>
  <c r="FX48"/>
  <c r="K85" s="1"/>
  <c r="FV48"/>
  <c r="I85" s="1"/>
  <c r="FO48"/>
  <c r="L91" s="1"/>
  <c r="FM48"/>
  <c r="J91" s="1"/>
  <c r="FI48"/>
  <c r="K92" s="1"/>
  <c r="FG48"/>
  <c r="I92" s="1"/>
  <c r="M79"/>
  <c r="Q79"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H70" l="1"/>
  <c r="M87"/>
  <c r="L58"/>
  <c r="L60" s="1"/>
  <c r="L62" s="1"/>
  <c r="K66"/>
  <c r="I84"/>
  <c r="M64"/>
  <c r="M57"/>
  <c r="H50" i="7" s="1"/>
  <c r="I66" i="36"/>
  <c r="L66"/>
  <c r="M66" s="1"/>
  <c r="Q66" s="1"/>
  <c r="M65"/>
  <c r="M89"/>
  <c r="Q89" s="1"/>
  <c r="M90"/>
  <c r="Q90" s="1"/>
  <c r="K60"/>
  <c r="K62" s="1"/>
  <c r="H58"/>
  <c r="H60" s="1"/>
  <c r="H74"/>
  <c r="Q57"/>
  <c r="M99"/>
  <c r="J62"/>
  <c r="J70"/>
  <c r="I80"/>
  <c r="K80"/>
  <c r="M75"/>
  <c r="Q75" s="1"/>
  <c r="M76"/>
  <c r="Q76" s="1"/>
  <c r="M72"/>
  <c r="Q72" s="1"/>
  <c r="K77"/>
  <c r="L77"/>
  <c r="I77"/>
  <c r="L70"/>
  <c r="M59"/>
  <c r="B41" i="8"/>
  <c r="B37"/>
  <c r="F33"/>
  <c r="M61" i="36"/>
  <c r="M91"/>
  <c r="Q91" s="1"/>
  <c r="M69"/>
  <c r="Q69" s="1"/>
  <c r="M73"/>
  <c r="Q73" s="1"/>
  <c r="J282" i="11"/>
  <c r="H33" i="8"/>
  <c r="F63"/>
  <c r="D93"/>
  <c r="K92"/>
  <c r="B32"/>
  <c r="B33"/>
  <c r="M78" i="36"/>
  <c r="Q78" s="1"/>
  <c r="K70"/>
  <c r="J80"/>
  <c r="L80"/>
  <c r="J77"/>
  <c r="I70" i="8"/>
  <c r="I100"/>
  <c r="I40"/>
  <c r="H32"/>
  <c r="D92"/>
  <c r="I70" i="36"/>
  <c r="B14" i="8"/>
  <c r="E74" s="1"/>
  <c r="G104" i="36"/>
  <c r="H80"/>
  <c r="K84"/>
  <c r="M68"/>
  <c r="Q68" s="1"/>
  <c r="H77"/>
  <c r="I74"/>
  <c r="H50" i="3"/>
  <c r="O42" s="1"/>
  <c r="I213" i="11"/>
  <c r="I214" s="1"/>
  <c r="M85" i="36"/>
  <c r="J84"/>
  <c r="H84"/>
  <c r="L84"/>
  <c r="M88"/>
  <c r="M86"/>
  <c r="J74"/>
  <c r="L74"/>
  <c r="I62"/>
  <c r="K74"/>
  <c r="D33" i="8"/>
  <c r="B34"/>
  <c r="H92"/>
  <c r="H93"/>
  <c r="D32"/>
  <c r="J62"/>
  <c r="B62"/>
  <c r="F92"/>
  <c r="F93"/>
  <c r="H62"/>
  <c r="J32"/>
  <c r="J33"/>
  <c r="J92"/>
  <c r="J93"/>
  <c r="B93"/>
  <c r="B92"/>
  <c r="D62"/>
  <c r="F32"/>
  <c r="H63"/>
  <c r="G92"/>
  <c r="C92"/>
  <c r="I62"/>
  <c r="E62"/>
  <c r="K32"/>
  <c r="G32"/>
  <c r="C32"/>
  <c r="I92"/>
  <c r="E92"/>
  <c r="K62"/>
  <c r="G62"/>
  <c r="C62"/>
  <c r="I32"/>
  <c r="E32"/>
  <c r="I51" i="7"/>
  <c r="J96" i="36"/>
  <c r="J98" s="1"/>
  <c r="J100" s="1"/>
  <c r="K96"/>
  <c r="K98" s="1"/>
  <c r="K100" s="1"/>
  <c r="L96"/>
  <c r="L98" s="1"/>
  <c r="L100" s="1"/>
  <c r="M97"/>
  <c r="M92"/>
  <c r="Q92" s="1"/>
  <c r="M58"/>
  <c r="H54" i="7"/>
  <c r="Q61" i="36"/>
  <c r="Q65"/>
  <c r="F74" i="8"/>
  <c r="K14"/>
  <c r="I44"/>
  <c r="Q56" i="36"/>
  <c r="H51" i="7"/>
  <c r="H62" i="36"/>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H14" i="8" l="1"/>
  <c r="F44"/>
  <c r="Q99" i="36"/>
  <c r="D74" i="8"/>
  <c r="Q10" i="36"/>
  <c r="Q11"/>
  <c r="Q16"/>
  <c r="Q12"/>
  <c r="Q15"/>
  <c r="Q13"/>
  <c r="Q18"/>
  <c r="Q14"/>
  <c r="Q17"/>
  <c r="P52" i="7"/>
  <c r="Q97" i="36"/>
  <c r="M60"/>
  <c r="I50" i="7"/>
  <c r="Q64" i="36"/>
  <c r="H49" i="7"/>
  <c r="M84" i="36"/>
  <c r="Q84" s="1"/>
  <c r="H52" i="7"/>
  <c r="H53" s="1"/>
  <c r="H55" s="1"/>
  <c r="M77" i="36"/>
  <c r="F44" i="7" s="1"/>
  <c r="M80" i="36"/>
  <c r="Q59"/>
  <c r="L214" i="11"/>
  <c r="P201" s="1"/>
  <c r="C41" i="8"/>
  <c r="C37"/>
  <c r="O201" i="11"/>
  <c r="J40" i="8"/>
  <c r="J100"/>
  <c r="J70"/>
  <c r="D14"/>
  <c r="B44"/>
  <c r="B74"/>
  <c r="G14"/>
  <c r="J44"/>
  <c r="M70" i="36"/>
  <c r="Q70" s="1"/>
  <c r="E44" i="8"/>
  <c r="I74"/>
  <c r="C14"/>
  <c r="J74"/>
  <c r="Q77" i="36"/>
  <c r="O104"/>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I75" i="8" l="1"/>
  <c r="I76" s="1"/>
  <c r="I80" s="1"/>
  <c r="K15"/>
  <c r="K16" s="1"/>
  <c r="G15"/>
  <c r="G16" s="1"/>
  <c r="I15"/>
  <c r="D45"/>
  <c r="D46" s="1"/>
  <c r="D50" s="1"/>
  <c r="F45" i="7"/>
  <c r="G20" i="8"/>
  <c r="F45"/>
  <c r="J45"/>
  <c r="J46" s="1"/>
  <c r="J75"/>
  <c r="J76" s="1"/>
  <c r="F75"/>
  <c r="D15"/>
  <c r="D16" s="1"/>
  <c r="J15"/>
  <c r="J16" s="1"/>
  <c r="E45"/>
  <c r="E46" s="1"/>
  <c r="B45"/>
  <c r="B46" s="1"/>
  <c r="Q80" i="36"/>
  <c r="C45" i="8"/>
  <c r="C46" s="1"/>
  <c r="K45"/>
  <c r="K46" s="1"/>
  <c r="E75"/>
  <c r="B75"/>
  <c r="B76" s="1"/>
  <c r="D41"/>
  <c r="D37"/>
  <c r="D36"/>
  <c r="K70"/>
  <c r="K100"/>
  <c r="K40"/>
  <c r="O193" i="11"/>
  <c r="P193"/>
  <c r="I16" i="8"/>
  <c r="I20" s="1"/>
  <c r="C15"/>
  <c r="C16" s="1"/>
  <c r="D75"/>
  <c r="D76" s="1"/>
  <c r="H15"/>
  <c r="I45"/>
  <c r="G75"/>
  <c r="J177" i="11"/>
  <c r="L177" s="1"/>
  <c r="E93" i="15"/>
  <c r="B16" i="8"/>
  <c r="B20" s="1"/>
  <c r="E15"/>
  <c r="E16" s="1"/>
  <c r="H45"/>
  <c r="H46" s="1"/>
  <c r="H75"/>
  <c r="H76" s="1"/>
  <c r="F15"/>
  <c r="F16" s="1"/>
  <c r="G45"/>
  <c r="G46" s="1"/>
  <c r="C75"/>
  <c r="C76" s="1"/>
  <c r="O30" i="11"/>
  <c r="P30"/>
  <c r="F42" i="7"/>
  <c r="Q74" i="36"/>
  <c r="K76" i="8"/>
  <c r="K80" s="1"/>
  <c r="G76"/>
  <c r="J158" i="36"/>
  <c r="J157"/>
  <c r="P71" i="7"/>
  <c r="P69"/>
  <c r="Q62" i="36"/>
  <c r="G125" i="15"/>
  <c r="J159" i="36"/>
  <c r="P67" i="7"/>
  <c r="F115" i="15"/>
  <c r="P160" i="36"/>
  <c r="D38" i="15"/>
  <c r="F28" i="8"/>
  <c r="M98" i="36"/>
  <c r="Q98" s="1"/>
  <c r="H100"/>
  <c r="M100" s="1"/>
  <c r="P49" i="7"/>
  <c r="P51" s="1"/>
  <c r="P53" s="1"/>
  <c r="P58" s="1"/>
  <c r="Q96" i="36"/>
  <c r="J145" i="15"/>
  <c r="J146" s="1"/>
  <c r="J148" s="1"/>
  <c r="K20" i="8" l="1"/>
  <c r="K6"/>
  <c r="C50"/>
  <c r="B50"/>
  <c r="J20"/>
  <c r="J50"/>
  <c r="G80"/>
  <c r="K50"/>
  <c r="D20"/>
  <c r="J80"/>
  <c r="P147" i="36"/>
  <c r="H16" i="8"/>
  <c r="H20" s="1"/>
  <c r="F46"/>
  <c r="F50" s="1"/>
  <c r="D80"/>
  <c r="B80"/>
  <c r="E50"/>
  <c r="H50"/>
  <c r="C80"/>
  <c r="H80"/>
  <c r="K7"/>
  <c r="I46"/>
  <c r="I50" s="1"/>
  <c r="E76"/>
  <c r="E80" s="1"/>
  <c r="F76"/>
  <c r="F80" s="1"/>
  <c r="C20"/>
  <c r="F20"/>
  <c r="E20"/>
  <c r="G50"/>
  <c r="E41"/>
  <c r="E37"/>
  <c r="E36"/>
  <c r="P291" i="11"/>
  <c r="P6" s="1"/>
  <c r="K5" i="8"/>
  <c r="P145" i="15"/>
  <c r="P146" s="1"/>
  <c r="P148" s="1"/>
  <c r="L30" i="11"/>
  <c r="R30"/>
  <c r="O291"/>
  <c r="M145" i="15"/>
  <c r="M146" s="1"/>
  <c r="M148" s="1"/>
  <c r="J152"/>
  <c r="M151"/>
  <c r="B21" i="8"/>
  <c r="G28"/>
  <c r="Q100" i="36"/>
  <c r="Q53" s="1"/>
  <c r="D39" i="15"/>
  <c r="M125"/>
  <c r="P157" i="36" l="1"/>
  <c r="N148"/>
  <c r="N149"/>
  <c r="J149" i="15"/>
  <c r="J161" s="1"/>
  <c r="P292" i="11"/>
  <c r="F41" i="8"/>
  <c r="F37"/>
  <c r="F36"/>
  <c r="O6" i="11"/>
  <c r="O292"/>
  <c r="B81" i="8"/>
  <c r="J81"/>
  <c r="H81"/>
  <c r="F81"/>
  <c r="D81"/>
  <c r="C81"/>
  <c r="K51"/>
  <c r="I51"/>
  <c r="G51"/>
  <c r="E51"/>
  <c r="C51"/>
  <c r="D21"/>
  <c r="F21"/>
  <c r="H21"/>
  <c r="J21"/>
  <c r="K81"/>
  <c r="G81"/>
  <c r="J51"/>
  <c r="F51"/>
  <c r="E21"/>
  <c r="I81"/>
  <c r="E81"/>
  <c r="B51"/>
  <c r="H51"/>
  <c r="D51"/>
  <c r="C21"/>
  <c r="G21"/>
  <c r="I21"/>
  <c r="K21"/>
  <c r="H28"/>
  <c r="B19" l="1"/>
  <c r="N157" i="36"/>
  <c r="P165"/>
  <c r="M163" i="15"/>
  <c r="J165"/>
  <c r="J40" i="3" s="1"/>
  <c r="L40" s="1"/>
  <c r="G41" i="8"/>
  <c r="G37"/>
  <c r="G36"/>
  <c r="I28"/>
  <c r="J41" i="3" l="1"/>
  <c r="L41" s="1"/>
  <c r="K49" i="8"/>
  <c r="J19"/>
  <c r="D49"/>
  <c r="K19"/>
  <c r="D19"/>
  <c r="E19"/>
  <c r="G49"/>
  <c r="F49"/>
  <c r="B49"/>
  <c r="D79"/>
  <c r="G79"/>
  <c r="J79"/>
  <c r="B79"/>
  <c r="F19"/>
  <c r="E49"/>
  <c r="F79"/>
  <c r="G19"/>
  <c r="I79"/>
  <c r="J49"/>
  <c r="E79"/>
  <c r="H79"/>
  <c r="K79"/>
  <c r="H19"/>
  <c r="I19"/>
  <c r="C49"/>
  <c r="C19"/>
  <c r="I49"/>
  <c r="H49"/>
  <c r="C79"/>
  <c r="B35"/>
  <c r="B22"/>
  <c r="E92" i="15"/>
  <c r="J6" i="7"/>
  <c r="H41" i="8"/>
  <c r="H37"/>
  <c r="H36"/>
  <c r="J28"/>
  <c r="B65" l="1"/>
  <c r="B52"/>
  <c r="B61" s="1"/>
  <c r="G65"/>
  <c r="G52"/>
  <c r="G61" s="1"/>
  <c r="D35"/>
  <c r="D22"/>
  <c r="D65"/>
  <c r="D52"/>
  <c r="D61" s="1"/>
  <c r="K65"/>
  <c r="K52"/>
  <c r="K61" s="1"/>
  <c r="H65"/>
  <c r="H52"/>
  <c r="H61" s="1"/>
  <c r="C35"/>
  <c r="C22"/>
  <c r="I35"/>
  <c r="I22"/>
  <c r="K95"/>
  <c r="K82"/>
  <c r="K91" s="1"/>
  <c r="E95"/>
  <c r="E82"/>
  <c r="E91" s="1"/>
  <c r="I95"/>
  <c r="I82"/>
  <c r="I91" s="1"/>
  <c r="F95"/>
  <c r="F82"/>
  <c r="F91" s="1"/>
  <c r="B95"/>
  <c r="B82"/>
  <c r="B91" s="1"/>
  <c r="G95"/>
  <c r="G82"/>
  <c r="G91" s="1"/>
  <c r="B30"/>
  <c r="B31"/>
  <c r="C95"/>
  <c r="C82"/>
  <c r="C91" s="1"/>
  <c r="I65"/>
  <c r="I52"/>
  <c r="I61" s="1"/>
  <c r="C65"/>
  <c r="C52"/>
  <c r="C61" s="1"/>
  <c r="H35"/>
  <c r="H22"/>
  <c r="H95"/>
  <c r="H82"/>
  <c r="H91" s="1"/>
  <c r="J65"/>
  <c r="J52"/>
  <c r="J61" s="1"/>
  <c r="G35"/>
  <c r="G22"/>
  <c r="E65"/>
  <c r="E52"/>
  <c r="E61" s="1"/>
  <c r="F35"/>
  <c r="F22"/>
  <c r="J95"/>
  <c r="J82"/>
  <c r="J91" s="1"/>
  <c r="D95"/>
  <c r="D82"/>
  <c r="D91" s="1"/>
  <c r="F65"/>
  <c r="F52"/>
  <c r="F61" s="1"/>
  <c r="E35"/>
  <c r="E22"/>
  <c r="K35"/>
  <c r="K22"/>
  <c r="K31" s="1"/>
  <c r="J35"/>
  <c r="J22"/>
  <c r="J31" s="1"/>
  <c r="I41"/>
  <c r="I37"/>
  <c r="I36"/>
  <c r="K28"/>
  <c r="J30"/>
  <c r="E31" l="1"/>
  <c r="E30"/>
  <c r="I31"/>
  <c r="I30"/>
  <c r="F31"/>
  <c r="F30"/>
  <c r="G31"/>
  <c r="G30"/>
  <c r="H31"/>
  <c r="H30"/>
  <c r="C31"/>
  <c r="C30"/>
  <c r="D31"/>
  <c r="D30"/>
  <c r="J41"/>
  <c r="J37"/>
  <c r="J36"/>
  <c r="B58"/>
  <c r="K30"/>
  <c r="K41" l="1"/>
  <c r="K37"/>
  <c r="K36"/>
  <c r="C58"/>
  <c r="B60"/>
  <c r="B71" l="1"/>
  <c r="B67"/>
  <c r="B66"/>
  <c r="D58"/>
  <c r="C60"/>
  <c r="C71" l="1"/>
  <c r="C67"/>
  <c r="C66"/>
  <c r="E58"/>
  <c r="D60"/>
  <c r="D71" l="1"/>
  <c r="D67"/>
  <c r="D66"/>
  <c r="F58"/>
  <c r="E60"/>
  <c r="E71" l="1"/>
  <c r="E67"/>
  <c r="E66"/>
  <c r="G58"/>
  <c r="F60"/>
  <c r="F71" l="1"/>
  <c r="F67"/>
  <c r="F66"/>
  <c r="H58"/>
  <c r="G60"/>
  <c r="G71" l="1"/>
  <c r="G67"/>
  <c r="G66"/>
  <c r="I58"/>
  <c r="H60"/>
  <c r="H71" l="1"/>
  <c r="H67"/>
  <c r="H66"/>
  <c r="J58"/>
  <c r="I60"/>
  <c r="I71" l="1"/>
  <c r="I67"/>
  <c r="I66"/>
  <c r="K58"/>
  <c r="J60"/>
  <c r="J71" l="1"/>
  <c r="J67"/>
  <c r="J66"/>
  <c r="B88"/>
  <c r="K60"/>
  <c r="K71" l="1"/>
  <c r="K67"/>
  <c r="K66"/>
  <c r="C88"/>
  <c r="B90"/>
  <c r="B101" l="1"/>
  <c r="B97"/>
  <c r="B96"/>
  <c r="D88"/>
  <c r="C90"/>
  <c r="C101" l="1"/>
  <c r="C97"/>
  <c r="C96"/>
  <c r="E88"/>
  <c r="D90"/>
  <c r="D101" l="1"/>
  <c r="D97"/>
  <c r="D96"/>
  <c r="F88"/>
  <c r="E90"/>
  <c r="E101" l="1"/>
  <c r="E97"/>
  <c r="E96"/>
  <c r="G88"/>
  <c r="F90"/>
  <c r="F101" l="1"/>
  <c r="F97"/>
  <c r="F96"/>
  <c r="H88"/>
  <c r="G90"/>
  <c r="G101" l="1"/>
  <c r="G97"/>
  <c r="G96"/>
  <c r="I88"/>
  <c r="H90"/>
  <c r="H101" l="1"/>
  <c r="H97"/>
  <c r="H96"/>
  <c r="J88"/>
  <c r="I90"/>
  <c r="I101" l="1"/>
  <c r="I97"/>
  <c r="I96"/>
  <c r="K88"/>
  <c r="J90"/>
  <c r="J101" l="1"/>
  <c r="J97"/>
  <c r="J96"/>
  <c r="K90"/>
  <c r="K101" l="1"/>
  <c r="K97"/>
  <c r="K96"/>
</calcChain>
</file>

<file path=xl/sharedStrings.xml><?xml version="1.0" encoding="utf-8"?>
<sst xmlns="http://schemas.openxmlformats.org/spreadsheetml/2006/main" count="7677" uniqueCount="4074">
  <si>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</si>
  <si>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</si>
  <si>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</si>
  <si>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</si>
  <si>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</si>
  <si>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</si>
  <si>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</si>
  <si>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</si>
  <si>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</si>
  <si>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</si>
  <si>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</si>
  <si>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</si>
  <si>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</si>
  <si>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</si>
  <si>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</si>
  <si>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</si>
  <si>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</si>
  <si>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</si>
  <si>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</si>
  <si>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</si>
  <si>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</si>
  <si>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</si>
  <si>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</si>
  <si>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</si>
  <si>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</si>
  <si>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</si>
  <si>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</si>
  <si>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</si>
  <si>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</si>
  <si>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</si>
  <si>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</si>
  <si>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</si>
  <si>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</si>
  <si>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</si>
  <si>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</si>
  <si>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</si>
  <si>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</si>
  <si>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</si>
  <si>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</si>
  <si>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</si>
  <si>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</si>
  <si>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</si>
  <si>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</si>
  <si>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</si>
  <si>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</si>
  <si>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</si>
  <si>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</si>
  <si>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</si>
  <si>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</si>
  <si>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</si>
  <si>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</si>
  <si>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</si>
  <si>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</si>
  <si>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</si>
  <si>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</si>
  <si>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</si>
  <si>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</si>
  <si>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</si>
  <si>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</si>
  <si>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</si>
  <si>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</si>
  <si>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</si>
  <si>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</si>
  <si>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</si>
  <si>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</si>
  <si>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</si>
  <si>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</si>
  <si>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</si>
  <si>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</si>
  <si>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</si>
  <si>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</si>
  <si>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</si>
  <si>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</si>
  <si>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</si>
  <si>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</si>
  <si>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</si>
  <si>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</si>
  <si>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</si>
  <si>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</si>
  <si>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</si>
  <si>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</si>
  <si>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</si>
  <si>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</si>
  <si>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</si>
  <si>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</si>
  <si>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</si>
  <si>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</si>
  <si>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</si>
  <si>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</si>
  <si>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</si>
  <si>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</si>
  <si>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</si>
  <si>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</si>
  <si>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</si>
  <si>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</si>
  <si>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</si>
  <si>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</si>
  <si>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</si>
  <si>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</si>
  <si>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</si>
  <si>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</si>
  <si>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</si>
  <si>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</si>
  <si>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</si>
  <si>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</si>
  <si>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</si>
  <si>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</si>
  <si>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</si>
  <si>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</si>
  <si>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</si>
  <si>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</si>
  <si>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</si>
  <si>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</si>
  <si>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</si>
  <si>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</si>
  <si>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</si>
  <si>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</si>
  <si>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</si>
  <si>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</si>
  <si>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</si>
  <si>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</si>
  <si>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</si>
  <si>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</si>
  <si>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</si>
  <si>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</si>
  <si>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</si>
  <si>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</si>
  <si>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</si>
  <si>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</si>
  <si>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</si>
  <si>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</si>
  <si>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</si>
  <si>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</si>
  <si>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</si>
  <si>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</si>
  <si>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</si>
  <si>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</si>
  <si>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</si>
  <si>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</si>
  <si>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</si>
  <si>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</si>
  <si>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</si>
  <si>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</si>
  <si>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</si>
  <si>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</si>
  <si>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</si>
  <si>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</si>
  <si>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</si>
  <si>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</si>
  <si>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</si>
  <si>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</si>
  <si>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</si>
  <si>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</si>
  <si>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</si>
  <si>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</si>
  <si>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</si>
  <si>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</si>
  <si>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</si>
  <si>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</si>
  <si>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</si>
  <si>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</si>
  <si>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</si>
  <si>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</si>
  <si>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</si>
  <si>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</si>
  <si>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</si>
  <si>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</si>
  <si>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</si>
  <si>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</si>
  <si>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</si>
  <si>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</si>
  <si>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</si>
  <si>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</si>
  <si>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</si>
  <si>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</si>
  <si>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</si>
  <si>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</si>
  <si>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</si>
  <si>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</si>
  <si>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</si>
  <si>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</si>
  <si>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</si>
  <si>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</si>
  <si>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</si>
  <si>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</si>
  <si>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</si>
  <si>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</si>
  <si>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</si>
  <si>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</si>
  <si>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</si>
  <si>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</si>
  <si>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</si>
  <si>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</si>
  <si>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</si>
  <si>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</si>
  <si>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</si>
  <si>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</si>
  <si>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</si>
  <si>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</si>
  <si>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</si>
  <si>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</si>
  <si>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</si>
  <si>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</si>
  <si>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</si>
  <si>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</si>
  <si>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</si>
  <si>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</si>
  <si>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</si>
  <si>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</si>
  <si>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</si>
  <si>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</si>
  <si>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</si>
  <si>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</si>
  <si>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</si>
  <si>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</si>
  <si>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</si>
  <si>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</si>
  <si>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</si>
  <si>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</si>
  <si>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</si>
  <si>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</si>
  <si>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</si>
  <si>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</si>
  <si>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</si>
  <si>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</si>
  <si>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</si>
  <si>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</si>
  <si>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</si>
  <si>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</si>
  <si>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</si>
  <si>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</si>
  <si>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</si>
  <si>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</si>
  <si>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</si>
  <si>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</si>
  <si>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</si>
  <si>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</si>
  <si>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</si>
  <si>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</si>
  <si>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</si>
  <si>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</si>
  <si>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</si>
  <si>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</si>
  <si>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</si>
  <si>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</si>
  <si>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</si>
  <si>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</si>
  <si>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</si>
  <si>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</si>
  <si>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</si>
  <si>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</si>
  <si>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</si>
  <si>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</si>
  <si>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</si>
  <si>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</si>
  <si>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</si>
  <si>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</si>
  <si>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</si>
  <si>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</si>
  <si>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</si>
  <si>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</si>
  <si>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</si>
  <si>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</si>
  <si>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</si>
  <si>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</si>
  <si>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</si>
  <si>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</si>
  <si>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</si>
  <si>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</si>
  <si>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</si>
  <si>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</si>
  <si>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</si>
  <si>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</si>
  <si>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</si>
  <si>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</si>
  <si>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</si>
  <si>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</si>
  <si>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</si>
  <si>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</si>
  <si>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</si>
  <si>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</si>
  <si>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</si>
  <si>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</si>
  <si>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</si>
  <si>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</si>
  <si>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</si>
  <si>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</si>
  <si>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</si>
  <si>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</si>
  <si>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</si>
  <si>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</si>
  <si>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</si>
  <si>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</si>
  <si>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</si>
  <si>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</si>
  <si>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</si>
  <si>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</si>
  <si>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</si>
  <si>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</si>
  <si>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</si>
  <si>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</si>
  <si>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</si>
  <si>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</si>
  <si>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</si>
  <si>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</si>
  <si>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</si>
  <si>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</si>
  <si>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</si>
  <si>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</si>
  <si>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</si>
  <si>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</si>
  <si>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</si>
  <si>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</si>
  <si>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</si>
  <si>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</si>
  <si>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</si>
  <si>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</si>
  <si>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</si>
  <si>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</si>
  <si>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</si>
  <si>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</si>
  <si>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</si>
  <si>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</si>
  <si>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</si>
  <si>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</si>
  <si>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</si>
  <si>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</si>
  <si>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</si>
  <si>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</si>
  <si>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</si>
  <si>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</si>
  <si>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</si>
  <si>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</si>
  <si>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</si>
  <si>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</si>
  <si>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</si>
  <si>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</si>
  <si>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</si>
  <si>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</si>
  <si>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</si>
  <si>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</si>
  <si>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</si>
  <si>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</si>
  <si>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</si>
  <si>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</si>
  <si>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</si>
  <si>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</si>
  <si>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</si>
  <si>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</si>
  <si>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</si>
  <si>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</si>
  <si>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</si>
  <si>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</si>
  <si>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</si>
  <si>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</si>
  <si>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</si>
  <si>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</si>
  <si>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</si>
  <si>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</si>
  <si>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</si>
  <si>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</si>
  <si>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</si>
  <si>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</si>
  <si>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</si>
  <si>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</si>
  <si>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</si>
  <si>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</si>
  <si>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</si>
  <si>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</si>
  <si>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</si>
  <si>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</si>
  <si>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</si>
  <si>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</si>
  <si>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</si>
  <si>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</si>
  <si>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</si>
  <si>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</si>
  <si>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</si>
  <si>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</si>
  <si>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</si>
  <si>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</si>
  <si>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</si>
  <si>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</si>
  <si>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</si>
  <si>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</si>
  <si>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</si>
  <si>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</si>
  <si>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</si>
  <si>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</si>
  <si>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</si>
  <si>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</si>
  <si>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</si>
  <si>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</si>
  <si>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</si>
  <si>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</si>
  <si>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</si>
  <si>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</si>
  <si>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</si>
  <si>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</si>
  <si>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</si>
  <si>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</si>
  <si>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</si>
  <si>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</si>
  <si>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</si>
  <si>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</si>
  <si>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</si>
  <si>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</si>
  <si>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</si>
  <si>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</si>
  <si>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</si>
  <si>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</si>
  <si>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</si>
  <si>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</si>
  <si>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</si>
  <si>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</si>
  <si>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</si>
  <si>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</si>
  <si>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</si>
  <si>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</si>
  <si>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</si>
  <si>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</si>
  <si>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</si>
  <si>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</si>
  <si>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</si>
  <si>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</si>
  <si>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</si>
  <si>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</si>
  <si>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</si>
  <si>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</si>
  <si>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</si>
  <si>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</si>
  <si>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</si>
  <si>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</si>
  <si>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</si>
  <si>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</si>
  <si>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</si>
  <si>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</si>
  <si>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</si>
  <si>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</si>
  <si>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</si>
  <si>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</si>
  <si>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</si>
  <si>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</si>
  <si>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</si>
  <si>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</si>
  <si>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</si>
  <si>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</si>
  <si>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</si>
  <si>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</si>
  <si>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</si>
  <si>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</si>
  <si>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</si>
  <si>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</si>
  <si>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</si>
  <si>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</si>
  <si>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</si>
  <si>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</si>
  <si>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</si>
  <si>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</si>
  <si>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</si>
  <si>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</si>
  <si>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</si>
  <si>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</si>
  <si>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</si>
  <si>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</si>
  <si>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</si>
  <si>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</si>
  <si>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</si>
  <si>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</si>
  <si>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</si>
  <si>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</si>
  <si>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</si>
  <si>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</si>
  <si>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</si>
  <si>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</si>
  <si>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</si>
  <si>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</si>
  <si>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</si>
  <si>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</si>
  <si>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</si>
  <si>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</si>
  <si>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</si>
  <si>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</si>
  <si>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</si>
  <si>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</si>
  <si>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</si>
  <si>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</si>
  <si>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</si>
  <si>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</si>
  <si>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</si>
  <si>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</si>
  <si>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</si>
  <si>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</si>
  <si>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</si>
  <si>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</si>
  <si>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</si>
  <si>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</si>
  <si>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</si>
  <si>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</si>
  <si>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</si>
  <si>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</si>
  <si>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</si>
  <si>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</si>
  <si>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</si>
  <si>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</si>
  <si>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</si>
  <si>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</si>
  <si>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</si>
  <si>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</si>
  <si>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</si>
  <si>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</si>
  <si>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</si>
  <si>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</si>
  <si>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</si>
  <si>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</si>
  <si>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</si>
  <si>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</si>
  <si>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</si>
  <si>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</si>
  <si>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</si>
  <si>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</si>
  <si>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</si>
  <si>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</si>
  <si>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</si>
  <si>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</si>
  <si>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</si>
  <si>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</si>
  <si>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</si>
  <si>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</si>
  <si>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</si>
  <si>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</si>
  <si>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</si>
  <si>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</si>
  <si>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</si>
  <si>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</si>
  <si>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</si>
  <si>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</si>
  <si>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</si>
  <si>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</si>
  <si>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</si>
  <si>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</si>
  <si>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</si>
  <si>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</si>
  <si>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</si>
  <si>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</si>
  <si>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</si>
  <si>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</si>
  <si>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</si>
  <si>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</si>
  <si>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</si>
  <si>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</si>
  <si>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</si>
  <si>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</si>
  <si>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</si>
  <si>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</si>
  <si>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</si>
  <si>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</si>
  <si>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</si>
  <si>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</si>
  <si>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</si>
  <si>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</si>
  <si>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</si>
  <si>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</si>
  <si>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</si>
  <si>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</si>
  <si>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</si>
  <si>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</si>
  <si>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</si>
  <si>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</si>
  <si>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</si>
  <si>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</si>
  <si>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</si>
  <si>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</si>
  <si>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</si>
  <si>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</si>
  <si>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</si>
  <si>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</si>
  <si>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</si>
  <si>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</si>
  <si>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</si>
  <si>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</si>
  <si>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</si>
  <si>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</si>
  <si>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</si>
  <si>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</si>
  <si>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</si>
  <si>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</si>
  <si>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</si>
  <si>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</si>
  <si>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</si>
  <si>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</si>
  <si>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</si>
  <si>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</si>
  <si>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</si>
  <si>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</si>
  <si>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</si>
  <si>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</si>
  <si>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</si>
  <si>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</si>
  <si>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</si>
  <si>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</si>
  <si>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</si>
  <si>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</si>
  <si>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</si>
  <si>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</si>
  <si>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</si>
  <si>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</si>
  <si>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</si>
  <si>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</si>
  <si>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</si>
  <si>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</si>
  <si>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</si>
  <si>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</si>
  <si>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</si>
  <si>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</si>
  <si>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</si>
  <si>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</si>
  <si>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</si>
  <si>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</si>
  <si>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</si>
  <si>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</si>
  <si>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</si>
  <si>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</si>
  <si>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</si>
  <si>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</si>
  <si>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</si>
  <si>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</si>
  <si>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</si>
  <si>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</si>
  <si>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</si>
  <si>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</si>
  <si>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</si>
  <si>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</si>
  <si>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</si>
  <si>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</si>
  <si>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</si>
  <si>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</si>
  <si>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</si>
  <si>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</si>
  <si>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</si>
  <si>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</si>
  <si>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</si>
  <si>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</si>
  <si>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</si>
  <si>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</si>
  <si>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</si>
  <si>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</si>
  <si>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</si>
  <si>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</si>
  <si>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</si>
  <si>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</si>
  <si>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</si>
  <si>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</si>
  <si>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</si>
  <si>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</si>
  <si>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</si>
  <si>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</si>
  <si>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</si>
  <si>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</si>
  <si>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</si>
  <si>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</si>
  <si>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</si>
  <si>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</si>
  <si>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</si>
  <si>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</si>
  <si>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</si>
  <si>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</si>
  <si>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</si>
  <si>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</si>
  <si>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</si>
  <si>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</si>
  <si>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</si>
  <si>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</si>
  <si>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</si>
  <si>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</si>
  <si>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</si>
  <si>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</si>
  <si>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</si>
  <si>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</si>
  <si>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</si>
  <si>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</si>
  <si>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</si>
  <si>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</si>
  <si>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</si>
  <si>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</si>
  <si>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</si>
  <si>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</si>
  <si>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</si>
  <si>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</si>
  <si>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</si>
  <si>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</si>
  <si>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</si>
  <si>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</si>
  <si>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</si>
  <si>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</si>
  <si>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</si>
  <si>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</si>
  <si>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</si>
  <si>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</si>
  <si>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</si>
  <si>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</si>
  <si>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</si>
  <si>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</si>
  <si>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</si>
  <si>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</si>
  <si>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</si>
  <si>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</si>
  <si>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</si>
  <si>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</si>
  <si>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</si>
  <si>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</si>
  <si>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</si>
  <si>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</si>
  <si>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</si>
  <si>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</si>
  <si>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</si>
  <si>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</si>
  <si>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</si>
  <si>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</si>
  <si>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</si>
  <si>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</si>
  <si>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</si>
  <si>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</si>
  <si>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</si>
  <si>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</si>
  <si>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</si>
  <si>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</si>
  <si>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</si>
  <si>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</si>
  <si>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</si>
  <si>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</si>
  <si>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</si>
  <si>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</si>
  <si>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</si>
  <si>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</si>
  <si>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</si>
  <si>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</si>
  <si>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</si>
  <si>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</si>
  <si>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</si>
  <si>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</si>
  <si>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</si>
  <si>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</si>
  <si>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</si>
  <si>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</si>
  <si>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</si>
  <si>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</si>
  <si>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</si>
  <si>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</si>
  <si>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</si>
  <si>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</si>
  <si>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</si>
  <si>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</si>
  <si>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</si>
  <si>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</si>
  <si>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</si>
  <si>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</si>
  <si>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</si>
  <si>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</si>
  <si>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</si>
  <si>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</si>
  <si>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</si>
  <si>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</si>
  <si>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</si>
  <si>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</si>
  <si>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</si>
  <si>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</si>
  <si>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</si>
  <si>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</si>
  <si>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</si>
  <si>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</si>
  <si>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</si>
  <si>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</si>
  <si>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</si>
  <si>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</si>
  <si>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</si>
  <si>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</si>
  <si>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</si>
  <si>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</si>
  <si>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</si>
  <si>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</si>
  <si>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</si>
  <si>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</si>
  <si>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</si>
  <si>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</si>
  <si>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</si>
  <si>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</si>
  <si>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</si>
  <si>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</si>
  <si>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</si>
  <si>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</si>
  <si>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</si>
  <si>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</si>
  <si>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</si>
  <si>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</si>
  <si>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</si>
  <si>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</si>
  <si>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</si>
  <si>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</si>
  <si>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</si>
  <si>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</si>
  <si>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</si>
  <si>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</si>
  <si>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</si>
  <si>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</si>
  <si>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</si>
  <si>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</si>
  <si>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</si>
  <si>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</si>
  <si>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</si>
  <si>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</si>
  <si>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</si>
  <si>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</si>
  <si>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</si>
  <si>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</si>
  <si>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</si>
  <si>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</si>
  <si>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</si>
  <si>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</si>
  <si>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</si>
  <si>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</si>
  <si>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</si>
  <si>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</si>
  <si>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</si>
  <si>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</si>
  <si>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</si>
  <si>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</si>
  <si>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</si>
  <si>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</si>
  <si>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</si>
  <si>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</si>
  <si>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</si>
  <si>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</si>
  <si>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</si>
  <si>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</si>
  <si>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</si>
  <si>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</si>
  <si>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</si>
  <si>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</si>
  <si>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</si>
  <si>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</si>
  <si>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</si>
  <si>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</si>
  <si>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</si>
  <si>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</si>
  <si>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</si>
  <si>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</si>
  <si>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</si>
  <si>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</si>
  <si>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</si>
  <si>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</si>
  <si>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</si>
  <si>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</si>
  <si>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</si>
  <si>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</si>
  <si>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</si>
  <si>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</si>
  <si>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</si>
  <si>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</si>
  <si>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</si>
  <si>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</si>
  <si>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</si>
  <si>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</si>
  <si>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</si>
  <si>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</si>
  <si>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</si>
  <si>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</si>
  <si>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</si>
  <si>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</si>
  <si>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</si>
  <si>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</si>
  <si>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</si>
  <si>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</si>
  <si>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</si>
  <si>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</si>
  <si>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</si>
  <si>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</si>
  <si>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</si>
  <si>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</si>
  <si>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</si>
  <si>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</si>
  <si>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</si>
  <si>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</si>
  <si>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</si>
  <si>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</si>
  <si>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</si>
  <si>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</si>
  <si>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</si>
  <si>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</si>
  <si>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</si>
  <si>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</si>
  <si>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</si>
  <si>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</si>
  <si>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</si>
  <si>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</si>
  <si>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</si>
  <si>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</si>
  <si>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</si>
  <si>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</si>
  <si>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</si>
  <si>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</si>
  <si>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</si>
  <si>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</si>
  <si>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</si>
  <si>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</si>
  <si>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</si>
  <si>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</si>
  <si>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</si>
  <si>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</si>
  <si>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</si>
  <si>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</si>
  <si>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</si>
  <si>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</si>
  <si>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</si>
  <si>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</si>
  <si>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</si>
  <si>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</si>
  <si>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</si>
  <si>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</si>
  <si>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</si>
  <si>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</si>
  <si>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</si>
  <si>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</si>
  <si>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</si>
  <si>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</si>
  <si>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</si>
  <si>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</si>
  <si>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</si>
  <si>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</si>
  <si>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</si>
  <si>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</si>
  <si>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</si>
  <si>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</si>
  <si>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</si>
  <si>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</si>
  <si>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</si>
  <si>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</si>
  <si>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</si>
  <si>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</si>
  <si>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</si>
  <si>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</si>
  <si>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</si>
  <si>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</si>
  <si>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</si>
  <si>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</si>
  <si>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</si>
  <si>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</si>
  <si>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</si>
  <si>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</si>
  <si>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</si>
  <si>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</si>
  <si>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</si>
  <si>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</si>
  <si>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</si>
  <si>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</si>
  <si>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</si>
  <si>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</si>
  <si>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</si>
  <si>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</si>
  <si>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</si>
  <si>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</si>
  <si>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</si>
  <si>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</si>
  <si>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</si>
  <si>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</si>
  <si>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</si>
  <si>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</si>
  <si>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</si>
  <si>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</si>
  <si>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</si>
  <si>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</si>
  <si>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</si>
  <si>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</si>
  <si>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</si>
  <si>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</si>
  <si>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</si>
  <si>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</si>
  <si>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</si>
  <si>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</si>
  <si>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</si>
  <si>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</si>
  <si>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</si>
  <si>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</si>
  <si>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</si>
  <si>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</si>
  <si>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</si>
  <si>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</si>
  <si>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</si>
  <si>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</si>
  <si>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</si>
  <si>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</si>
  <si>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</si>
  <si>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</si>
  <si>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</si>
  <si>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</si>
  <si>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</si>
  <si>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</si>
  <si>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</si>
  <si>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</si>
  <si>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</si>
  <si>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</si>
  <si>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</si>
  <si>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</si>
  <si>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</si>
  <si>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</si>
  <si>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</si>
  <si>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</si>
  <si>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</si>
  <si>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</si>
  <si>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</si>
  <si>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</si>
  <si>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</si>
  <si>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</si>
  <si>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</si>
  <si>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</si>
  <si>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</si>
  <si>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</si>
  <si>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</si>
  <si>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</si>
  <si>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</si>
  <si>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</si>
  <si>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</si>
  <si>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</si>
  <si>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</si>
  <si>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</si>
  <si>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</si>
  <si>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</si>
  <si>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</si>
  <si>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</si>
  <si>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</si>
  <si>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</si>
  <si>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</si>
  <si>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</si>
  <si>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</si>
  <si>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</si>
  <si>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</si>
  <si>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</si>
  <si>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</si>
  <si>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</si>
  <si>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</si>
  <si>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</si>
  <si>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</si>
  <si>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</si>
  <si>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</si>
  <si>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</si>
  <si>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</si>
  <si>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</si>
  <si>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</si>
  <si>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</si>
  <si>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</si>
  <si>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</si>
  <si>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</si>
  <si>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</si>
  <si>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</si>
  <si>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</si>
  <si>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</si>
  <si>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</si>
  <si>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</si>
  <si>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</si>
  <si>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</si>
  <si>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</si>
  <si>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</si>
  <si>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</si>
  <si>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</si>
  <si>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</si>
  <si>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</si>
  <si>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</si>
  <si>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</si>
  <si>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</si>
  <si>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</si>
  <si>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</si>
  <si>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</si>
  <si>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</si>
  <si>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</si>
  <si>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</si>
  <si>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</si>
  <si>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</si>
  <si>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</si>
  <si>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</si>
  <si>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</si>
  <si>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</si>
  <si>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</si>
  <si>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</si>
  <si>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</si>
  <si>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</si>
  <si>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</si>
  <si>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</si>
  <si>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</si>
  <si>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</si>
  <si>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</si>
  <si>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</si>
  <si>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</si>
  <si>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</si>
  <si>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</si>
  <si>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</si>
  <si>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</si>
  <si>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</si>
  <si>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</si>
  <si>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</si>
  <si>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</si>
  <si>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</si>
  <si>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</si>
  <si>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</si>
  <si>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</si>
  <si>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</si>
  <si>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</si>
  <si>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</si>
  <si>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</si>
  <si>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</si>
  <si>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</si>
  <si>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</si>
  <si>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</si>
  <si>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</si>
  <si>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</si>
  <si>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</si>
  <si>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</si>
  <si>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</si>
  <si>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</si>
  <si>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</si>
  <si>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</si>
  <si>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</si>
  <si>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</si>
  <si>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</si>
  <si>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</si>
  <si>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</si>
  <si>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</si>
  <si>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</si>
  <si>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</si>
  <si>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</si>
  <si>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</si>
  <si>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</si>
  <si>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</si>
  <si>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</si>
  <si>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</si>
  <si>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</si>
  <si>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</si>
  <si>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</si>
  <si>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</si>
  <si>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</si>
  <si>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</si>
  <si>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</si>
  <si>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</si>
  <si>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</si>
  <si>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</si>
  <si>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</si>
  <si>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</si>
  <si>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</si>
  <si>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</si>
  <si>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</si>
  <si>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</si>
  <si>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</si>
  <si>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</si>
  <si>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</si>
  <si>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</si>
  <si>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</si>
  <si>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</si>
  <si>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</si>
  <si>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</si>
  <si>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</si>
  <si>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</si>
  <si>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</si>
  <si>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</si>
  <si>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</si>
  <si>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</si>
  <si>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</si>
  <si>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</si>
  <si>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</si>
  <si>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</si>
  <si>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</si>
  <si>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</si>
  <si>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</si>
  <si>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</si>
  <si>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</si>
  <si>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</si>
  <si>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</si>
  <si>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</si>
  <si>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</si>
  <si>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</si>
  <si>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</si>
  <si>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</si>
  <si>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</si>
  <si>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</si>
  <si>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</si>
  <si>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</si>
  <si>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</si>
  <si>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</si>
  <si>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</si>
  <si>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</si>
  <si>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</si>
  <si>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</si>
  <si>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</si>
  <si>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</si>
  <si>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</si>
  <si>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</si>
  <si>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</si>
  <si>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</si>
  <si>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</si>
  <si>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</si>
  <si>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</si>
  <si>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</si>
  <si>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</si>
  <si>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</si>
  <si>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</si>
  <si>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</si>
  <si>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</si>
  <si>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</si>
  <si>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</si>
  <si>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</si>
  <si>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</si>
  <si>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</si>
  <si>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</si>
  <si>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</si>
  <si>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</si>
  <si>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</si>
  <si>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</si>
  <si>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</si>
  <si>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</si>
  <si>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</si>
  <si>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</si>
  <si>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</si>
  <si>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</si>
  <si>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</si>
  <si>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</si>
  <si>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</si>
  <si>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</si>
  <si>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</si>
  <si>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</si>
  <si>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</si>
  <si>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</si>
  <si>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</si>
  <si>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</si>
  <si>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</si>
  <si>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</si>
  <si>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</si>
  <si>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</si>
  <si>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</si>
  <si>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</si>
  <si>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</si>
  <si>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</si>
  <si>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</si>
  <si>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</si>
  <si>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</si>
  <si>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</si>
  <si>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</si>
  <si>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</si>
  <si>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</si>
  <si>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</si>
  <si>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</si>
  <si>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</si>
  <si>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</si>
  <si>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</si>
  <si>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</si>
  <si>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</si>
  <si>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</si>
  <si>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</si>
  <si>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</si>
  <si>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</si>
  <si>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</si>
  <si>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</si>
  <si>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</si>
  <si>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</si>
  <si>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</si>
  <si>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</si>
  <si>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</si>
  <si>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</si>
  <si>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</si>
  <si>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</si>
  <si>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</si>
  <si>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</si>
  <si>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</si>
  <si>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</si>
  <si>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</si>
  <si>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</si>
  <si>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</si>
  <si>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</si>
  <si>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</si>
  <si>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</si>
  <si>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</si>
  <si>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</si>
  <si>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</si>
  <si>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</si>
  <si>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</si>
  <si>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</si>
  <si>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</si>
  <si>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</si>
  <si>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</si>
  <si>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</si>
  <si>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</si>
  <si>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</si>
  <si>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</si>
  <si>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</si>
  <si>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</si>
  <si>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</si>
  <si>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</si>
  <si>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</si>
  <si>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</si>
  <si>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</si>
  <si>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</si>
  <si>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</si>
  <si>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</si>
  <si>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</si>
  <si>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</si>
  <si>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</si>
  <si>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</si>
  <si>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</si>
  <si>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</si>
  <si>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</si>
  <si>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</si>
  <si>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</si>
  <si>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</si>
  <si>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</si>
  <si>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</si>
  <si>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</si>
  <si>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</si>
  <si>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</si>
  <si>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</si>
  <si>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</si>
  <si>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</si>
  <si>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</si>
  <si>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</si>
  <si>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</si>
  <si>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</si>
  <si>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</si>
  <si>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</si>
  <si>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</si>
  <si>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</si>
  <si>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</si>
  <si>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</si>
  <si>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</si>
  <si>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</si>
  <si>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</si>
  <si>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</si>
  <si>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</si>
  <si>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</si>
  <si>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</si>
  <si>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</si>
  <si>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</si>
  <si>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</si>
  <si>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</si>
  <si>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</si>
  <si>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</si>
  <si>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</si>
  <si>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</si>
  <si>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</si>
  <si>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</si>
  <si>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</si>
  <si>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</si>
  <si>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</si>
  <si>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</si>
  <si>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</si>
  <si>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</si>
  <si>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</si>
  <si>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</si>
  <si>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</si>
  <si>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</si>
  <si>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</si>
  <si>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</si>
  <si>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</si>
  <si>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</si>
  <si>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</si>
  <si>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</si>
  <si>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</si>
  <si>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</si>
  <si>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</si>
  <si>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</si>
  <si>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</si>
  <si>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</si>
  <si>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</si>
  <si>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</si>
  <si>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</si>
  <si>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</si>
  <si>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</si>
  <si>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</si>
  <si>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</si>
  <si>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</si>
  <si>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</si>
  <si>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</si>
  <si>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</si>
  <si>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</si>
  <si>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</si>
  <si>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</si>
  <si>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</si>
  <si>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</si>
  <si>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</si>
  <si>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</si>
  <si>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</si>
  <si>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</si>
  <si>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</si>
  <si>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</si>
  <si>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</si>
  <si>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</si>
  <si>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</si>
  <si>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</si>
  <si>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</si>
  <si>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</si>
  <si>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</si>
  <si>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</si>
  <si>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</si>
  <si>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</si>
  <si>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</si>
  <si>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</si>
  <si>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</si>
  <si>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</si>
  <si>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</si>
  <si>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</si>
  <si>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</si>
  <si>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</si>
  <si>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</si>
  <si>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</si>
  <si>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</si>
  <si>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</si>
  <si>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</si>
  <si>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</si>
  <si>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</si>
  <si>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</si>
  <si>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</si>
  <si>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</si>
  <si>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</si>
  <si>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</si>
  <si>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</si>
  <si>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</si>
  <si>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</si>
  <si>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</si>
  <si>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</si>
  <si>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</si>
  <si>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</si>
  <si>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</si>
  <si>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</si>
  <si>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</si>
  <si>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</si>
  <si>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</si>
  <si>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</si>
  <si>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</si>
  <si>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</si>
  <si>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</si>
  <si>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</si>
  <si>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</si>
  <si>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</si>
  <si>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</si>
  <si>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</si>
  <si>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</si>
  <si>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</si>
  <si>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</si>
  <si>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</si>
  <si>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</si>
  <si>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</si>
  <si>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</si>
  <si>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</si>
  <si>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</si>
  <si>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</si>
  <si>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</si>
  <si>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</si>
  <si>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</si>
  <si>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</si>
  <si>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</si>
  <si>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</si>
  <si>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</si>
  <si>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</si>
  <si>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</si>
  <si>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</si>
  <si>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</si>
  <si>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</si>
  <si>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</si>
  <si>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</si>
  <si>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</si>
  <si>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</si>
  <si>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</si>
  <si>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</si>
  <si>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</si>
  <si>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</si>
  <si>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</si>
  <si>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</si>
  <si>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</si>
  <si>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</si>
  <si>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</si>
  <si>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</si>
  <si>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</si>
  <si>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</si>
  <si>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</si>
  <si>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</si>
  <si>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</si>
  <si>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</si>
  <si>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</si>
  <si>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</si>
  <si>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</si>
  <si>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</si>
  <si>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</si>
  <si>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</si>
  <si>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</si>
  <si>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</si>
  <si>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</si>
  <si>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</si>
  <si>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</si>
  <si>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</si>
  <si>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</si>
  <si>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</si>
  <si>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</si>
  <si>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</si>
  <si>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</si>
  <si>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</si>
  <si>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</si>
  <si>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</si>
  <si>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</si>
  <si>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</si>
  <si>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</si>
  <si>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</si>
  <si>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</si>
  <si>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</si>
  <si>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</si>
  <si>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</si>
  <si>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</si>
  <si>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</si>
  <si>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</si>
  <si>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</si>
  <si>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</si>
  <si>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</si>
  <si>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</si>
  <si>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</si>
  <si>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</si>
  <si>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</si>
  <si>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</si>
  <si>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</si>
  <si>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</si>
  <si>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</si>
  <si>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</si>
  <si>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</si>
  <si>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</si>
  <si>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</si>
  <si>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</si>
  <si>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</si>
  <si>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</si>
  <si>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</si>
  <si>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</si>
  <si>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</si>
  <si>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</si>
  <si>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</si>
  <si>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</si>
  <si>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</si>
  <si>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</si>
  <si>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</si>
  <si>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</si>
  <si>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</si>
  <si>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</si>
  <si>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</si>
  <si>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</si>
  <si>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</si>
  <si>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</si>
  <si>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</si>
  <si>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</si>
  <si>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</si>
  <si>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</si>
  <si>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</si>
  <si>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</si>
  <si>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</si>
  <si>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</si>
  <si>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</si>
  <si>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</si>
  <si>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</si>
  <si>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</si>
  <si>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</si>
  <si>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</si>
  <si>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</si>
  <si>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</si>
  <si>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</si>
  <si>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</si>
  <si>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</si>
  <si>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</si>
  <si>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</si>
  <si>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</si>
  <si>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</si>
  <si>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</si>
  <si>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</si>
  <si>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</si>
  <si>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</si>
  <si>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</si>
  <si>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</si>
  <si>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</si>
  <si>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</si>
  <si>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</si>
  <si>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</si>
  <si>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</si>
  <si>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</si>
  <si>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</si>
  <si>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</si>
  <si>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</si>
  <si>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</si>
  <si>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</si>
  <si>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</si>
  <si>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</si>
  <si>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</si>
  <si>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</si>
  <si>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</si>
  <si>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</si>
  <si>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</si>
  <si>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</si>
  <si>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</si>
  <si>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</si>
  <si>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</si>
  <si>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</si>
  <si>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</si>
  <si>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</si>
  <si>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</si>
  <si>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</si>
  <si>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</si>
  <si>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</si>
  <si>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</si>
  <si>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</si>
  <si>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</si>
  <si>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</si>
  <si>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</si>
  <si>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</si>
  <si>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</si>
  <si>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</si>
  <si>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</si>
  <si>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</si>
  <si>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</si>
  <si>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</si>
  <si>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</si>
  <si>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</si>
  <si>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</si>
  <si>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</si>
  <si>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</si>
  <si>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</si>
  <si>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</si>
  <si>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</si>
  <si>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</si>
  <si>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</si>
  <si>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</si>
  <si>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</si>
  <si>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</si>
  <si>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</si>
  <si>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</si>
  <si>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</si>
  <si>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</si>
  <si>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</si>
  <si>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</si>
  <si>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</si>
  <si>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</si>
  <si>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</si>
  <si>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</si>
  <si>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</si>
  <si>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</si>
  <si>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</si>
  <si>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</si>
  <si>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</si>
  <si>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</si>
  <si>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</si>
  <si>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</si>
  <si>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</si>
  <si>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</si>
  <si>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</si>
  <si>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</si>
  <si>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</si>
  <si>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</si>
  <si>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</si>
  <si>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</si>
  <si>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</si>
  <si>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</si>
  <si>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</si>
  <si>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</si>
  <si>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</si>
  <si>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</si>
  <si>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</si>
  <si>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</si>
  <si>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</si>
  <si>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</si>
  <si>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</si>
  <si>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</si>
  <si>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</si>
  <si>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</si>
  <si>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</si>
  <si>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</si>
  <si>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</si>
  <si>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</si>
  <si>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</si>
  <si>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</si>
  <si>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</si>
  <si>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</si>
  <si>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</si>
  <si>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</si>
  <si>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</si>
  <si>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</si>
  <si>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</si>
  <si>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</si>
  <si>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</si>
  <si>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</si>
  <si>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</si>
  <si>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</si>
  <si>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</si>
  <si>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</si>
  <si>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</si>
  <si>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</si>
  <si>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</si>
  <si>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</si>
  <si>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</si>
  <si>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</si>
  <si>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</si>
  <si>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</si>
  <si>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</si>
  <si>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</si>
  <si>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</si>
  <si>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</si>
  <si>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</si>
  <si>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</si>
  <si>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</si>
  <si>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</si>
  <si>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</si>
  <si>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</si>
  <si>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</si>
  <si>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</si>
  <si>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</si>
  <si>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</si>
  <si>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</si>
  <si>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</si>
  <si>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</si>
  <si>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</si>
  <si>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</si>
  <si>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</si>
  <si>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</si>
  <si>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</si>
  <si>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</si>
  <si>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</si>
  <si>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</si>
  <si>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</si>
  <si>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</si>
  <si>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</si>
  <si>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</si>
  <si>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</si>
  <si>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</si>
  <si>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</si>
  <si>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</si>
  <si>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</si>
  <si>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</si>
  <si>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</si>
  <si>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</si>
  <si>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</si>
  <si>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</si>
  <si>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</si>
  <si>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</si>
  <si>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</si>
  <si>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</si>
  <si>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</si>
  <si>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</si>
  <si>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</si>
  <si>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</si>
  <si>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</si>
  <si>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</si>
  <si>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</si>
  <si>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</si>
  <si>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</si>
  <si>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</si>
  <si>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</si>
  <si>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</si>
  <si>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</si>
  <si>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</si>
  <si>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</si>
  <si>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</si>
  <si>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</si>
  <si>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</si>
  <si>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</si>
  <si>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</si>
  <si>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</si>
  <si>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</si>
  <si>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</si>
  <si>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</si>
  <si>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</si>
  <si>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</si>
  <si>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</si>
  <si>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</si>
  <si>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</si>
  <si>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</si>
  <si>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</si>
  <si>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</si>
  <si>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</si>
  <si>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</si>
  <si>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</si>
  <si>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</si>
  <si>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</si>
  <si>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</si>
  <si>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</si>
  <si>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</si>
  <si>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</si>
  <si>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</si>
  <si>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</si>
  <si>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</si>
  <si>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</si>
  <si>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</si>
  <si>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</si>
  <si>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</si>
  <si>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</si>
  <si>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</si>
  <si>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</si>
  <si>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</si>
  <si>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</si>
  <si>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</si>
  <si>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</si>
  <si>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</si>
  <si>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</si>
  <si>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</si>
  <si>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</si>
  <si>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</si>
  <si>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</si>
  <si>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</si>
  <si>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</si>
  <si>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</si>
  <si>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</si>
  <si>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</si>
  <si>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</si>
  <si>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</si>
  <si>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</si>
  <si>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</si>
  <si>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</si>
  <si>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</si>
  <si>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</si>
  <si>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</si>
  <si>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</si>
  <si>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</si>
  <si>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</si>
  <si>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</si>
  <si>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</si>
  <si>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</si>
  <si>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</si>
  <si>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</si>
  <si>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</si>
  <si>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</si>
  <si>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</si>
  <si>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</si>
  <si>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</si>
  <si>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</si>
  <si>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</si>
  <si>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</si>
  <si>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</si>
  <si>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</si>
  <si>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</si>
  <si>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</si>
  <si>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</si>
  <si>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</si>
  <si>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</si>
  <si>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</si>
  <si>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</si>
  <si>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</si>
  <si>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</si>
  <si>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</si>
  <si>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</si>
  <si>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</si>
  <si>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</si>
  <si>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</si>
  <si>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</si>
  <si>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</si>
  <si>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</si>
  <si>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</si>
  <si>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</si>
  <si>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</si>
  <si>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</si>
  <si>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</si>
  <si>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</si>
  <si>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</si>
  <si>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</si>
  <si>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</si>
  <si>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</si>
  <si>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</si>
  <si>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</si>
  <si>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</si>
  <si>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</si>
  <si>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</si>
  <si>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</si>
  <si>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</si>
  <si>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</si>
  <si>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</si>
  <si>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</si>
  <si>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</si>
  <si>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</si>
  <si>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</si>
  <si>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</si>
  <si>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</si>
  <si>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</si>
  <si>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</si>
  <si>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</si>
  <si>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</si>
  <si>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</si>
  <si>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</si>
  <si>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</si>
  <si>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</si>
  <si>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</si>
  <si>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</si>
  <si>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</si>
  <si>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</si>
  <si>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</si>
  <si>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</si>
  <si>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</si>
  <si>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</si>
  <si>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</si>
  <si>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</si>
  <si>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</si>
  <si>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</si>
  <si>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</si>
  <si>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</si>
  <si>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</si>
  <si>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</si>
  <si>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</si>
  <si>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</si>
  <si>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</si>
  <si>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</si>
  <si>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</si>
  <si>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</si>
  <si>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</si>
  <si>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</si>
  <si>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</si>
  <si>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</si>
  <si>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</si>
  <si>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</si>
  <si>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</si>
  <si>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</si>
  <si>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</si>
  <si>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</si>
  <si>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</si>
  <si>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</si>
  <si>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</si>
  <si>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</si>
  <si>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</si>
  <si>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</si>
  <si>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</si>
  <si>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</si>
  <si>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</si>
  <si>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</si>
  <si>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</si>
  <si>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</si>
  <si>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</si>
  <si>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</si>
  <si>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</si>
  <si>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</si>
  <si>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</si>
  <si>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</si>
  <si>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</si>
  <si>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</si>
  <si>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</si>
  <si>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</si>
  <si>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</si>
  <si>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</si>
  <si>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</si>
  <si>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</si>
  <si>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</si>
  <si>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</si>
  <si>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</si>
  <si>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</si>
  <si>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</si>
  <si>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</si>
  <si>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</si>
  <si>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</si>
  <si>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</si>
  <si>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</si>
  <si>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</si>
  <si>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</si>
  <si>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</si>
  <si>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</si>
  <si>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</si>
  <si>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</si>
  <si>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</si>
  <si>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</si>
  <si>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</si>
  <si>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</si>
  <si>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</si>
  <si>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</si>
  <si>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</si>
  <si>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</si>
  <si>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</si>
  <si>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</si>
  <si>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</si>
  <si>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</si>
  <si>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</si>
  <si>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</si>
  <si>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</si>
  <si>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</si>
  <si>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</si>
  <si>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</si>
  <si>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</si>
  <si>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</si>
  <si>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</si>
  <si>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</si>
  <si>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</si>
  <si>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</si>
  <si>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</si>
  <si>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</si>
  <si>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</si>
  <si>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</si>
  <si>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</si>
  <si>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</si>
  <si>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</si>
  <si>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</si>
  <si>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</si>
  <si>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</si>
  <si>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</si>
  <si>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</si>
  <si>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</si>
  <si>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</si>
  <si>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</si>
  <si>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</si>
  <si>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</si>
  <si>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</si>
  <si>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</si>
  <si>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</si>
  <si>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</si>
  <si>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</si>
  <si>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</si>
  <si>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</si>
  <si>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</si>
  <si>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</si>
  <si>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</si>
  <si>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</si>
  <si>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</si>
  <si>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</si>
  <si>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</si>
  <si>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</si>
  <si>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</si>
  <si>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</si>
  <si>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</si>
  <si>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</si>
  <si>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</si>
  <si>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</si>
  <si>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</si>
  <si>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</si>
  <si>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</si>
  <si>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</si>
  <si>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</si>
  <si>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</si>
  <si>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</si>
  <si>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</si>
  <si>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</si>
  <si>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</si>
  <si>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</si>
  <si>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</si>
  <si>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</si>
  <si>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</si>
  <si>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</si>
  <si>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</si>
  <si>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</si>
  <si>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</si>
  <si>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</si>
  <si>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</si>
  <si>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</si>
  <si>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</si>
  <si>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</si>
  <si>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</si>
  <si>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</si>
  <si>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</si>
  <si>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</si>
  <si>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</si>
  <si>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</si>
  <si>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</si>
  <si>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</si>
  <si>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</si>
  <si>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</si>
  <si>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</si>
  <si>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</si>
  <si>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</si>
  <si>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</si>
  <si>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</si>
  <si>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</si>
  <si>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</si>
  <si>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</si>
  <si>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</si>
  <si>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</si>
  <si>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</si>
  <si>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</si>
  <si>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</si>
  <si>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</si>
  <si>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</si>
  <si>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</si>
  <si>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</si>
  <si>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</si>
  <si>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</si>
  <si>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</si>
  <si>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</si>
  <si>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</si>
  <si>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</si>
  <si>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</si>
  <si>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</si>
  <si>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</si>
  <si>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</si>
  <si>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</si>
  <si>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</si>
  <si>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</si>
  <si>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</si>
  <si>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</si>
  <si>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</si>
  <si>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</si>
  <si>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</si>
  <si>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</si>
  <si>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</si>
  <si>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</si>
  <si>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</si>
  <si>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</si>
  <si>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</si>
  <si>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</si>
  <si>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</si>
  <si>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</si>
  <si>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</si>
  <si>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</si>
  <si>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</si>
  <si>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</si>
  <si>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</si>
  <si>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</si>
  <si>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</si>
  <si>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</si>
  <si>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</si>
  <si>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</si>
  <si>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</si>
  <si>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</si>
  <si>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</si>
  <si>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</si>
  <si>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</si>
  <si>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</si>
  <si>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</si>
  <si>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</si>
  <si>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</si>
  <si>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</si>
  <si>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</si>
  <si>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</si>
  <si>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</si>
  <si>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</si>
  <si>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</si>
  <si>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</si>
  <si>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</si>
  <si>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</si>
  <si>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</si>
  <si>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</si>
  <si>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</si>
  <si>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</si>
  <si>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</si>
  <si>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</si>
  <si>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</si>
  <si>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</si>
  <si>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</si>
  <si>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</si>
  <si>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</si>
  <si>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</si>
  <si>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</si>
  <si>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</si>
  <si>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</si>
  <si>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</si>
  <si>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</si>
  <si>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</si>
  <si>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</si>
  <si>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</si>
  <si>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</si>
  <si>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</si>
  <si>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</si>
  <si>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</si>
  <si>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</si>
  <si>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</si>
  <si>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</si>
  <si>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</si>
  <si>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</si>
  <si>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</si>
  <si>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</si>
  <si>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</si>
  <si>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</si>
  <si>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</si>
  <si>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</si>
  <si>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</si>
  <si>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</si>
  <si>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</si>
  <si>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</si>
  <si>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</si>
  <si>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</si>
  <si>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</si>
  <si>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</si>
  <si>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</si>
  <si>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</si>
  <si>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</si>
  <si>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</si>
  <si>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</si>
  <si>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</si>
  <si>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</si>
  <si>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</si>
  <si>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</si>
  <si>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</si>
  <si>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</si>
  <si>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</si>
  <si>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</si>
  <si>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</si>
  <si>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</si>
  <si>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</si>
  <si>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</si>
  <si>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</si>
  <si>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</si>
  <si>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</si>
  <si>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</si>
  <si>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</si>
  <si>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</si>
  <si>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</si>
  <si>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</si>
  <si>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</si>
  <si>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</si>
  <si>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</si>
  <si>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</si>
  <si>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</si>
  <si>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</si>
  <si>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</si>
  <si>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</si>
  <si>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</si>
  <si>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</si>
  <si>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</si>
  <si>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</si>
  <si>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</si>
  <si>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</si>
  <si>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</si>
  <si>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</si>
  <si>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</si>
  <si>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</si>
  <si>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</si>
  <si>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</si>
  <si>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</si>
  <si>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</si>
  <si>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</si>
  <si>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</si>
  <si>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</si>
  <si>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</si>
  <si>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</si>
  <si>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</si>
  <si>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</si>
  <si>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</si>
  <si>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</si>
  <si>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</si>
  <si>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</si>
  <si>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</si>
  <si>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</si>
  <si>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</si>
  <si>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</si>
  <si>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</si>
  <si>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</si>
  <si>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</si>
  <si>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</si>
  <si>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</si>
  <si>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</si>
  <si>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</si>
  <si>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</si>
  <si>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</si>
  <si>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</si>
  <si>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</si>
  <si>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</si>
  <si>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</si>
  <si>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</si>
  <si>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</si>
  <si>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</si>
  <si>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</si>
  <si>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</si>
  <si>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</si>
  <si>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</si>
  <si>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</si>
  <si>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</si>
  <si>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</si>
  <si>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</si>
  <si>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</si>
  <si>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</si>
  <si>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</si>
  <si>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</si>
  <si>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</si>
  <si>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</si>
  <si>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</si>
  <si>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</si>
  <si>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</si>
  <si>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</si>
  <si>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</si>
  <si>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</si>
  <si>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</si>
  <si>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</si>
  <si>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</si>
  <si>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</si>
  <si>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</si>
  <si>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</si>
  <si>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</si>
  <si>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</si>
  <si>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</si>
  <si>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</si>
  <si>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</si>
  <si>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</si>
  <si>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</si>
  <si>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</si>
  <si>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</si>
  <si>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</si>
  <si>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</si>
  <si>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</si>
  <si>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</si>
  <si>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</si>
  <si>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</si>
  <si>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</si>
  <si>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</si>
  <si>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</si>
  <si>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</si>
  <si>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</si>
  <si>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</si>
  <si>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</si>
  <si>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</si>
  <si>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</si>
  <si>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</si>
  <si>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</si>
  <si>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</si>
  <si>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</si>
  <si>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</si>
  <si>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</si>
  <si>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</si>
  <si>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</si>
  <si>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</si>
  <si>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</si>
  <si>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</si>
  <si>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</si>
  <si>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</si>
  <si>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</si>
  <si>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</si>
  <si>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</si>
  <si>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</si>
  <si>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</si>
  <si>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</si>
  <si>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</si>
  <si>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</si>
  <si>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</si>
  <si>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</si>
  <si>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</si>
  <si>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</si>
  <si>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</si>
  <si>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</si>
  <si>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</si>
  <si>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</si>
  <si>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</si>
  <si>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</si>
  <si>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</si>
  <si>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</si>
  <si>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</si>
  <si>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</si>
  <si>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</si>
  <si>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</si>
  <si>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</si>
  <si>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</si>
  <si>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</si>
  <si>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</si>
  <si>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</si>
  <si>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</si>
  <si>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</si>
  <si>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</si>
  <si>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</si>
  <si>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</si>
  <si>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</si>
  <si>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</si>
  <si>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</si>
  <si>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</si>
  <si>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</si>
  <si>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</si>
  <si>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</si>
  <si>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</si>
  <si>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</si>
  <si>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</si>
  <si>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</si>
  <si>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</si>
  <si>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</si>
  <si>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</si>
  <si>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</si>
  <si>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</si>
  <si>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</si>
  <si>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</si>
  <si>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</si>
  <si>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</si>
  <si>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</si>
  <si>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</si>
  <si>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</si>
  <si>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</si>
  <si>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</si>
  <si>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</si>
  <si>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</si>
  <si>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</si>
  <si>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</si>
  <si>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</si>
  <si>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</si>
  <si>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</si>
  <si>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</si>
  <si>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</si>
  <si>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</si>
  <si>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</si>
  <si>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</si>
  <si>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</si>
  <si>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</si>
  <si>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</si>
  <si>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</si>
  <si>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</si>
  <si>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</si>
  <si>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</si>
  <si>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</si>
  <si>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</si>
  <si>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</si>
  <si>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</si>
  <si>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</si>
  <si>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</si>
  <si>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</si>
  <si>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</si>
  <si>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</si>
  <si>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</si>
  <si>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</si>
  <si>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</si>
  <si>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</si>
  <si>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</si>
  <si>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</si>
  <si>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</si>
  <si>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</si>
  <si>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</si>
  <si>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</si>
  <si>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</si>
  <si>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</si>
  <si>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</si>
  <si>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</si>
  <si>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</si>
  <si>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</si>
  <si>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</si>
  <si>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</si>
  <si>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</si>
  <si>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</si>
  <si>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</si>
  <si>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</si>
  <si>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</si>
  <si>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</si>
  <si>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</si>
  <si>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</si>
  <si>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</si>
  <si>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</si>
  <si>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</si>
  <si>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</si>
  <si>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</si>
  <si>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</si>
  <si>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</si>
  <si>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</si>
  <si>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</si>
  <si>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</si>
  <si>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</si>
  <si>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</si>
  <si>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</si>
  <si>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</si>
  <si>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</si>
  <si>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</si>
  <si>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</si>
  <si>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</si>
  <si>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</si>
  <si>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</si>
  <si>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</si>
  <si>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</si>
  <si>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</si>
  <si>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</si>
  <si>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</si>
  <si>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</si>
  <si>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</si>
  <si>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</si>
  <si>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</si>
  <si>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</si>
  <si>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</si>
  <si>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</si>
  <si>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</si>
  <si>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</si>
  <si>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</si>
  <si>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</si>
  <si>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</si>
  <si>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</si>
  <si>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</si>
  <si>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</si>
  <si>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</si>
  <si>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</si>
  <si>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</si>
  <si>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</si>
  <si>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</si>
  <si>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</si>
  <si>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</si>
  <si>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</si>
  <si>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</si>
  <si>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</si>
  <si>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</si>
  <si>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</si>
  <si>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</si>
  <si>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</si>
  <si>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</si>
  <si>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</si>
  <si>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</si>
  <si>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</si>
  <si>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</si>
  <si>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</si>
  <si>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</si>
  <si>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</si>
  <si>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</si>
  <si>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</si>
  <si>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</si>
  <si>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</si>
  <si>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</si>
  <si>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</si>
  <si>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</si>
  <si>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</si>
  <si>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</si>
  <si>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</si>
  <si>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</si>
  <si>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</si>
  <si>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</si>
  <si>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</si>
  <si>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</si>
  <si>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</si>
  <si>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</si>
  <si>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</si>
  <si>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</si>
  <si>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</si>
  <si>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</si>
  <si>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</si>
  <si>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</si>
  <si>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</si>
  <si>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</si>
  <si>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</si>
  <si>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</si>
  <si>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</si>
  <si>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</si>
  <si>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</si>
  <si>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</si>
  <si>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</si>
  <si>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</si>
  <si>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</si>
  <si>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</si>
  <si>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</si>
  <si>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</si>
  <si>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</si>
  <si>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</si>
  <si>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</si>
  <si>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</si>
  <si>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</si>
  <si>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</si>
  <si>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</si>
  <si>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</si>
  <si>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</si>
  <si>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</si>
  <si>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</si>
  <si>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</si>
  <si>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</si>
  <si>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</si>
  <si>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</si>
  <si>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</si>
  <si>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</si>
  <si>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</si>
  <si>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</si>
  <si>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</si>
  <si>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</si>
  <si>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</si>
  <si>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</si>
  <si>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</si>
  <si>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</si>
  <si>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</si>
  <si>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</si>
  <si>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</si>
  <si>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</si>
  <si>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</si>
  <si>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</si>
  <si>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</si>
  <si>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</si>
  <si>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</si>
  <si>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</si>
  <si>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</si>
  <si>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</si>
  <si>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</si>
  <si>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</si>
  <si>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</si>
  <si>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</si>
  <si>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</si>
  <si>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</si>
  <si>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</si>
  <si>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</si>
  <si>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</si>
  <si>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</si>
  <si>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</si>
  <si>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</si>
  <si>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</si>
  <si>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</si>
  <si>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</si>
  <si>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</si>
  <si>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</si>
  <si>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</si>
  <si>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</si>
  <si>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</si>
  <si>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</si>
  <si>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</si>
  <si>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</si>
  <si>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</si>
  <si>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</si>
  <si>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</si>
  <si>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</si>
  <si>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</si>
  <si>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</si>
  <si>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</si>
  <si>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</si>
  <si>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</si>
  <si>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</si>
  <si>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</si>
  <si>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</si>
  <si>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</si>
  <si>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</si>
  <si>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</si>
  <si>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</si>
  <si>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</si>
  <si>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</si>
  <si>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</si>
  <si>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</si>
  <si>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</si>
  <si>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</si>
  <si>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</si>
  <si>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</si>
  <si>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</si>
  <si>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</si>
  <si>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</si>
  <si>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</si>
  <si>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</si>
  <si>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</si>
  <si>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</si>
  <si>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</si>
  <si>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</si>
  <si>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</si>
  <si>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</si>
  <si>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</si>
  <si>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</si>
  <si>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</si>
  <si>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</si>
  <si>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</si>
  <si>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</si>
  <si>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</si>
  <si>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</si>
  <si>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</si>
  <si>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</si>
  <si>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</si>
  <si>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</si>
  <si>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</si>
  <si>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</si>
  <si>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</si>
  <si>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</si>
  <si>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</si>
  <si>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</si>
  <si>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</si>
  <si>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</si>
  <si>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</si>
  <si>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</si>
  <si>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</si>
  <si>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</si>
  <si>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</si>
  <si>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</si>
  <si>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</si>
  <si>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</si>
  <si>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</si>
  <si>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</si>
  <si>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</si>
  <si>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</si>
  <si>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</si>
  <si>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</si>
  <si>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</si>
  <si>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</si>
  <si>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</si>
  <si>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</si>
  <si>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</si>
  <si>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</si>
  <si>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</si>
  <si>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</si>
  <si>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</si>
  <si>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</si>
  <si>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</si>
  <si>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</si>
  <si>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</si>
  <si>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</si>
  <si>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</si>
  <si>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</si>
  <si>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</si>
  <si>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</si>
  <si>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</si>
  <si>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</si>
  <si>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</si>
  <si>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</si>
  <si>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</si>
  <si>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</si>
  <si>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</si>
  <si>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</si>
  <si>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</si>
  <si>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</si>
  <si>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</si>
  <si>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</si>
  <si>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</si>
  <si>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</si>
  <si>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</si>
  <si>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</si>
  <si>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</si>
  <si>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</si>
  <si>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</si>
  <si>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</si>
  <si>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</si>
  <si>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</si>
  <si>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</si>
  <si>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</si>
  <si>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</si>
  <si>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</si>
  <si>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</si>
  <si>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</si>
  <si>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</si>
  <si>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</si>
  <si>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</si>
  <si>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</si>
  <si>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</si>
  <si>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</si>
  <si>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</si>
  <si>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</si>
  <si>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</si>
  <si>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</si>
  <si>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</si>
  <si>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</si>
  <si>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</si>
  <si>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</si>
  <si>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</si>
  <si>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</si>
  <si>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</si>
  <si>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</si>
  <si>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</si>
  <si>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</si>
  <si>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</si>
  <si>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</si>
  <si>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</si>
  <si>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</si>
  <si>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</si>
  <si>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</si>
  <si>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</si>
  <si>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</si>
  <si>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</si>
  <si>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</si>
  <si>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</si>
  <si>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</si>
  <si>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</si>
  <si>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</si>
  <si>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</si>
  <si>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</si>
  <si>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</si>
  <si>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</si>
  <si>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</si>
  <si>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</si>
  <si>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</si>
  <si>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</si>
  <si>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</si>
  <si>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</si>
  <si>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</si>
  <si>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</si>
  <si>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</si>
  <si>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</si>
  <si>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</si>
  <si>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</si>
  <si>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</si>
  <si>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</si>
  <si>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</si>
  <si>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</si>
  <si>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</si>
  <si>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</si>
  <si>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</si>
  <si>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</si>
  <si>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</si>
  <si>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</si>
  <si>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</si>
  <si>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</si>
  <si>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</si>
  <si>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</si>
  <si>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</si>
  <si>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</si>
  <si>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</si>
  <si>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</si>
  <si>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</si>
  <si>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</si>
  <si>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</si>
  <si>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</si>
  <si>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</si>
  <si>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</si>
  <si>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</si>
  <si>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</si>
  <si>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</si>
  <si>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</si>
  <si>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</si>
  <si>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</si>
  <si>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</si>
  <si>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</si>
  <si>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</si>
  <si>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</si>
  <si>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</si>
  <si>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</si>
  <si>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</si>
  <si>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</si>
  <si>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</si>
  <si>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</si>
  <si>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</si>
  <si>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</si>
  <si>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</si>
  <si>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</si>
  <si>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</si>
  <si>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</si>
  <si>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</si>
  <si>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</si>
  <si>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</si>
  <si>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</si>
  <si>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</si>
  <si>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</si>
  <si>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</si>
  <si>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</si>
  <si>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</si>
  <si>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</si>
  <si>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</si>
  <si>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</si>
  <si>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</si>
  <si>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</si>
  <si>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</si>
  <si>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</si>
  <si>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</si>
  <si>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</si>
  <si>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</si>
  <si>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</si>
  <si>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</si>
  <si>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</si>
  <si>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</si>
  <si>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</si>
  <si>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</si>
  <si>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</si>
  <si>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</si>
  <si>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</si>
  <si>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</si>
  <si>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</si>
  <si>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</si>
  <si>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</si>
  <si>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</si>
  <si>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</si>
  <si>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</si>
  <si>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</si>
  <si>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</si>
  <si>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</si>
  <si>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</si>
  <si>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</si>
  <si>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</si>
  <si>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</si>
  <si>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</si>
  <si>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</si>
  <si>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</si>
  <si>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</si>
  <si>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</si>
  <si>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</si>
  <si>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</si>
  <si>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</si>
  <si>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</si>
  <si>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</si>
  <si>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</si>
  <si>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</si>
  <si>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</si>
  <si>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</si>
  <si>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</si>
  <si>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</si>
  <si>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</si>
  <si>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</si>
  <si>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</si>
  <si>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</si>
  <si>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</si>
  <si>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</si>
  <si>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</si>
  <si>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</si>
  <si>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</si>
  <si>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</si>
  <si>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</si>
  <si>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</si>
  <si>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</si>
  <si>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</si>
  <si>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</si>
  <si>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</si>
  <si>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</si>
  <si>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</si>
  <si>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</si>
  <si>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</si>
  <si>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</si>
  <si>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</si>
  <si>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</si>
  <si>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</si>
  <si>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</si>
  <si>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</si>
  <si>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</si>
  <si>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</si>
  <si>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</si>
  <si>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</si>
  <si>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</si>
  <si>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</si>
  <si>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</si>
  <si>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</si>
  <si>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</si>
  <si>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</si>
  <si>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</si>
  <si>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</si>
  <si>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</si>
  <si>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</si>
  <si>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</si>
  <si>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</si>
  <si>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</si>
  <si>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</si>
  <si>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</si>
  <si>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</si>
  <si>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</si>
  <si>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</si>
  <si>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</si>
  <si>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</si>
  <si>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</si>
  <si>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</si>
  <si>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</si>
  <si>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</si>
  <si>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</si>
  <si>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</si>
  <si>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</si>
  <si>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</si>
  <si>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</si>
  <si>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</si>
  <si>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</si>
  <si>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</si>
  <si>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</si>
  <si>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</si>
  <si>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</si>
  <si>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</si>
  <si>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</si>
  <si>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</si>
  <si>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</si>
  <si>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</si>
  <si>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</si>
  <si>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</si>
  <si>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</si>
  <si>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</si>
  <si>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</si>
  <si>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</si>
  <si>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</si>
  <si>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</si>
  <si>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</si>
  <si>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</si>
  <si>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</si>
  <si>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</si>
  <si>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</si>
  <si>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</si>
  <si>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</si>
  <si>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</si>
  <si>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</si>
  <si>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</si>
  <si>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</si>
  <si>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</si>
  <si>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</si>
  <si>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</si>
  <si>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</si>
  <si>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</si>
  <si>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</si>
  <si>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</si>
  <si>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</si>
  <si>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</si>
  <si>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</si>
  <si>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</si>
  <si>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</si>
  <si>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</si>
  <si>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</si>
  <si>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</si>
  <si>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</si>
  <si>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</si>
  <si>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</si>
  <si>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</si>
  <si>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</si>
  <si>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</si>
  <si>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</si>
  <si>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</si>
  <si>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</si>
  <si>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</si>
  <si>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</si>
  <si>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</si>
  <si>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</si>
  <si>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</si>
  <si>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</si>
  <si>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</si>
  <si>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</si>
  <si>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</si>
  <si>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</si>
  <si>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</si>
  <si>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</si>
  <si>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</si>
  <si>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</si>
  <si>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</si>
  <si>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</si>
  <si>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</si>
  <si>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</si>
  <si>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</si>
  <si>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</si>
  <si>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</si>
  <si>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</si>
  <si>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</si>
  <si>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</si>
  <si>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</si>
  <si>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</si>
  <si>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</si>
  <si>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</si>
  <si>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</si>
  <si>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</si>
  <si>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</si>
  <si>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</si>
  <si>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</si>
  <si>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</si>
  <si>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</si>
  <si>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</si>
  <si>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</si>
  <si>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</si>
  <si>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</si>
  <si>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</si>
  <si>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</si>
  <si>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</si>
  <si>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</si>
  <si>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</si>
  <si>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</si>
  <si>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</si>
  <si>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</si>
  <si>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</si>
  <si>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</si>
  <si>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</si>
  <si>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</si>
  <si>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</si>
  <si>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</si>
  <si>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</si>
  <si>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</si>
  <si>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</si>
  <si>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</si>
  <si>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</si>
  <si>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</si>
  <si>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</si>
  <si>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</si>
  <si>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</si>
  <si>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</si>
  <si>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</si>
  <si>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</si>
  <si>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</si>
  <si>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</si>
  <si>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</si>
  <si>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</si>
  <si>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</si>
  <si>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</si>
  <si>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</si>
  <si>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</si>
  <si>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</si>
  <si>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</si>
  <si>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</si>
  <si>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</si>
  <si>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</si>
  <si>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</si>
  <si>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</si>
  <si>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</si>
  <si>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</si>
  <si>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</si>
  <si>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</si>
  <si>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</si>
  <si>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</si>
  <si>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</si>
  <si>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</si>
  <si>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</si>
  <si>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</si>
  <si>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</si>
  <si>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</si>
  <si>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</si>
  <si>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</si>
  <si>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</si>
  <si>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</si>
  <si>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</si>
  <si>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</si>
  <si>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</si>
  <si>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</si>
  <si>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</si>
  <si>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</si>
  <si>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</si>
  <si>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</si>
  <si>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</si>
  <si>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</si>
  <si>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</si>
  <si>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</si>
  <si>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</si>
  <si>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</si>
  <si>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</si>
  <si>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</si>
  <si>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</si>
  <si>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</si>
  <si>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</si>
  <si>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</si>
  <si>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</si>
  <si>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</si>
  <si>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</si>
  <si>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</si>
  <si>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</si>
  <si>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</si>
  <si>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</si>
  <si>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</si>
  <si>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</si>
  <si>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</si>
  <si>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</si>
  <si>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</si>
  <si>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</si>
  <si>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</si>
  <si>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</si>
  <si>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</si>
  <si>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</si>
  <si>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</si>
  <si>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</si>
  <si>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</si>
  <si>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</si>
  <si>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</si>
  <si>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</si>
  <si>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</si>
  <si>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</si>
  <si>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</si>
  <si>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</si>
  <si>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</si>
  <si>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</si>
  <si>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</si>
  <si>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</si>
  <si>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</si>
  <si>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</si>
  <si>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</si>
  <si>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</si>
  <si>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</si>
  <si>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</si>
  <si>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</si>
  <si>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</si>
  <si>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</si>
  <si>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</si>
  <si>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</si>
  <si>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</si>
  <si>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</si>
  <si>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</si>
  <si>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</si>
  <si>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</si>
  <si>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</si>
  <si>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</si>
  <si>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</si>
  <si>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</si>
  <si>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</si>
  <si>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</si>
  <si>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</si>
  <si>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</si>
  <si>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</si>
  <si>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</si>
  <si>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</si>
  <si>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</si>
  <si>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</si>
  <si>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</si>
  <si>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</si>
  <si>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</si>
  <si>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</si>
  <si>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</si>
  <si>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</si>
  <si>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</si>
  <si>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</si>
  <si>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</si>
  <si>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</si>
  <si>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</si>
  <si>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</si>
  <si>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</si>
  <si>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</si>
  <si>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</si>
  <si>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</si>
  <si>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</si>
  <si>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</si>
  <si>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</si>
  <si>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</si>
  <si>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</si>
  <si>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</si>
  <si>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</si>
  <si>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</si>
  <si>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</si>
  <si>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</si>
  <si>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</si>
  <si>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</si>
  <si>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</si>
  <si>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</si>
  <si>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</si>
  <si>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</si>
  <si>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</si>
  <si>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</si>
  <si>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</si>
  <si>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</si>
  <si>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</si>
  <si>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</si>
  <si>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</si>
  <si>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</si>
  <si>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</si>
  <si>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</si>
  <si>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</si>
  <si>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</si>
  <si>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</si>
  <si>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</si>
  <si>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</si>
  <si>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</si>
  <si>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</si>
  <si>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</si>
  <si>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</si>
  <si>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</si>
  <si>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</si>
  <si>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</si>
  <si>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</si>
  <si>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</si>
  <si>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</si>
  <si>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</si>
  <si>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</si>
  <si>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</si>
  <si>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</si>
  <si>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</si>
  <si>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</si>
  <si>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</si>
  <si>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</si>
  <si>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</si>
  <si>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</si>
  <si>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</si>
  <si>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</si>
  <si>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</si>
  <si>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</si>
  <si>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</si>
  <si>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</si>
  <si>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</si>
  <si>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</si>
  <si>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</si>
  <si>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</si>
  <si>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</si>
  <si>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</si>
  <si>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</si>
  <si>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</si>
  <si>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</si>
  <si>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</si>
  <si>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</si>
  <si>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</si>
  <si>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</si>
  <si>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</si>
  <si>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</si>
  <si>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</si>
  <si>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</si>
  <si>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</si>
  <si>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</si>
  <si>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</si>
  <si>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</si>
  <si>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</si>
  <si>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</si>
  <si>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</si>
  <si>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</si>
  <si>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</si>
  <si>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</si>
  <si>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</si>
  <si>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</si>
  <si>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</si>
  <si>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</si>
  <si>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</si>
  <si>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</si>
  <si>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</si>
  <si>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</si>
  <si>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</si>
  <si>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</si>
  <si>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</si>
  <si>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</si>
  <si>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</si>
  <si>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</si>
  <si>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</si>
  <si>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</si>
  <si>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</si>
  <si>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</si>
  <si>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</si>
  <si>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</si>
  <si>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</si>
  <si>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</si>
  <si>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</si>
  <si>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</si>
  <si>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</si>
  <si>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</si>
  <si>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</si>
  <si>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</si>
  <si>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</si>
  <si>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</si>
  <si>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</si>
  <si>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</si>
  <si>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</si>
  <si>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</si>
  <si>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</si>
  <si>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</si>
  <si>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</si>
  <si>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</si>
  <si>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</si>
  <si>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</si>
  <si>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</si>
  <si>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</si>
  <si>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</si>
  <si>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</si>
  <si>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</si>
  <si>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</si>
  <si>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</si>
  <si>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</si>
  <si>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</si>
  <si>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</si>
  <si>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</si>
  <si>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</si>
  <si>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</si>
  <si>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</si>
  <si>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</si>
  <si>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</si>
  <si>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</si>
  <si>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</si>
  <si>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</si>
  <si>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</si>
  <si>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</si>
  <si>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</si>
  <si>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</si>
  <si>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</si>
  <si>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</si>
  <si>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</si>
  <si>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</si>
  <si>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</si>
  <si>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</si>
  <si>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</si>
  <si>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</si>
  <si>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</si>
  <si>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</si>
  <si>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</si>
  <si>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</si>
  <si>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</si>
  <si>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</si>
  <si>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</si>
  <si>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</si>
  <si>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</si>
  <si>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</si>
  <si>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</si>
  <si>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</si>
  <si>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</si>
  <si>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</si>
  <si>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</si>
  <si>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</si>
  <si>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</si>
  <si>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</si>
  <si>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</si>
  <si>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</si>
  <si>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</si>
  <si>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</si>
  <si>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</si>
  <si>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</si>
  <si>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</si>
  <si>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</si>
  <si>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</si>
  <si>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</si>
  <si>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</si>
  <si>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</si>
  <si>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</si>
  <si>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</si>
  <si>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</si>
  <si>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</si>
  <si>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</si>
  <si>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</si>
  <si>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</si>
  <si>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</si>
  <si>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</si>
  <si>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</si>
  <si>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</si>
  <si>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</si>
  <si>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</si>
  <si>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</si>
  <si>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</si>
  <si>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</si>
  <si>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</si>
  <si>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</si>
  <si>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</si>
  <si>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</si>
  <si>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</si>
  <si>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</si>
  <si>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</si>
  <si>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</si>
  <si>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</si>
  <si>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</si>
  <si>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</si>
  <si>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</si>
  <si>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</si>
  <si>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</si>
  <si>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</si>
  <si>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</si>
  <si>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</si>
  <si>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</si>
  <si>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</si>
  <si>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</si>
  <si>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</si>
  <si>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</si>
  <si>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</si>
  <si>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</si>
  <si>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</si>
  <si>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</si>
  <si>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</si>
  <si>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</si>
  <si>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</si>
  <si>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</si>
  <si>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</si>
  <si>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</si>
  <si>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</si>
  <si>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</si>
  <si>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</si>
  <si>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</si>
  <si>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</si>
  <si>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</si>
  <si>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</si>
  <si>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</si>
  <si>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</si>
  <si>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</si>
  <si>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</si>
  <si>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</si>
  <si>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</si>
  <si>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</si>
  <si>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</si>
  <si>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</si>
  <si>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</si>
  <si>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</si>
  <si>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</si>
  <si>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</si>
  <si>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</si>
  <si>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</si>
  <si>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</si>
  <si>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</si>
  <si>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</si>
  <si>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</si>
  <si>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</si>
  <si>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</si>
  <si>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</si>
  <si>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</si>
  <si>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</si>
  <si>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</si>
  <si>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</si>
  <si>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</si>
  <si>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</si>
  <si>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</si>
  <si>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</si>
  <si>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</si>
  <si>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</si>
  <si>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</si>
  <si>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</si>
  <si>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</si>
  <si>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</si>
  <si>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</si>
  <si>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</si>
  <si>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</si>
  <si>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</si>
  <si>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</si>
  <si>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</si>
  <si>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</si>
  <si>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</si>
  <si>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</si>
  <si>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</si>
  <si>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</si>
  <si>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</si>
  <si>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</si>
  <si>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</si>
  <si>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</si>
  <si>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</si>
  <si>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</si>
  <si>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</si>
  <si>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</si>
  <si>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</si>
  <si>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</si>
  <si>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</si>
  <si>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</si>
  <si>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</si>
  <si>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</si>
  <si>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</si>
  <si>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</si>
  <si>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</si>
  <si>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</si>
  <si>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</si>
  <si>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</si>
  <si>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</si>
  <si>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</si>
  <si>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</si>
  <si>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</si>
  <si>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</si>
  <si>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</si>
  <si>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</si>
  <si>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</si>
  <si>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</si>
  <si>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</si>
  <si>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</si>
  <si>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</si>
  <si>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</si>
  <si>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</si>
  <si>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</si>
  <si>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</si>
  <si>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</si>
  <si>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</si>
  <si>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</si>
  <si>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</si>
  <si>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</si>
  <si>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</si>
  <si>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</si>
  <si>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</si>
  <si>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</si>
  <si>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</si>
  <si>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</si>
  <si>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</si>
  <si>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</si>
  <si>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</si>
  <si>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</si>
  <si>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</si>
  <si>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</si>
  <si>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</si>
  <si>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</si>
  <si>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</si>
  <si>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</si>
  <si>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</si>
  <si>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</si>
  <si>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</si>
  <si>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</si>
  <si>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</si>
  <si>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</si>
  <si>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</si>
  <si>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</si>
  <si>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</si>
  <si>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</si>
  <si>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</si>
  <si>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</si>
  <si>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</si>
  <si>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</si>
  <si>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</si>
  <si>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</si>
  <si>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</si>
  <si>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</si>
  <si>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</si>
  <si>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</si>
  <si>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</si>
  <si>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</si>
  <si>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</si>
  <si>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</si>
  <si>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</si>
  <si>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</si>
  <si>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</si>
  <si>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</si>
  <si>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</si>
  <si>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</si>
  <si>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</si>
  <si>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</si>
  <si>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</si>
  <si>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</si>
  <si>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</si>
  <si>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</si>
  <si>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</si>
  <si>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</si>
  <si>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</si>
  <si>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</si>
  <si>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</si>
  <si>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</si>
  <si>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</si>
  <si>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</si>
  <si>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</si>
  <si>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</si>
  <si>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</si>
  <si>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</si>
  <si>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</si>
  <si>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</si>
  <si>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</si>
  <si>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</si>
  <si>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</si>
  <si>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</si>
  <si>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</si>
  <si>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</si>
  <si>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</si>
  <si>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</si>
  <si>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</si>
  <si>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</si>
  <si>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</si>
  <si>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</si>
  <si>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</si>
  <si>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</si>
  <si>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</si>
  <si>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</si>
  <si>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</si>
  <si>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</si>
  <si>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</si>
  <si>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</si>
  <si>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</si>
  <si>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</si>
  <si>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</si>
  <si>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</si>
  <si>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</si>
  <si>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</si>
  <si>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</si>
  <si>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</si>
  <si>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</si>
  <si>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</si>
  <si>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</si>
  <si>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</si>
  <si>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</si>
  <si>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</si>
  <si>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</si>
  <si>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</si>
  <si>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</si>
  <si>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</si>
  <si>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</si>
  <si>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</si>
  <si>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</si>
  <si>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</si>
  <si>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</si>
  <si>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</si>
  <si>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</si>
  <si>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</si>
  <si>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</si>
  <si>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</si>
  <si>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</si>
  <si>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</si>
  <si>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</si>
  <si>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</si>
  <si>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</si>
  <si>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</si>
  <si>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</si>
  <si>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</si>
  <si>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</si>
  <si>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</si>
  <si>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</si>
  <si>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</si>
  <si>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</si>
  <si>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</si>
  <si>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</si>
  <si>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</si>
  <si>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</si>
  <si>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</si>
  <si>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</si>
  <si>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</si>
  <si>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</si>
  <si>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</si>
  <si>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</si>
  <si>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</si>
  <si>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</si>
  <si>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</si>
  <si>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</si>
  <si>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</si>
  <si>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</si>
  <si>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</si>
  <si>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</si>
  <si>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</si>
  <si>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</si>
  <si>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</si>
  <si>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</si>
  <si>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</si>
  <si>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</si>
  <si>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</si>
  <si>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</si>
  <si>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</si>
  <si>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</si>
  <si>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</si>
  <si>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</si>
  <si>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</si>
  <si>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</si>
  <si>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</si>
  <si>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</si>
  <si>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</si>
  <si>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</si>
  <si>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</si>
  <si>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</si>
  <si>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</si>
  <si>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</si>
  <si>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</si>
  <si>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</si>
  <si>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</si>
  <si>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</si>
  <si>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</si>
  <si>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</si>
  <si>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</si>
  <si>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</si>
  <si>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</si>
  <si>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</si>
  <si>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</si>
  <si>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</si>
  <si>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</si>
  <si>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</si>
  <si>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</si>
  <si>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</si>
  <si>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</si>
  <si>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</si>
  <si>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</si>
  <si>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</si>
  <si>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</si>
  <si>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</si>
  <si>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</si>
  <si>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</si>
  <si>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</si>
  <si>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</si>
  <si>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</si>
  <si>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</si>
  <si>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</si>
  <si>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</si>
  <si>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</si>
  <si>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</si>
  <si>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</si>
  <si>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</si>
  <si>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</si>
  <si>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</si>
  <si>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</si>
  <si>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</si>
  <si>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</si>
  <si>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</si>
  <si>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</si>
  <si>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</si>
  <si>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</si>
  <si>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</si>
  <si>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</si>
  <si>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</si>
  <si>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</si>
  <si>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</si>
  <si>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</si>
  <si>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</si>
  <si>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</si>
  <si>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</si>
  <si>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</si>
  <si>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</si>
  <si>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</si>
  <si>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</si>
  <si>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</si>
  <si>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</si>
  <si>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</si>
  <si>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</si>
  <si>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</si>
  <si>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</si>
  <si>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</si>
  <si>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</si>
  <si>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</si>
  <si>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</si>
  <si>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</si>
  <si>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</si>
  <si>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</si>
  <si>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</si>
  <si>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</si>
  <si>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</si>
  <si>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</si>
  <si>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</si>
  <si>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</si>
  <si>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</si>
  <si>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</si>
  <si>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</si>
  <si>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</si>
  <si>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</si>
  <si>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</si>
  <si>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</si>
  <si>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</si>
  <si>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</si>
  <si>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</si>
  <si>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</si>
  <si>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</si>
  <si>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</si>
  <si>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</si>
  <si>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</si>
  <si>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</si>
  <si>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</si>
  <si>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</si>
  <si>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</si>
  <si>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</si>
  <si>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</si>
  <si>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</si>
  <si>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</si>
  <si>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</si>
  <si>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</si>
  <si>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</si>
  <si>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</si>
  <si>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</si>
  <si>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</si>
  <si>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</si>
  <si>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</si>
  <si>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</si>
  <si>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</si>
  <si>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</si>
  <si>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</si>
  <si>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</si>
  <si>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</si>
  <si>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</si>
  <si>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</si>
  <si>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</si>
  <si>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</si>
  <si>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</si>
  <si>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</si>
  <si>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</si>
  <si>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</si>
  <si>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</si>
  <si>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</si>
  <si>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</si>
  <si>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</si>
  <si>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</si>
  <si>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</si>
  <si>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</si>
  <si>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</si>
  <si>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</si>
  <si>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</si>
  <si>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</si>
  <si>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</si>
  <si>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</si>
  <si>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</si>
  <si>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</si>
  <si>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</si>
  <si>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</si>
  <si>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</si>
  <si>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</si>
  <si>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</si>
  <si>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</si>
  <si>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</si>
  <si>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</si>
  <si>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</si>
  <si>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</si>
  <si>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</si>
  <si>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</si>
  <si>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</si>
  <si>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</si>
  <si>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</si>
  <si>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</si>
  <si>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</si>
  <si>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</si>
  <si>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</si>
  <si>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</si>
  <si>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</si>
  <si>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</si>
  <si>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</si>
  <si>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</si>
  <si>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</si>
  <si>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</si>
  <si>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</si>
  <si>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</si>
  <si>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</si>
  <si>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</si>
  <si>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</si>
  <si>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</si>
  <si>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</si>
  <si>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</si>
  <si>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</si>
  <si>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</si>
  <si>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</si>
  <si>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</si>
  <si>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</si>
  <si>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</si>
  <si>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</si>
  <si>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</si>
  <si>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</si>
  <si>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</si>
  <si>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</si>
  <si>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</si>
  <si>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</si>
  <si>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</si>
  <si>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</si>
  <si>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</si>
  <si>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</si>
  <si>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</si>
  <si>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</si>
  <si>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</si>
  <si>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</si>
  <si>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</si>
  <si>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</si>
  <si>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</si>
  <si>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</si>
  <si>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</si>
  <si>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</si>
  <si>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</si>
  <si>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</si>
  <si>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</si>
  <si>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</si>
  <si>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</si>
  <si>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</si>
  <si>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</si>
  <si>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</si>
  <si>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</si>
  <si>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</si>
  <si>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</si>
  <si>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</si>
  <si>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</si>
  <si>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</si>
  <si>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</si>
  <si>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</si>
  <si>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</si>
  <si>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</si>
  <si>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</si>
  <si>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</si>
  <si>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</si>
  <si>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</si>
  <si>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</si>
  <si>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</si>
  <si>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</si>
  <si>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</si>
  <si>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</si>
  <si>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</si>
  <si>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</si>
  <si>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</si>
  <si>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</si>
  <si>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</si>
  <si>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</si>
  <si>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</si>
  <si>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</si>
  <si>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</si>
  <si>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</si>
  <si>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</si>
  <si>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</si>
  <si>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</si>
  <si>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</si>
  <si>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</si>
  <si>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</si>
  <si>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</si>
  <si>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</si>
  <si>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</si>
  <si>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</si>
  <si>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</si>
  <si>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</si>
  <si>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</si>
  <si>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</si>
  <si>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</si>
  <si>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</si>
  <si>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</si>
  <si>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</si>
  <si>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</si>
  <si>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</si>
  <si>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</si>
  <si>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</si>
  <si>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</si>
  <si>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</si>
  <si>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</si>
  <si>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</si>
  <si>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</si>
  <si>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</si>
  <si>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</si>
  <si>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</si>
  <si>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</si>
  <si>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</si>
  <si>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</si>
  <si>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</si>
  <si>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</si>
  <si>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</si>
  <si>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</si>
  <si>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</si>
  <si>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</si>
  <si>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</si>
  <si>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</si>
  <si>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</si>
  <si>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</si>
  <si>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</si>
  <si>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</si>
  <si>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</si>
  <si>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</si>
  <si>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</si>
  <si>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</si>
  <si>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</si>
  <si>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</si>
  <si>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</si>
  <si>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</si>
  <si>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</si>
  <si>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</si>
  <si>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</si>
  <si>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</si>
  <si>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</si>
  <si>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</si>
  <si>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</si>
  <si>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</si>
  <si>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</si>
  <si>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</si>
  <si>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</si>
  <si>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</si>
  <si>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</si>
  <si>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</si>
  <si>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</si>
  <si>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</si>
  <si>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</si>
  <si>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</si>
  <si>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</si>
  <si>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</si>
  <si>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</si>
  <si>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</si>
  <si>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</si>
  <si>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</si>
  <si>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</si>
  <si>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</si>
  <si>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</si>
  <si>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</si>
  <si>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</si>
  <si>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</si>
  <si>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</si>
  <si>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</si>
  <si>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</si>
  <si>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</si>
  <si>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</si>
  <si>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</si>
  <si>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</si>
  <si>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</si>
  <si>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</si>
  <si>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</si>
  <si>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</si>
  <si>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</si>
  <si>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</si>
  <si>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Philip E. Searles</t>
  </si>
  <si>
    <t>3555 Sweetwater Rd.</t>
  </si>
  <si>
    <t>President</t>
  </si>
  <si>
    <t>psearles@bjsfoundation.org</t>
  </si>
  <si>
    <t>Lafayette Senior Village</t>
  </si>
  <si>
    <t>No</t>
  </si>
  <si>
    <t>Yes</t>
  </si>
  <si>
    <t>Mayor</t>
  </si>
  <si>
    <t>HFOP</t>
  </si>
  <si>
    <t>Silver Comet Senior Village</t>
  </si>
  <si>
    <t>Beverly J. Searles Foundation</t>
  </si>
  <si>
    <t>Myrtle Terraces Senior Village</t>
  </si>
  <si>
    <t>Manager</t>
  </si>
  <si>
    <t xml:space="preserve">3555 Sweetwater Rd. </t>
  </si>
  <si>
    <t>Affordable Equity Partners</t>
  </si>
  <si>
    <t>Jeffery E. Smith</t>
  </si>
  <si>
    <t>206 Peach Way</t>
  </si>
  <si>
    <t>Richard D. Searles</t>
  </si>
  <si>
    <t>Fairway Management Inc.</t>
  </si>
  <si>
    <t>Peck Shaffer &amp; Williams, LLP</t>
  </si>
  <si>
    <t>David Williams</t>
  </si>
  <si>
    <t>Partner</t>
  </si>
  <si>
    <t>3353 Peachtree Road Suite M20</t>
  </si>
  <si>
    <t>Habif Arogeti &amp; Wynne LLP</t>
  </si>
  <si>
    <t>Ed Deck</t>
  </si>
  <si>
    <t>ed.deck@hawcpa.com</t>
  </si>
  <si>
    <t>Five Concourse Parkway Suite 1000</t>
  </si>
  <si>
    <t>Morton Gruber &amp; Associates</t>
  </si>
  <si>
    <t>Joe Bruder</t>
  </si>
  <si>
    <t>Senior Project Manager</t>
  </si>
  <si>
    <t>jbruder@mortongruber.com</t>
  </si>
  <si>
    <t>245 Peachtree Center Avenue Suite 2445</t>
  </si>
  <si>
    <t>For Profit</t>
  </si>
  <si>
    <t>Sterling Bank</t>
  </si>
  <si>
    <t>Deferred Developer Fee</t>
  </si>
  <si>
    <t>Amortizing</t>
  </si>
  <si>
    <t>Executive Director</t>
  </si>
  <si>
    <t>ricksearles@bjsfoundation.org</t>
  </si>
  <si>
    <t>ricksearles@bjsfoundion.org</t>
  </si>
  <si>
    <t>The Federal and State investor, General Contractor,  and Management Company all have a common owner.  
Jeffrey E. Smith is the president of the Management Company (Fairway Management, Inc.), the Contractor (Fairway Construction Company, Inc.), and is also the president of Affordable Equity Partners (the Federal and State Limited Partner).</t>
  </si>
  <si>
    <t>3+ Story</t>
  </si>
  <si>
    <t>Intangible Tax</t>
  </si>
  <si>
    <t>State Boost</t>
  </si>
  <si>
    <t>DCA Utility Allowance Worksheet</t>
  </si>
  <si>
    <t>MF</t>
  </si>
  <si>
    <t>Vacant Unit Prep</t>
  </si>
  <si>
    <t>TV and Internet - Office/CS</t>
  </si>
  <si>
    <t>Agree</t>
  </si>
  <si>
    <t>Site services will include pot-luck dinners (property purchases the main course), bingo, Church services, weekly exercise classes</t>
  </si>
  <si>
    <t>Geotechnical &amp; Environmental Consultants, Inc.</t>
  </si>
  <si>
    <t>Contract/Option</t>
  </si>
  <si>
    <t>Georgia Power</t>
  </si>
  <si>
    <t>Our ROS covers question D.</t>
  </si>
  <si>
    <t>Room</t>
  </si>
  <si>
    <t>Gazebo</t>
  </si>
  <si>
    <t>On-site laundry</t>
  </si>
  <si>
    <t>Furnished Exercise Room/Fitness Center</t>
  </si>
  <si>
    <t>Not requesting Preservation set-aside</t>
  </si>
  <si>
    <t>Not requestiong CHDO set-aside</t>
  </si>
  <si>
    <t>Non-minority</t>
  </si>
  <si>
    <t>Earth Craft House Multifamily</t>
  </si>
  <si>
    <t>Stable Communities &lt; 10%</t>
  </si>
  <si>
    <t>Pass</t>
  </si>
  <si>
    <t>Silver Comet Senior Village will consist of 84 senior units located within the City of Powder Springs.  The site is located within one-mile from the historic city square and will provide a quality housing option for both the existing senior population in Cobb County as well as the parents of adult children who live in the Powder Springs/Austell/Dallas.  Silver Comet Senior Village will continue the fine quality of craftsmanship that has become standard within our organization. Silver Comet Senior Village will consist of one and two bedroom units with extensive community areas. This project will provide an elegant, gracious living facility that will have on-site amenities such as a dining area, meditation room (chapel), game room/TV lounge, library and computer center, exercise room, dayrooms as well as direct access to the Silver Comet Trail. Resident services will be provided by the Beverly J. Searles Foundation. Ownership and development will be through the Beverly J. Searles Foundation. With the support of the Powder Springs Community and governing factions as well as the support of the Beverly J Searles Foundation to provide services to these elderly, Silver Comet Senior Village will provide that segment of our society that has been neglected for so long. American are living longer and longer and deserve to live their lives with dignity, grace, security and a sense of independence as provided by Silver Comet Senior Village. Quality Senior Living is not expensive - its priceless.</t>
  </si>
  <si>
    <t>GRETA stop located within 300 feet of the property.</t>
  </si>
  <si>
    <t>Equity</t>
  </si>
  <si>
    <t xml:space="preserve">General Partner Equity </t>
  </si>
  <si>
    <t>SLP Equity</t>
  </si>
  <si>
    <t>General Partner Equity</t>
  </si>
  <si>
    <t>Misc. Admin Costs</t>
  </si>
  <si>
    <t>Gibson Consulting LLC</t>
  </si>
  <si>
    <t>120 days</t>
  </si>
  <si>
    <t>210 days</t>
  </si>
  <si>
    <t>No DCA tax credit deals within a 2-mile radius from 2009-2011</t>
  </si>
  <si>
    <t>Applicant pays all utilities, as such we are using 2012 rents as there is no effect to the utility allowance.</t>
  </si>
  <si>
    <t>Floating</t>
  </si>
  <si>
    <t>Richard D. Sailors Parkway and Florence Rd.</t>
  </si>
  <si>
    <t>City of Powder Springs</t>
  </si>
  <si>
    <t>Pat Vaughn</t>
  </si>
  <si>
    <t>4484 Marietta Street</t>
  </si>
  <si>
    <t>Silver Comet General, LLC</t>
  </si>
  <si>
    <t>Silver Comet Senior Village L.P.</t>
  </si>
  <si>
    <t>bkimes@aepartners.com</t>
  </si>
  <si>
    <t>Fairway Construction Co., Inc.</t>
  </si>
  <si>
    <t>3290 Northside Parkway, Suite 330</t>
  </si>
  <si>
    <t>tnieman@fairwayconstruction.net</t>
  </si>
  <si>
    <t>awinter@fairwaymanagement.com</t>
  </si>
  <si>
    <t>We received a "Not Qualified" determination based on experience.  In response from DCA, Richard D. Searles was made the Executive Director and we are relying on his experience for the Foundation.</t>
  </si>
  <si>
    <t>Austell Gas System</t>
  </si>
  <si>
    <t>Yes- w/Master Plan</t>
  </si>
  <si>
    <t>Real Estate taxes estimated based on current millage rate and cost of improvements (at assessed value).  Propety pays cable TV and internet for common areas and office.  Insurance is based off of management's historical trends</t>
  </si>
  <si>
    <t>Beverly J. Searles Foundation, Inc.</t>
  </si>
  <si>
    <t>Norfolk Southern Atlanta-Chatt. Rail-line (crossing #719822C)</t>
  </si>
  <si>
    <t>dwilliamsjr@peckshaffer.com</t>
  </si>
  <si>
    <t>The change noted in cells L40 and L41 result from the Partnership structure.  The State Investor has a 1% stake in the LPA, resulting in the State Investor receiving 1% of the federal credits, or at the price of $.85 equals $71,400.
The applicant has added 50 basis point to the estimated permanent loan rate to allow for potential rate increases before permanent loan closing.</t>
  </si>
  <si>
    <t>2012-056</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</si>
</sst>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2012-056, Silver Comet Senior Village, Cobb County</v>
      </c>
      <c r="B1" s="866"/>
      <c r="C1" s="866"/>
      <c r="D1" s="866"/>
      <c r="E1" s="866"/>
      <c r="F1" s="866"/>
      <c r="G1" s="866"/>
    </row>
    <row r="2" spans="1:9" s="40" customFormat="1" ht="11.45" customHeight="1">
      <c r="A2" s="867" t="s">
        <v>670</v>
      </c>
      <c r="B2" s="868"/>
      <c r="C2" s="868"/>
      <c r="D2" s="868"/>
      <c r="E2" s="868"/>
      <c r="F2" s="868"/>
      <c r="G2" s="868"/>
    </row>
    <row r="3" spans="1:9" s="40" customFormat="1" ht="25.15" customHeight="1">
      <c r="A3" s="880" t="s">
        <v>3555</v>
      </c>
      <c r="B3" s="880"/>
      <c r="C3" s="880"/>
      <c r="D3" s="880"/>
      <c r="E3" s="880"/>
      <c r="F3" s="880"/>
      <c r="G3" s="880"/>
    </row>
    <row r="4" spans="1:9" s="40" customFormat="1" ht="8.25" customHeight="1">
      <c r="A4" s="95"/>
      <c r="B4" s="869" t="s">
        <v>1244</v>
      </c>
      <c r="C4" s="870"/>
      <c r="D4" s="870"/>
      <c r="E4" s="870" t="s">
        <v>3620</v>
      </c>
      <c r="F4" s="875"/>
      <c r="G4" s="96" t="s">
        <v>736</v>
      </c>
    </row>
    <row r="5" spans="1:9" s="40" customFormat="1" ht="8.25" customHeight="1">
      <c r="A5" s="97" t="s">
        <v>738</v>
      </c>
      <c r="B5" s="871"/>
      <c r="C5" s="872"/>
      <c r="D5" s="872"/>
      <c r="E5" s="872"/>
      <c r="F5" s="876"/>
      <c r="G5" s="98" t="s">
        <v>739</v>
      </c>
    </row>
    <row r="6" spans="1:9" s="40" customFormat="1" ht="8.25" customHeight="1">
      <c r="A6" s="99" t="s">
        <v>740</v>
      </c>
      <c r="B6" s="873"/>
      <c r="C6" s="874"/>
      <c r="D6" s="874"/>
      <c r="E6" s="874"/>
      <c r="F6" s="877"/>
      <c r="G6" s="100" t="s">
        <v>741</v>
      </c>
    </row>
    <row r="7" spans="1:9" s="40" customFormat="1" ht="3" customHeight="1">
      <c r="A7" s="95"/>
      <c r="B7" s="393"/>
      <c r="C7" s="393"/>
      <c r="D7" s="393"/>
      <c r="E7" s="306"/>
      <c r="F7" s="824"/>
      <c r="G7" s="311"/>
    </row>
    <row r="8" spans="1:9" s="40" customFormat="1" ht="12.6" customHeight="1">
      <c r="A8" s="101"/>
      <c r="B8" s="789"/>
      <c r="C8" s="390"/>
      <c r="D8" s="390"/>
      <c r="E8" s="789" t="s">
        <v>994</v>
      </c>
      <c r="F8" s="390"/>
      <c r="G8" s="1234"/>
      <c r="I8" s="1235"/>
    </row>
    <row r="9" spans="1:9" s="40" customFormat="1" ht="12.6" customHeight="1" thickBot="1">
      <c r="A9" s="101"/>
      <c r="B9" s="789"/>
      <c r="C9" s="390"/>
      <c r="D9" s="390"/>
      <c r="E9" s="391" t="s">
        <v>3943</v>
      </c>
      <c r="F9" s="391"/>
      <c r="G9" s="1234"/>
      <c r="I9" s="1235"/>
    </row>
    <row r="10" spans="1:9" s="40" customFormat="1" ht="12.6" customHeight="1" thickBot="1">
      <c r="A10" s="97"/>
      <c r="B10" s="402" t="s">
        <v>1322</v>
      </c>
      <c r="C10" s="402"/>
      <c r="D10" s="403"/>
      <c r="E10" s="306"/>
      <c r="F10" s="824"/>
      <c r="G10" s="824"/>
    </row>
    <row r="11" spans="1:9" s="40" customFormat="1" ht="12" customHeight="1">
      <c r="A11" s="386">
        <v>1</v>
      </c>
      <c r="B11" s="404" t="s">
        <v>2001</v>
      </c>
      <c r="C11" s="416"/>
      <c r="D11" s="1236"/>
      <c r="E11" s="391" t="s">
        <v>749</v>
      </c>
      <c r="F11" s="390"/>
      <c r="G11" s="1234"/>
    </row>
    <row r="12" spans="1:9" s="40" customFormat="1" ht="12.6" customHeight="1">
      <c r="A12" s="386"/>
      <c r="B12" s="1237"/>
      <c r="C12" s="1237"/>
      <c r="D12" s="1237"/>
      <c r="E12" s="1236" t="s">
        <v>3944</v>
      </c>
      <c r="F12" s="395"/>
      <c r="G12" s="1234"/>
    </row>
    <row r="13" spans="1:9" s="40" customFormat="1" ht="12.6" customHeight="1">
      <c r="A13" s="386"/>
      <c r="B13" s="1237"/>
      <c r="C13" s="1237"/>
      <c r="D13" s="1237"/>
      <c r="E13" s="1236" t="s">
        <v>3940</v>
      </c>
      <c r="F13" s="395"/>
      <c r="G13" s="1234"/>
    </row>
    <row r="14" spans="1:9" s="40" customFormat="1" ht="12" customHeight="1">
      <c r="A14" s="101"/>
      <c r="B14" s="391"/>
      <c r="C14" s="391"/>
      <c r="D14" s="391"/>
      <c r="E14" s="392" t="s">
        <v>750</v>
      </c>
      <c r="F14" s="391"/>
      <c r="G14" s="1234"/>
    </row>
    <row r="15" spans="1:9" s="40" customFormat="1" ht="12" customHeight="1">
      <c r="A15" s="101"/>
      <c r="B15" s="391"/>
      <c r="C15" s="391"/>
      <c r="D15" s="391"/>
      <c r="E15" s="392" t="s">
        <v>600</v>
      </c>
      <c r="F15" s="391"/>
      <c r="G15" s="1234"/>
    </row>
    <row r="16" spans="1:9" s="40" customFormat="1" ht="12" customHeight="1">
      <c r="A16" s="101"/>
      <c r="B16" s="391"/>
      <c r="C16" s="391"/>
      <c r="D16" s="391"/>
      <c r="E16" s="392" t="s">
        <v>2003</v>
      </c>
      <c r="F16" s="391"/>
      <c r="G16" s="1234"/>
    </row>
    <row r="17" spans="1:7" s="40" customFormat="1" ht="12" customHeight="1">
      <c r="A17" s="101"/>
      <c r="B17" s="239"/>
      <c r="C17" s="789"/>
      <c r="D17" s="391"/>
      <c r="E17" s="391" t="s">
        <v>3931</v>
      </c>
      <c r="F17" s="391"/>
      <c r="G17" s="1234"/>
    </row>
    <row r="18" spans="1:7" s="40" customFormat="1" ht="12" customHeight="1">
      <c r="A18" s="101"/>
      <c r="B18" s="239"/>
      <c r="C18" s="789"/>
      <c r="D18" s="391"/>
      <c r="E18" s="391" t="s">
        <v>3971</v>
      </c>
      <c r="F18" s="391"/>
      <c r="G18" s="1234"/>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2002</v>
      </c>
      <c r="F21" s="391"/>
      <c r="G21" s="1234"/>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row>
    <row r="24" spans="1:7" s="40" customFormat="1" ht="3" customHeight="1">
      <c r="A24" s="101"/>
      <c r="B24" s="239"/>
      <c r="C24" s="391"/>
      <c r="D24" s="391"/>
      <c r="E24" s="1236"/>
      <c r="F24" s="391"/>
      <c r="G24" s="102"/>
    </row>
    <row r="25" spans="1:7" s="40" customFormat="1" ht="12" customHeight="1">
      <c r="A25" s="101"/>
      <c r="B25" s="789"/>
      <c r="C25" s="405" t="s">
        <v>870</v>
      </c>
      <c r="D25" s="391"/>
      <c r="E25" s="391" t="s">
        <v>3497</v>
      </c>
      <c r="F25" s="391"/>
      <c r="G25" s="1234"/>
    </row>
    <row r="26" spans="1:7" s="40" customFormat="1" ht="12" customHeight="1">
      <c r="A26" s="101"/>
      <c r="B26" s="391"/>
      <c r="C26" s="391"/>
      <c r="D26" s="391"/>
      <c r="E26" s="1236" t="s">
        <v>3279</v>
      </c>
      <c r="F26" s="391"/>
      <c r="G26" s="1234"/>
    </row>
    <row r="27" spans="1:7" s="40" customFormat="1" ht="12" customHeight="1">
      <c r="A27" s="101"/>
      <c r="B27" s="391"/>
      <c r="C27" s="416"/>
      <c r="D27" s="391"/>
      <c r="E27" s="1236" t="s">
        <v>2004</v>
      </c>
      <c r="F27" s="391"/>
      <c r="G27" s="1234"/>
    </row>
    <row r="28" spans="1:7" s="40" customFormat="1" ht="12" customHeight="1">
      <c r="A28" s="101"/>
      <c r="B28" s="391"/>
      <c r="C28" s="391"/>
      <c r="D28" s="391"/>
      <c r="E28" s="1236" t="s">
        <v>2680</v>
      </c>
      <c r="F28" s="391"/>
      <c r="G28" s="1234"/>
    </row>
    <row r="29" spans="1:7" s="40" customFormat="1" ht="12" customHeight="1">
      <c r="A29" s="101"/>
      <c r="B29" s="391"/>
      <c r="C29" s="391"/>
      <c r="D29" s="391"/>
      <c r="E29" s="1236" t="s">
        <v>2681</v>
      </c>
      <c r="F29" s="391"/>
      <c r="G29" s="1234"/>
    </row>
    <row r="30" spans="1:7" s="40" customFormat="1" ht="12" customHeight="1">
      <c r="A30" s="101"/>
      <c r="B30" s="391"/>
      <c r="C30" s="391"/>
      <c r="D30" s="391"/>
      <c r="E30" s="1236" t="s">
        <v>3959</v>
      </c>
      <c r="F30" s="391"/>
      <c r="G30" s="1234"/>
    </row>
    <row r="31" spans="1:7" s="40" customFormat="1" ht="12" customHeight="1">
      <c r="A31" s="101"/>
      <c r="B31" s="239"/>
      <c r="D31" s="1236" t="s">
        <v>3651</v>
      </c>
      <c r="E31" s="1236" t="s">
        <v>166</v>
      </c>
      <c r="F31" s="395"/>
      <c r="G31" s="1234"/>
    </row>
    <row r="32" spans="1:7" s="40" customFormat="1" ht="12" customHeight="1">
      <c r="A32" s="101"/>
      <c r="B32" s="1236"/>
      <c r="D32" s="789" t="s">
        <v>2508</v>
      </c>
      <c r="E32" s="1236" t="s">
        <v>167</v>
      </c>
      <c r="F32" s="395"/>
      <c r="G32" s="1234"/>
    </row>
    <row r="33" spans="1:7" s="40" customFormat="1" ht="12" customHeight="1">
      <c r="A33" s="101"/>
      <c r="B33" s="391"/>
      <c r="C33" s="391"/>
      <c r="D33" s="391"/>
      <c r="E33" s="1236" t="s">
        <v>3903</v>
      </c>
      <c r="F33" s="391"/>
      <c r="G33" s="1234"/>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row>
    <row r="36" spans="1:7" s="40" customFormat="1" ht="12" customHeight="1">
      <c r="A36" s="97"/>
      <c r="B36" s="393"/>
      <c r="C36" s="393"/>
      <c r="D36" s="393"/>
      <c r="E36" s="395" t="s">
        <v>3337</v>
      </c>
      <c r="F36" s="394"/>
      <c r="G36" s="1234"/>
    </row>
    <row r="37" spans="1:7" s="40" customFormat="1" ht="12" customHeight="1">
      <c r="A37" s="97"/>
      <c r="B37" s="393"/>
      <c r="C37" s="393"/>
      <c r="D37" s="393"/>
      <c r="E37" s="395" t="s">
        <v>168</v>
      </c>
      <c r="F37" s="394"/>
      <c r="G37" s="1234"/>
    </row>
    <row r="38" spans="1:7" s="40" customFormat="1" ht="26.25" customHeight="1">
      <c r="A38" s="97"/>
      <c r="B38" s="393"/>
      <c r="C38" s="393"/>
      <c r="D38" s="393"/>
      <c r="E38" s="882" t="s">
        <v>3698</v>
      </c>
      <c r="F38" s="883"/>
      <c r="G38" s="1234"/>
    </row>
    <row r="39" spans="1:7" s="40" customFormat="1" ht="12" customHeight="1">
      <c r="A39" s="101"/>
      <c r="B39" s="239"/>
      <c r="C39" s="391"/>
      <c r="D39" s="391"/>
      <c r="E39" s="395" t="s">
        <v>3276</v>
      </c>
      <c r="F39" s="391"/>
      <c r="G39" s="1234"/>
    </row>
    <row r="40" spans="1:7" s="40" customFormat="1" ht="12" customHeight="1">
      <c r="A40" s="101"/>
      <c r="B40" s="239"/>
      <c r="C40" s="391"/>
      <c r="D40" s="391"/>
      <c r="E40" s="395" t="s">
        <v>3636</v>
      </c>
      <c r="F40" s="391"/>
      <c r="G40" s="1234"/>
    </row>
    <row r="41" spans="1:7" s="40" customFormat="1" ht="12" customHeight="1">
      <c r="A41" s="97"/>
      <c r="B41" s="393"/>
      <c r="C41" s="393"/>
      <c r="D41" s="393"/>
      <c r="E41" s="395" t="s">
        <v>1783</v>
      </c>
      <c r="F41" s="394"/>
      <c r="G41" s="1234"/>
    </row>
    <row r="42" spans="1:7" s="40" customFormat="1" ht="12" customHeight="1">
      <c r="A42" s="97"/>
      <c r="B42" s="393"/>
      <c r="C42" s="393"/>
      <c r="D42" s="393"/>
      <c r="E42" s="395" t="s">
        <v>1782</v>
      </c>
      <c r="F42" s="394"/>
      <c r="G42" s="1234"/>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row>
    <row r="45" spans="1:7" s="40" customFormat="1" ht="11.25" customHeight="1">
      <c r="A45" s="101"/>
      <c r="B45" s="1242"/>
      <c r="C45" s="143"/>
      <c r="D45" s="143"/>
      <c r="E45" s="1236" t="s">
        <v>3679</v>
      </c>
      <c r="F45" s="391"/>
      <c r="G45" s="1234"/>
    </row>
    <row r="46" spans="1:7" s="40" customFormat="1" ht="12" customHeight="1">
      <c r="A46" s="101"/>
      <c r="B46" s="1243"/>
      <c r="C46" s="1244"/>
      <c r="D46" s="1244"/>
      <c r="E46" s="1236" t="s">
        <v>3680</v>
      </c>
      <c r="F46" s="391"/>
      <c r="G46" s="1234"/>
    </row>
    <row r="47" spans="1:7" s="40" customFormat="1" ht="26.25" customHeight="1">
      <c r="A47" s="99"/>
      <c r="B47" s="393"/>
      <c r="C47" s="393"/>
      <c r="D47" s="393"/>
      <c r="E47" s="882" t="s">
        <v>3699</v>
      </c>
      <c r="F47" s="883"/>
      <c r="G47" s="1234"/>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row>
    <row r="50" spans="1:7" s="40" customFormat="1" ht="13.5">
      <c r="A50" s="386"/>
      <c r="B50" s="406"/>
      <c r="C50" s="1245" t="s">
        <v>3932</v>
      </c>
      <c r="D50" s="391"/>
      <c r="E50" s="882" t="s">
        <v>3970</v>
      </c>
      <c r="F50" s="883"/>
      <c r="G50" s="1234"/>
    </row>
    <row r="51" spans="1:7" s="40" customFormat="1" ht="12" customHeight="1">
      <c r="A51" s="101"/>
      <c r="B51" s="239"/>
      <c r="C51" s="789"/>
      <c r="D51" s="391"/>
      <c r="E51" s="391" t="s">
        <v>3261</v>
      </c>
      <c r="F51" s="391"/>
      <c r="G51" s="1234"/>
    </row>
    <row r="52" spans="1:7" s="40" customFormat="1" ht="12" customHeight="1">
      <c r="A52" s="101"/>
      <c r="B52" s="239"/>
      <c r="C52" s="789"/>
      <c r="D52" s="391"/>
      <c r="E52" s="391" t="s">
        <v>3919</v>
      </c>
      <c r="F52" s="391"/>
      <c r="G52" s="1234"/>
    </row>
    <row r="53" spans="1:7" s="40" customFormat="1" ht="12" customHeight="1">
      <c r="A53" s="101"/>
      <c r="B53" s="239"/>
      <c r="C53" s="391"/>
      <c r="D53" s="391"/>
      <c r="E53" s="395" t="s">
        <v>3202</v>
      </c>
      <c r="F53" s="395"/>
      <c r="G53" s="1234"/>
    </row>
    <row r="54" spans="1:7" s="40" customFormat="1" ht="12" customHeight="1">
      <c r="A54" s="101"/>
      <c r="B54" s="239"/>
      <c r="C54" s="391"/>
      <c r="D54" s="391"/>
      <c r="E54" s="882" t="s">
        <v>3921</v>
      </c>
      <c r="F54" s="883"/>
      <c r="G54" s="1234"/>
    </row>
    <row r="55" spans="1:7" s="40" customFormat="1" ht="3" customHeight="1">
      <c r="A55" s="97"/>
      <c r="B55" s="393"/>
      <c r="C55" s="393"/>
      <c r="D55" s="393"/>
      <c r="E55" s="393"/>
      <c r="F55" s="394"/>
      <c r="G55" s="311"/>
    </row>
    <row r="56" spans="1:7" s="40" customFormat="1" ht="12" customHeight="1">
      <c r="A56" s="101"/>
      <c r="B56" s="395"/>
      <c r="C56" s="865" t="s">
        <v>3924</v>
      </c>
      <c r="D56" s="865"/>
      <c r="E56" s="395" t="s">
        <v>3289</v>
      </c>
      <c r="F56" s="395"/>
      <c r="G56" s="1234"/>
    </row>
    <row r="57" spans="1:7" s="40" customFormat="1" ht="12" customHeight="1">
      <c r="A57" s="101"/>
      <c r="B57" s="395"/>
      <c r="C57" s="865"/>
      <c r="D57" s="865"/>
      <c r="E57" s="395" t="s">
        <v>3290</v>
      </c>
      <c r="F57" s="395"/>
      <c r="G57" s="1234"/>
    </row>
    <row r="58" spans="1:7" s="1246" customFormat="1" ht="12" customHeight="1">
      <c r="A58" s="101"/>
      <c r="B58" s="395"/>
      <c r="C58" s="395"/>
      <c r="D58" s="414"/>
      <c r="E58" s="395" t="s">
        <v>3310</v>
      </c>
      <c r="F58" s="395"/>
      <c r="G58" s="1234"/>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row>
    <row r="61" spans="1:7" s="40" customFormat="1" ht="12" customHeight="1">
      <c r="A61" s="101"/>
      <c r="B61" s="395"/>
      <c r="C61" s="390"/>
      <c r="D61" s="395"/>
      <c r="E61" s="882" t="s">
        <v>3691</v>
      </c>
      <c r="F61" s="883"/>
      <c r="G61" s="1234"/>
    </row>
    <row r="62" spans="1:7" s="40" customFormat="1" ht="12" customHeight="1">
      <c r="A62" s="101"/>
      <c r="B62" s="395"/>
      <c r="C62" s="413"/>
      <c r="D62" s="395"/>
      <c r="E62" s="395" t="s">
        <v>3906</v>
      </c>
      <c r="G62" s="1234"/>
    </row>
    <row r="63" spans="1:7" s="40" customFormat="1" ht="12" customHeight="1">
      <c r="A63" s="101"/>
      <c r="B63" s="395"/>
      <c r="C63" s="395"/>
      <c r="D63" s="414"/>
      <c r="E63" s="395" t="s">
        <v>3692</v>
      </c>
      <c r="G63" s="1234"/>
    </row>
    <row r="64" spans="1:7" s="40" customFormat="1" ht="12" customHeight="1">
      <c r="A64" s="101"/>
      <c r="B64" s="395"/>
      <c r="C64" s="395"/>
      <c r="D64" s="414"/>
      <c r="E64" s="395" t="s">
        <v>3693</v>
      </c>
      <c r="G64" s="1234"/>
    </row>
    <row r="65" spans="1:7" s="1246" customFormat="1" ht="12" customHeight="1">
      <c r="A65" s="101"/>
      <c r="B65" s="395"/>
      <c r="C65" s="395"/>
      <c r="D65" s="414"/>
      <c r="E65" s="882" t="s">
        <v>3694</v>
      </c>
      <c r="F65" s="883"/>
      <c r="G65" s="1234"/>
    </row>
    <row r="66" spans="1:7" s="40" customFormat="1" ht="12" customHeight="1">
      <c r="A66" s="101"/>
      <c r="D66" s="391"/>
      <c r="E66" s="881" t="s">
        <v>3695</v>
      </c>
      <c r="F66" s="883"/>
      <c r="G66" s="1234"/>
    </row>
    <row r="67" spans="1:7" s="40" customFormat="1" ht="12" customHeight="1">
      <c r="A67" s="101"/>
      <c r="B67" s="395"/>
      <c r="C67" s="390"/>
      <c r="D67" s="395"/>
      <c r="E67" s="395" t="s">
        <v>3696</v>
      </c>
      <c r="G67" s="1234"/>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944</v>
      </c>
      <c r="C70" s="391"/>
      <c r="D70" s="391"/>
      <c r="E70" s="1236" t="s">
        <v>3926</v>
      </c>
      <c r="F70" s="391"/>
      <c r="G70" s="1234"/>
    </row>
    <row r="71" spans="1:7" s="40" customFormat="1" ht="12" customHeight="1">
      <c r="A71" s="101"/>
      <c r="B71" s="391"/>
      <c r="C71" s="391"/>
      <c r="D71" s="1236"/>
      <c r="E71" s="396" t="s">
        <v>3311</v>
      </c>
      <c r="F71" s="395"/>
      <c r="G71" s="1234"/>
    </row>
    <row r="72" spans="1:7" s="40" customFormat="1" ht="12" customHeight="1">
      <c r="A72" s="386"/>
      <c r="B72" s="1237"/>
      <c r="C72" s="391"/>
      <c r="D72" s="391"/>
      <c r="E72" s="1236" t="s">
        <v>3925</v>
      </c>
      <c r="F72" s="391"/>
      <c r="G72" s="1234"/>
    </row>
    <row r="73" spans="1:7" s="40" customFormat="1" ht="12" customHeight="1">
      <c r="A73" s="386"/>
      <c r="B73" s="1237"/>
      <c r="C73" s="391"/>
      <c r="D73" s="391"/>
      <c r="E73" s="1236" t="s">
        <v>3955</v>
      </c>
      <c r="F73" s="391"/>
      <c r="G73" s="1234"/>
    </row>
    <row r="74" spans="1:7" s="40" customFormat="1" ht="12" customHeight="1">
      <c r="A74" s="386"/>
      <c r="B74" s="1237"/>
      <c r="C74" s="391"/>
      <c r="D74" s="391"/>
      <c r="E74" s="1236" t="s">
        <v>3661</v>
      </c>
      <c r="F74" s="391"/>
      <c r="G74" s="1234"/>
    </row>
    <row r="75" spans="1:7" s="40" customFormat="1" ht="12" customHeight="1">
      <c r="A75" s="386"/>
      <c r="B75" s="1237"/>
      <c r="C75" s="391"/>
      <c r="D75" s="391"/>
      <c r="E75" s="1236" t="s">
        <v>3280</v>
      </c>
      <c r="F75" s="391"/>
      <c r="G75" s="1234"/>
    </row>
    <row r="76" spans="1:7" s="40" customFormat="1" ht="12" customHeight="1">
      <c r="A76" s="386"/>
      <c r="B76" s="1237"/>
      <c r="C76" s="391"/>
      <c r="D76" s="391"/>
      <c r="E76" s="1236" t="s">
        <v>3927</v>
      </c>
      <c r="F76" s="391"/>
      <c r="G76" s="1234"/>
    </row>
    <row r="77" spans="1:7" s="40" customFormat="1" ht="12" customHeight="1">
      <c r="A77" s="386"/>
      <c r="B77" s="1237"/>
      <c r="C77" s="391"/>
      <c r="D77" s="391"/>
      <c r="E77" s="1236" t="s">
        <v>2496</v>
      </c>
      <c r="F77" s="391"/>
      <c r="G77" s="1234"/>
    </row>
    <row r="78" spans="1:7" s="40" customFormat="1" ht="12" customHeight="1">
      <c r="A78" s="386"/>
      <c r="B78" s="1237"/>
      <c r="C78" s="391"/>
      <c r="D78" s="391"/>
      <c r="E78" s="1236" t="s">
        <v>3956</v>
      </c>
      <c r="F78" s="391"/>
      <c r="G78" s="1234"/>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2520</v>
      </c>
      <c r="F80" s="397"/>
      <c r="G80" s="1234"/>
    </row>
    <row r="81" spans="1:7" s="40" customFormat="1" ht="12" customHeight="1">
      <c r="A81" s="101"/>
      <c r="B81" s="391"/>
      <c r="C81" s="391"/>
      <c r="D81" s="391"/>
      <c r="E81" s="1236" t="s">
        <v>1727</v>
      </c>
      <c r="F81" s="397"/>
      <c r="G81" s="1234"/>
    </row>
    <row r="82" spans="1:7" s="40" customFormat="1" ht="12" customHeight="1">
      <c r="A82" s="386"/>
      <c r="B82" s="404"/>
      <c r="C82" s="391"/>
      <c r="D82" s="391"/>
      <c r="E82" s="397" t="s">
        <v>1720</v>
      </c>
      <c r="F82" s="397"/>
      <c r="G82" s="1234"/>
    </row>
    <row r="83" spans="1:7" s="40" customFormat="1" ht="12" customHeight="1">
      <c r="A83" s="386"/>
      <c r="B83" s="404"/>
      <c r="C83" s="391"/>
      <c r="D83" s="391"/>
      <c r="E83" s="397" t="s">
        <v>1721</v>
      </c>
      <c r="F83" s="397"/>
      <c r="G83" s="1234"/>
    </row>
    <row r="84" spans="1:7" s="40" customFormat="1" ht="12" customHeight="1">
      <c r="A84" s="386"/>
      <c r="B84" s="404"/>
      <c r="C84" s="391"/>
      <c r="D84" s="391"/>
      <c r="E84" s="397" t="s">
        <v>1722</v>
      </c>
      <c r="F84" s="397"/>
      <c r="G84" s="1234"/>
    </row>
    <row r="85" spans="1:7" s="40" customFormat="1" ht="12" customHeight="1">
      <c r="A85" s="386"/>
      <c r="B85" s="404"/>
      <c r="C85" s="391"/>
      <c r="D85" s="391"/>
      <c r="E85" s="397" t="s">
        <v>2565</v>
      </c>
      <c r="F85" s="397"/>
      <c r="G85" s="1234"/>
    </row>
    <row r="86" spans="1:7" s="40" customFormat="1" ht="12" customHeight="1">
      <c r="A86" s="101"/>
      <c r="B86" s="391"/>
      <c r="C86" s="391"/>
      <c r="D86" s="391"/>
      <c r="E86" s="1236" t="s">
        <v>1723</v>
      </c>
      <c r="F86" s="397"/>
      <c r="G86" s="1234"/>
    </row>
    <row r="87" spans="1:7" s="40" customFormat="1" ht="12" customHeight="1">
      <c r="A87" s="104"/>
      <c r="B87" s="391"/>
      <c r="C87" s="391"/>
      <c r="D87" s="391"/>
      <c r="E87" s="1236" t="s">
        <v>1724</v>
      </c>
      <c r="F87" s="391"/>
      <c r="G87" s="1234"/>
    </row>
    <row r="88" spans="1:7" s="40" customFormat="1" ht="12" customHeight="1">
      <c r="A88" s="798"/>
      <c r="B88" s="391"/>
      <c r="C88" s="416"/>
      <c r="D88" s="391"/>
      <c r="E88" s="878" t="s">
        <v>1725</v>
      </c>
      <c r="F88" s="879"/>
      <c r="G88" s="1234"/>
    </row>
    <row r="89" spans="1:7" s="40" customFormat="1" ht="12" customHeight="1">
      <c r="A89" s="101"/>
      <c r="B89" s="391"/>
      <c r="C89" s="416"/>
      <c r="D89" s="391"/>
      <c r="E89" s="440" t="s">
        <v>1726</v>
      </c>
      <c r="F89" s="398"/>
      <c r="G89" s="1234"/>
    </row>
    <row r="90" spans="1:7" s="40" customFormat="1" ht="12" customHeight="1">
      <c r="A90" s="101"/>
      <c r="B90" s="391"/>
      <c r="C90" s="391"/>
      <c r="D90" s="391"/>
      <c r="E90" s="1236" t="s">
        <v>1779</v>
      </c>
      <c r="F90" s="397"/>
      <c r="G90" s="1234"/>
    </row>
    <row r="91" spans="1:7" s="40" customFormat="1" ht="12" customHeight="1">
      <c r="A91" s="101"/>
      <c r="B91" s="391"/>
      <c r="C91" s="391"/>
      <c r="D91" s="391"/>
      <c r="E91" s="397" t="s">
        <v>1728</v>
      </c>
      <c r="F91" s="397"/>
      <c r="G91" s="1234"/>
    </row>
    <row r="92" spans="1:7" s="40" customFormat="1" ht="12" customHeight="1">
      <c r="A92" s="101"/>
      <c r="B92" s="391"/>
      <c r="C92" s="391"/>
      <c r="D92" s="391"/>
      <c r="E92" s="397" t="s">
        <v>301</v>
      </c>
      <c r="F92" s="397"/>
      <c r="G92" s="1234"/>
    </row>
    <row r="93" spans="1:7" s="40" customFormat="1" ht="12" customHeight="1">
      <c r="A93" s="101"/>
      <c r="B93" s="391"/>
      <c r="C93" s="411"/>
      <c r="D93" s="411"/>
      <c r="E93" s="395" t="s">
        <v>1781</v>
      </c>
      <c r="F93" s="399"/>
      <c r="G93" s="1234"/>
    </row>
    <row r="94" spans="1:7" s="40" customFormat="1" ht="12" customHeight="1">
      <c r="A94" s="101"/>
      <c r="B94" s="391"/>
      <c r="C94" s="391"/>
      <c r="D94" s="391"/>
      <c r="E94" s="397" t="s">
        <v>3907</v>
      </c>
      <c r="F94" s="397"/>
      <c r="G94" s="1234"/>
    </row>
    <row r="95" spans="1:7" s="40" customFormat="1" ht="12" customHeight="1">
      <c r="A95" s="101"/>
      <c r="B95" s="391"/>
      <c r="C95" s="391"/>
      <c r="D95" s="391"/>
      <c r="E95" s="397" t="s">
        <v>602</v>
      </c>
      <c r="F95" s="397"/>
      <c r="G95" s="1234"/>
    </row>
    <row r="96" spans="1:7" s="40" customFormat="1" ht="13.5">
      <c r="A96" s="101"/>
      <c r="C96" s="1247" t="s">
        <v>3681</v>
      </c>
      <c r="D96" s="391"/>
      <c r="E96" s="1236"/>
      <c r="F96" s="397"/>
      <c r="G96" s="149"/>
    </row>
    <row r="97" spans="1:7" s="40" customFormat="1" ht="12.75" customHeight="1">
      <c r="A97" s="387"/>
      <c r="D97" s="1248" t="s">
        <v>3682</v>
      </c>
      <c r="E97" s="1236" t="s">
        <v>3928</v>
      </c>
      <c r="F97" s="396"/>
      <c r="G97" s="1249"/>
    </row>
    <row r="98" spans="1:7" s="40" customFormat="1" ht="12.75" customHeight="1">
      <c r="A98" s="796"/>
      <c r="B98" s="1236"/>
      <c r="D98" s="1248"/>
      <c r="E98" s="1236" t="s">
        <v>34</v>
      </c>
      <c r="F98" s="396"/>
      <c r="G98" s="1249"/>
    </row>
    <row r="99" spans="1:7" s="40" customFormat="1" ht="12.75" customHeight="1">
      <c r="A99" s="796"/>
      <c r="B99" s="400"/>
      <c r="D99" s="1248"/>
      <c r="E99" s="1250" t="s">
        <v>35</v>
      </c>
      <c r="F99" s="396"/>
      <c r="G99" s="1249"/>
    </row>
    <row r="100" spans="1:7" s="40" customFormat="1" ht="6" customHeight="1">
      <c r="A100" s="101"/>
      <c r="B100" s="391"/>
      <c r="C100" s="391"/>
      <c r="D100" s="391"/>
      <c r="E100" s="1236"/>
      <c r="F100" s="397"/>
      <c r="G100" s="149"/>
    </row>
    <row r="101" spans="1:7" s="40" customFormat="1" ht="12" customHeight="1">
      <c r="A101" s="386">
        <v>6</v>
      </c>
      <c r="B101" s="410" t="s">
        <v>945</v>
      </c>
      <c r="C101" s="239"/>
      <c r="D101" s="391"/>
      <c r="E101" s="391" t="s">
        <v>3281</v>
      </c>
      <c r="F101" s="391"/>
      <c r="G101" s="1234"/>
    </row>
    <row r="102" spans="1:7" s="40" customFormat="1" ht="12" customHeight="1">
      <c r="A102" s="101"/>
      <c r="B102" s="391"/>
      <c r="C102" s="411"/>
      <c r="D102" s="411"/>
      <c r="E102" s="395" t="s">
        <v>3586</v>
      </c>
      <c r="F102" s="399"/>
      <c r="G102" s="1234"/>
    </row>
    <row r="103" spans="1:7" s="40" customFormat="1" ht="12" customHeight="1">
      <c r="A103" s="101"/>
      <c r="B103" s="391"/>
      <c r="C103" s="411"/>
      <c r="D103" s="411"/>
      <c r="E103" s="395" t="s">
        <v>3587</v>
      </c>
      <c r="F103" s="399"/>
      <c r="G103" s="1234"/>
    </row>
    <row r="104" spans="1:7" s="40" customFormat="1" ht="12" customHeight="1">
      <c r="A104" s="101"/>
      <c r="B104" s="391"/>
      <c r="C104" s="391"/>
      <c r="D104" s="391"/>
      <c r="E104" s="391" t="s">
        <v>3588</v>
      </c>
      <c r="F104" s="391"/>
      <c r="G104" s="1234"/>
    </row>
    <row r="105" spans="1:7" s="40" customFormat="1" ht="6" customHeight="1">
      <c r="A105" s="97"/>
      <c r="B105" s="393"/>
      <c r="C105" s="393"/>
      <c r="D105" s="393"/>
      <c r="E105" s="393"/>
      <c r="F105" s="394"/>
      <c r="G105" s="312"/>
    </row>
    <row r="106" spans="1:7" s="40" customFormat="1" ht="12" customHeight="1">
      <c r="A106" s="386">
        <v>7</v>
      </c>
      <c r="B106" s="406" t="s">
        <v>2521</v>
      </c>
      <c r="C106" s="239"/>
      <c r="D106" s="391"/>
      <c r="E106" s="397" t="s">
        <v>1323</v>
      </c>
      <c r="F106" s="397"/>
      <c r="G106" s="1234"/>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1780</v>
      </c>
      <c r="F108" s="397"/>
      <c r="G108" s="1234"/>
    </row>
    <row r="109" spans="1:7" s="40" customFormat="1" ht="12" customHeight="1">
      <c r="A109" s="101"/>
      <c r="B109" s="239"/>
      <c r="C109" s="789"/>
      <c r="D109" s="391"/>
      <c r="E109" s="397" t="s">
        <v>3918</v>
      </c>
      <c r="F109" s="397"/>
      <c r="G109" s="1234"/>
    </row>
    <row r="110" spans="1:7" s="40" customFormat="1" ht="12" customHeight="1">
      <c r="A110" s="101"/>
      <c r="B110" s="239"/>
      <c r="C110" s="789"/>
      <c r="D110" s="391"/>
      <c r="E110" s="397" t="s">
        <v>3910</v>
      </c>
      <c r="F110" s="397"/>
      <c r="G110" s="1234"/>
    </row>
    <row r="111" spans="1:7" s="40" customFormat="1" ht="6" customHeight="1">
      <c r="A111" s="101"/>
      <c r="B111" s="789"/>
      <c r="C111" s="391"/>
      <c r="D111" s="391"/>
      <c r="E111" s="1236"/>
      <c r="F111" s="397"/>
      <c r="G111" s="314"/>
    </row>
    <row r="112" spans="1:7" s="40" customFormat="1" ht="13.5">
      <c r="A112" s="386">
        <v>9</v>
      </c>
      <c r="B112" s="404" t="s">
        <v>1489</v>
      </c>
      <c r="C112" s="239"/>
      <c r="D112" s="391"/>
      <c r="E112" s="882" t="s">
        <v>3685</v>
      </c>
      <c r="F112" s="883"/>
      <c r="G112" s="1234"/>
    </row>
    <row r="113" spans="1:7" s="40" customFormat="1" ht="12" customHeight="1">
      <c r="A113" s="101"/>
      <c r="B113" s="395"/>
      <c r="C113" s="239"/>
      <c r="D113" s="395"/>
      <c r="E113" s="395" t="s">
        <v>681</v>
      </c>
      <c r="F113" s="401"/>
      <c r="G113" s="1234"/>
    </row>
    <row r="114" spans="1:7" s="40" customFormat="1" ht="12" customHeight="1">
      <c r="A114" s="101"/>
      <c r="B114" s="391"/>
      <c r="C114" s="239"/>
      <c r="D114" s="391"/>
      <c r="E114" s="395" t="s">
        <v>3608</v>
      </c>
      <c r="F114" s="397"/>
      <c r="G114" s="1234"/>
    </row>
    <row r="115" spans="1:7" s="40" customFormat="1" ht="6" customHeight="1">
      <c r="A115" s="97"/>
      <c r="B115" s="393"/>
      <c r="C115" s="393"/>
      <c r="D115" s="393"/>
      <c r="E115" s="393"/>
      <c r="F115" s="394"/>
      <c r="G115" s="227"/>
    </row>
    <row r="116" spans="1:7" s="40" customFormat="1" ht="12" customHeight="1">
      <c r="A116" s="386">
        <v>10</v>
      </c>
      <c r="B116" s="404" t="s">
        <v>641</v>
      </c>
      <c r="C116" s="239"/>
      <c r="D116" s="395"/>
      <c r="E116" s="391" t="s">
        <v>3778</v>
      </c>
      <c r="F116" s="391"/>
      <c r="G116" s="1234"/>
    </row>
    <row r="117" spans="1:7" s="40" customFormat="1" ht="12" customHeight="1">
      <c r="A117" s="101"/>
      <c r="B117" s="239"/>
      <c r="C117" s="239"/>
      <c r="D117" s="391"/>
      <c r="E117" s="391" t="s">
        <v>3117</v>
      </c>
      <c r="F117" s="391"/>
      <c r="G117" s="1234"/>
    </row>
    <row r="118" spans="1:7" s="40" customFormat="1" ht="12" customHeight="1">
      <c r="A118" s="101"/>
      <c r="B118" s="391"/>
      <c r="C118" s="239"/>
      <c r="D118" s="391"/>
      <c r="E118" s="391" t="s">
        <v>3060</v>
      </c>
      <c r="F118" s="391"/>
      <c r="G118" s="1234"/>
    </row>
    <row r="119" spans="1:7" s="40" customFormat="1" ht="12" customHeight="1">
      <c r="A119" s="101"/>
      <c r="B119" s="390"/>
      <c r="C119" s="239"/>
      <c r="D119" s="391"/>
      <c r="E119" s="395" t="s">
        <v>3686</v>
      </c>
      <c r="F119" s="401"/>
      <c r="G119" s="1234"/>
    </row>
    <row r="120" spans="1:7" s="40" customFormat="1" ht="6" customHeight="1">
      <c r="A120" s="97"/>
      <c r="B120" s="393"/>
      <c r="C120" s="239"/>
      <c r="D120" s="393"/>
      <c r="E120" s="393"/>
      <c r="F120" s="394"/>
      <c r="G120" s="312"/>
    </row>
    <row r="121" spans="1:7" s="40" customFormat="1" ht="26.25" customHeight="1">
      <c r="A121" s="386">
        <v>11</v>
      </c>
      <c r="B121" s="412" t="s">
        <v>312</v>
      </c>
      <c r="C121" s="239"/>
      <c r="D121" s="395"/>
      <c r="E121" s="882" t="s">
        <v>3688</v>
      </c>
      <c r="F121" s="882"/>
      <c r="G121" s="1234"/>
    </row>
    <row r="122" spans="1:7" s="40" customFormat="1" ht="12" customHeight="1">
      <c r="A122" s="104"/>
      <c r="B122" s="390"/>
      <c r="C122" s="239"/>
      <c r="D122" s="395"/>
      <c r="E122" s="882" t="s">
        <v>3687</v>
      </c>
      <c r="F122" s="883"/>
      <c r="G122" s="1234"/>
    </row>
    <row r="123" spans="1:7" s="40" customFormat="1" ht="6" customHeight="1">
      <c r="A123" s="797"/>
      <c r="B123" s="393"/>
      <c r="C123" s="239"/>
      <c r="D123" s="393"/>
      <c r="E123" s="393"/>
      <c r="F123" s="394"/>
      <c r="G123" s="312"/>
    </row>
    <row r="124" spans="1:7" s="40" customFormat="1" ht="12" customHeight="1">
      <c r="A124" s="386">
        <v>12</v>
      </c>
      <c r="B124" s="404" t="s">
        <v>2497</v>
      </c>
      <c r="C124" s="239"/>
      <c r="D124" s="391"/>
      <c r="E124" s="395" t="s">
        <v>3689</v>
      </c>
      <c r="F124" s="401"/>
      <c r="G124" s="1234"/>
    </row>
    <row r="125" spans="1:7" s="40" customFormat="1" ht="12" customHeight="1">
      <c r="A125" s="386"/>
      <c r="B125" s="404"/>
      <c r="C125" s="239"/>
      <c r="D125" s="391"/>
      <c r="E125" s="395" t="s">
        <v>3282</v>
      </c>
      <c r="F125" s="395"/>
      <c r="G125" s="1234"/>
    </row>
    <row r="126" spans="1:7" s="40" customFormat="1" ht="12" customHeight="1">
      <c r="A126" s="101"/>
      <c r="B126" s="395"/>
      <c r="C126" s="239"/>
      <c r="D126" s="395"/>
      <c r="E126" s="396" t="s">
        <v>3496</v>
      </c>
      <c r="F126" s="391"/>
      <c r="G126" s="1234"/>
    </row>
    <row r="127" spans="1:7" s="40" customFormat="1" ht="12" customHeight="1">
      <c r="A127" s="101"/>
      <c r="B127" s="391"/>
      <c r="C127" s="239"/>
      <c r="D127" s="1236"/>
      <c r="E127" s="391" t="s">
        <v>3283</v>
      </c>
      <c r="F127" s="391"/>
      <c r="G127" s="1234"/>
    </row>
    <row r="128" spans="1:7" s="40" customFormat="1" ht="12" customHeight="1">
      <c r="A128" s="101"/>
      <c r="B128" s="390"/>
      <c r="C128" s="239"/>
      <c r="D128" s="391"/>
      <c r="E128" s="391" t="s">
        <v>1538</v>
      </c>
      <c r="F128" s="391"/>
      <c r="G128" s="1234"/>
    </row>
    <row r="129" spans="1:7" s="40" customFormat="1" ht="12" customHeight="1">
      <c r="A129" s="101"/>
      <c r="B129" s="391"/>
      <c r="C129" s="239"/>
      <c r="D129" s="391"/>
      <c r="E129" s="395" t="s">
        <v>1539</v>
      </c>
      <c r="F129" s="401"/>
      <c r="G129" s="1234"/>
    </row>
    <row r="130" spans="1:7" s="40" customFormat="1" ht="12" customHeight="1">
      <c r="A130" s="101"/>
      <c r="B130" s="395"/>
      <c r="C130" s="239"/>
      <c r="D130" s="395"/>
      <c r="E130" s="395" t="s">
        <v>3242</v>
      </c>
      <c r="F130" s="401"/>
      <c r="G130" s="1234"/>
    </row>
    <row r="131" spans="1:7" s="40" customFormat="1" ht="3" customHeight="1">
      <c r="A131" s="97"/>
      <c r="B131" s="393"/>
      <c r="C131" s="393"/>
      <c r="D131" s="393"/>
      <c r="E131" s="393"/>
      <c r="F131" s="394"/>
      <c r="G131" s="312"/>
    </row>
    <row r="132" spans="1:7" ht="12" customHeight="1">
      <c r="A132" s="386">
        <v>13</v>
      </c>
      <c r="B132" s="884" t="s">
        <v>174</v>
      </c>
      <c r="C132" s="885"/>
      <c r="D132" s="885"/>
      <c r="E132" s="395" t="s">
        <v>1785</v>
      </c>
      <c r="F132" s="395"/>
      <c r="G132" s="1234"/>
    </row>
    <row r="133" spans="1:7" s="40" customFormat="1" ht="12" customHeight="1">
      <c r="A133" s="101"/>
      <c r="B133" s="884"/>
      <c r="C133" s="885"/>
      <c r="D133" s="885"/>
      <c r="E133" s="395" t="s">
        <v>1786</v>
      </c>
      <c r="F133" s="395"/>
      <c r="G133" s="1234"/>
    </row>
    <row r="134" spans="1:7" s="40" customFormat="1" ht="12" customHeight="1">
      <c r="A134" s="101"/>
      <c r="B134" s="884"/>
      <c r="C134" s="885"/>
      <c r="D134" s="885"/>
      <c r="E134" s="395" t="s">
        <v>1789</v>
      </c>
      <c r="F134" s="395"/>
      <c r="G134" s="1234"/>
    </row>
    <row r="135" spans="1:7" s="40" customFormat="1" ht="6" customHeight="1">
      <c r="A135" s="97"/>
      <c r="B135" s="393"/>
      <c r="C135" s="393"/>
      <c r="D135" s="393"/>
      <c r="E135" s="393"/>
      <c r="F135" s="394"/>
      <c r="G135" s="312"/>
    </row>
    <row r="136" spans="1:7" s="40" customFormat="1" ht="12" customHeight="1">
      <c r="A136" s="386">
        <v>14</v>
      </c>
      <c r="B136" s="404" t="s">
        <v>1787</v>
      </c>
      <c r="C136" s="239"/>
      <c r="D136" s="391"/>
      <c r="E136" s="391" t="s">
        <v>3312</v>
      </c>
      <c r="F136" s="397"/>
      <c r="G136" s="1234"/>
    </row>
    <row r="137" spans="1:7" s="40" customFormat="1" ht="12" customHeight="1">
      <c r="A137" s="101"/>
      <c r="B137" s="587" t="s">
        <v>2883</v>
      </c>
      <c r="C137" s="239"/>
      <c r="D137" s="1251"/>
      <c r="E137" s="881" t="s">
        <v>3936</v>
      </c>
      <c r="F137" s="883"/>
      <c r="G137" s="1234"/>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row>
    <row r="140" spans="1:7" s="40" customFormat="1" ht="12" customHeight="1">
      <c r="A140" s="386"/>
      <c r="B140" s="587" t="s">
        <v>3179</v>
      </c>
      <c r="C140" s="404"/>
      <c r="D140" s="391"/>
      <c r="E140" s="392" t="s">
        <v>2374</v>
      </c>
      <c r="F140" s="391"/>
      <c r="G140" s="1234"/>
    </row>
    <row r="141" spans="1:7" s="40" customFormat="1" ht="12" customHeight="1">
      <c r="A141" s="101"/>
      <c r="B141" s="239"/>
      <c r="C141" s="391"/>
      <c r="D141" s="391"/>
      <c r="E141" s="391" t="s">
        <v>3093</v>
      </c>
      <c r="F141" s="391"/>
      <c r="G141" s="1234"/>
    </row>
    <row r="142" spans="1:7" s="40" customFormat="1" ht="12" customHeight="1">
      <c r="A142" s="101"/>
      <c r="B142" s="391"/>
      <c r="C142" s="391"/>
      <c r="D142" s="391"/>
      <c r="E142" s="391" t="s">
        <v>3609</v>
      </c>
      <c r="F142" s="391"/>
      <c r="G142" s="1234"/>
    </row>
    <row r="143" spans="1:7" s="40" customFormat="1" ht="3" customHeight="1">
      <c r="A143" s="101"/>
      <c r="B143" s="415"/>
      <c r="C143" s="1252"/>
      <c r="D143" s="1252"/>
      <c r="E143" s="1253"/>
      <c r="F143" s="103"/>
      <c r="G143" s="103"/>
    </row>
    <row r="144" spans="1:7" s="40" customFormat="1" ht="12.6" customHeight="1">
      <c r="A144" s="386">
        <v>16</v>
      </c>
      <c r="B144" s="412" t="s">
        <v>767</v>
      </c>
      <c r="C144" s="1236"/>
      <c r="D144" s="1236"/>
      <c r="E144" s="395" t="s">
        <v>439</v>
      </c>
      <c r="F144" s="395"/>
      <c r="G144" s="1234"/>
    </row>
    <row r="145" spans="1:7" s="40" customFormat="1" ht="12" customHeight="1">
      <c r="A145" s="101"/>
      <c r="B145" s="395"/>
      <c r="C145" s="390"/>
      <c r="D145" s="395"/>
      <c r="E145" s="395" t="s">
        <v>3402</v>
      </c>
      <c r="F145" s="395"/>
      <c r="G145" s="1234"/>
    </row>
    <row r="146" spans="1:7" s="40" customFormat="1" ht="12" customHeight="1">
      <c r="A146" s="101"/>
      <c r="B146" s="395"/>
      <c r="C146" s="413"/>
      <c r="D146" s="395"/>
      <c r="E146" s="395" t="s">
        <v>679</v>
      </c>
      <c r="F146" s="395"/>
      <c r="G146" s="1234"/>
    </row>
    <row r="147" spans="1:7" s="40" customFormat="1" ht="12" customHeight="1">
      <c r="A147" s="101"/>
      <c r="B147" s="395"/>
      <c r="C147" s="395"/>
      <c r="D147" s="414"/>
      <c r="E147" s="395" t="s">
        <v>680</v>
      </c>
      <c r="F147" s="395"/>
      <c r="G147" s="1234"/>
    </row>
    <row r="148" spans="1:7" s="40" customFormat="1" ht="12" customHeight="1">
      <c r="A148" s="101"/>
      <c r="B148" s="395"/>
      <c r="C148" s="395"/>
      <c r="D148" s="414"/>
      <c r="E148" s="395" t="s">
        <v>912</v>
      </c>
      <c r="F148" s="395"/>
      <c r="G148" s="1234"/>
    </row>
    <row r="149" spans="1:7" s="1246" customFormat="1" ht="12" customHeight="1">
      <c r="A149" s="101"/>
      <c r="B149" s="395"/>
      <c r="C149" s="395"/>
      <c r="D149" s="414"/>
      <c r="E149" s="395" t="s">
        <v>2143</v>
      </c>
      <c r="F149" s="395"/>
      <c r="G149" s="1234"/>
    </row>
    <row r="150" spans="1:7" s="40" customFormat="1" ht="12" customHeight="1">
      <c r="A150" s="101"/>
      <c r="B150" s="395"/>
      <c r="C150" s="395"/>
      <c r="D150" s="395"/>
      <c r="E150" s="789" t="s">
        <v>3335</v>
      </c>
      <c r="F150" s="401"/>
      <c r="G150" s="1234"/>
    </row>
    <row r="151" spans="1:7" s="40" customFormat="1" ht="12" customHeight="1">
      <c r="A151" s="101"/>
      <c r="B151" s="395"/>
      <c r="C151" s="395"/>
      <c r="D151" s="395"/>
      <c r="E151" s="789" t="s">
        <v>3700</v>
      </c>
      <c r="F151" s="401"/>
      <c r="G151" s="1234"/>
    </row>
    <row r="152" spans="1:7" s="40" customFormat="1" ht="6" customHeight="1">
      <c r="A152" s="97"/>
      <c r="B152" s="393"/>
      <c r="C152" s="393"/>
      <c r="D152" s="393"/>
      <c r="E152" s="393"/>
      <c r="F152" s="394"/>
      <c r="G152" s="312"/>
    </row>
    <row r="153" spans="1:7" ht="11.45" customHeight="1">
      <c r="A153" s="386">
        <v>17</v>
      </c>
      <c r="B153" s="412" t="s">
        <v>2376</v>
      </c>
      <c r="C153" s="1236"/>
      <c r="D153" s="1236"/>
      <c r="E153" s="395" t="s">
        <v>2663</v>
      </c>
      <c r="F153" s="395"/>
      <c r="G153" s="1234"/>
    </row>
    <row r="154" spans="1:7" ht="11.45" customHeight="1">
      <c r="A154" s="386"/>
      <c r="B154" s="412"/>
      <c r="C154" s="1236"/>
      <c r="D154" s="1236"/>
      <c r="E154" s="395" t="s">
        <v>2995</v>
      </c>
      <c r="F154" s="395"/>
      <c r="G154" s="1234"/>
    </row>
    <row r="155" spans="1:7" s="40" customFormat="1" ht="11.45" customHeight="1">
      <c r="A155" s="101"/>
      <c r="B155" s="395"/>
      <c r="C155" s="395"/>
      <c r="D155" s="395"/>
      <c r="E155" s="395" t="s">
        <v>1790</v>
      </c>
      <c r="F155" s="395"/>
      <c r="G155" s="1234"/>
    </row>
    <row r="156" spans="1:7" s="40" customFormat="1" ht="11.45" customHeight="1">
      <c r="A156" s="104"/>
      <c r="B156" s="395"/>
      <c r="C156" s="395"/>
      <c r="D156" s="395"/>
      <c r="E156" s="395" t="s">
        <v>1788</v>
      </c>
      <c r="F156" s="395"/>
      <c r="G156" s="1234"/>
    </row>
    <row r="157" spans="1:7" s="40" customFormat="1" ht="6" customHeight="1">
      <c r="A157" s="97"/>
      <c r="B157" s="393"/>
      <c r="C157" s="393"/>
      <c r="D157" s="393"/>
      <c r="E157" s="393"/>
      <c r="F157" s="394"/>
      <c r="G157" s="312"/>
    </row>
    <row r="158" spans="1:7" s="40" customFormat="1" ht="12" customHeight="1">
      <c r="A158" s="386">
        <v>18</v>
      </c>
      <c r="B158" s="412" t="s">
        <v>488</v>
      </c>
      <c r="C158" s="1236"/>
      <c r="D158" s="1236"/>
      <c r="E158" s="395" t="s">
        <v>2056</v>
      </c>
      <c r="F158" s="391"/>
      <c r="G158" s="1234"/>
    </row>
    <row r="159" spans="1:7" s="40" customFormat="1" ht="12" customHeight="1">
      <c r="A159" s="101"/>
      <c r="B159" s="239"/>
      <c r="C159" s="239"/>
      <c r="D159" s="239"/>
      <c r="E159" s="395" t="s">
        <v>3098</v>
      </c>
      <c r="F159" s="391"/>
      <c r="G159" s="1234"/>
    </row>
    <row r="160" spans="1:7" s="40" customFormat="1" ht="12" customHeight="1">
      <c r="A160" s="101"/>
      <c r="B160" s="239"/>
      <c r="C160" s="239"/>
      <c r="D160" s="239"/>
      <c r="E160" s="395" t="s">
        <v>3128</v>
      </c>
      <c r="F160" s="391"/>
      <c r="G160" s="1234"/>
    </row>
    <row r="161" spans="1:7" s="40" customFormat="1" ht="12" customHeight="1">
      <c r="A161" s="101"/>
      <c r="B161" s="239"/>
      <c r="C161" s="395"/>
      <c r="D161" s="395"/>
      <c r="E161" s="395" t="s">
        <v>2057</v>
      </c>
      <c r="F161" s="391"/>
      <c r="G161" s="1234"/>
    </row>
    <row r="162" spans="1:7" s="40" customFormat="1" ht="12" customHeight="1">
      <c r="A162" s="101"/>
      <c r="B162" s="395"/>
      <c r="C162" s="395"/>
      <c r="D162" s="395"/>
      <c r="E162" s="395" t="s">
        <v>2058</v>
      </c>
      <c r="F162" s="391"/>
      <c r="G162" s="1234"/>
    </row>
    <row r="163" spans="1:7" s="40" customFormat="1" ht="12" customHeight="1">
      <c r="A163" s="101"/>
      <c r="B163" s="395"/>
      <c r="C163" s="395"/>
      <c r="D163" s="395"/>
      <c r="E163" s="395" t="s">
        <v>3124</v>
      </c>
      <c r="F163" s="391"/>
      <c r="G163" s="1234"/>
    </row>
    <row r="164" spans="1:7" s="40" customFormat="1" ht="12" customHeight="1">
      <c r="A164" s="101"/>
      <c r="B164" s="395"/>
      <c r="C164" s="395"/>
      <c r="D164" s="395"/>
      <c r="E164" s="395" t="s">
        <v>3125</v>
      </c>
      <c r="F164" s="391"/>
      <c r="G164" s="1234"/>
    </row>
    <row r="165" spans="1:7" s="40" customFormat="1" ht="12" customHeight="1">
      <c r="A165" s="101"/>
      <c r="B165" s="395"/>
      <c r="C165" s="395"/>
      <c r="D165" s="395"/>
      <c r="E165" s="395" t="s">
        <v>2055</v>
      </c>
      <c r="F165" s="391"/>
      <c r="G165" s="1234"/>
    </row>
    <row r="166" spans="1:7" s="40" customFormat="1" ht="12" customHeight="1">
      <c r="A166" s="101"/>
      <c r="B166" s="789"/>
      <c r="C166" s="413"/>
      <c r="D166" s="395"/>
      <c r="E166" s="396" t="s">
        <v>2682</v>
      </c>
      <c r="F166" s="391"/>
      <c r="G166" s="1234"/>
    </row>
    <row r="167" spans="1:7" s="40" customFormat="1" ht="6" customHeight="1">
      <c r="A167" s="97"/>
      <c r="B167" s="393"/>
      <c r="C167" s="393"/>
      <c r="D167" s="393"/>
      <c r="E167" s="393"/>
      <c r="F167" s="394"/>
      <c r="G167" s="312"/>
    </row>
    <row r="168" spans="1:7" s="40" customFormat="1" ht="12.6" customHeight="1">
      <c r="A168" s="101"/>
      <c r="B168" s="407" t="s">
        <v>3277</v>
      </c>
      <c r="C168" s="1254"/>
      <c r="D168" s="1255"/>
      <c r="E168" s="1236"/>
      <c r="F168" s="391"/>
      <c r="G168" s="103"/>
    </row>
    <row r="169" spans="1:7" s="40" customFormat="1" ht="12" customHeight="1">
      <c r="A169" s="386">
        <v>19</v>
      </c>
      <c r="B169" s="1237" t="s">
        <v>946</v>
      </c>
      <c r="C169" s="239"/>
      <c r="D169" s="1236"/>
      <c r="E169" s="397" t="s">
        <v>3278</v>
      </c>
      <c r="F169" s="391"/>
      <c r="G169" s="1234"/>
    </row>
    <row r="170" spans="1:7" s="40" customFormat="1" ht="12" customHeight="1">
      <c r="A170" s="101"/>
      <c r="B170" s="239"/>
      <c r="C170" s="789"/>
      <c r="D170" s="1236"/>
      <c r="E170" s="881" t="s">
        <v>808</v>
      </c>
      <c r="F170" s="883"/>
      <c r="G170" s="1234"/>
    </row>
    <row r="171" spans="1:7" s="40" customFormat="1" ht="12" customHeight="1">
      <c r="A171" s="101"/>
      <c r="B171" s="400"/>
      <c r="C171" s="1236"/>
      <c r="D171" s="1236"/>
      <c r="E171" s="397" t="s">
        <v>36</v>
      </c>
      <c r="F171" s="391"/>
      <c r="G171" s="1234"/>
    </row>
    <row r="172" spans="1:7" s="40" customFormat="1" ht="27" customHeight="1">
      <c r="A172" s="101"/>
      <c r="B172" s="400"/>
      <c r="C172" s="1236"/>
      <c r="D172" s="1236"/>
      <c r="E172" s="881" t="s">
        <v>646</v>
      </c>
      <c r="F172" s="883"/>
      <c r="G172" s="1234"/>
    </row>
    <row r="173" spans="1:7" s="40" customFormat="1" ht="37.5" customHeight="1">
      <c r="A173" s="101"/>
      <c r="B173" s="400"/>
      <c r="C173" s="1236"/>
      <c r="D173" s="1236"/>
      <c r="E173" s="878" t="s">
        <v>3701</v>
      </c>
      <c r="F173" s="879"/>
      <c r="G173" s="1234"/>
    </row>
    <row r="174" spans="1:7" s="40" customFormat="1" ht="5.45" customHeight="1">
      <c r="A174" s="101"/>
      <c r="B174" s="400"/>
      <c r="C174" s="1236"/>
      <c r="D174" s="1236"/>
      <c r="E174" s="822"/>
      <c r="F174" s="822"/>
      <c r="G174" s="1256"/>
    </row>
    <row r="175" spans="1:7" s="40" customFormat="1" ht="13.9" customHeight="1">
      <c r="A175" s="386">
        <v>20</v>
      </c>
      <c r="B175" s="1257" t="s">
        <v>590</v>
      </c>
      <c r="C175" s="239"/>
      <c r="D175" s="1237"/>
      <c r="E175" s="881" t="s">
        <v>3911</v>
      </c>
      <c r="F175" s="883"/>
      <c r="G175" s="1234"/>
    </row>
    <row r="176" spans="1:7" s="40" customFormat="1" ht="11.25" customHeight="1">
      <c r="A176" s="386"/>
      <c r="B176" s="1257"/>
      <c r="C176" s="239"/>
      <c r="D176" s="1237"/>
      <c r="E176" s="881" t="s">
        <v>591</v>
      </c>
      <c r="F176" s="883"/>
      <c r="G176" s="1234"/>
    </row>
    <row r="177" spans="1:7" s="40" customFormat="1" ht="5.45" customHeight="1">
      <c r="A177" s="101"/>
      <c r="B177" s="400"/>
      <c r="C177" s="1236"/>
      <c r="D177" s="1236"/>
      <c r="E177" s="822"/>
      <c r="F177" s="822"/>
      <c r="G177" s="1256"/>
    </row>
    <row r="178" spans="1:7" s="40" customFormat="1" ht="12" customHeight="1">
      <c r="A178" s="386">
        <v>21</v>
      </c>
      <c r="B178" s="1237" t="s">
        <v>647</v>
      </c>
      <c r="C178" s="239"/>
      <c r="D178" s="1237"/>
      <c r="E178" s="822" t="s">
        <v>648</v>
      </c>
      <c r="F178" s="821"/>
      <c r="G178" s="1234"/>
    </row>
    <row r="179" spans="1:7" s="40" customFormat="1" ht="12" customHeight="1">
      <c r="A179" s="101"/>
      <c r="B179" s="1237"/>
      <c r="C179" s="239"/>
      <c r="E179" s="822" t="s">
        <v>3662</v>
      </c>
      <c r="F179" s="821"/>
      <c r="G179" s="1234"/>
    </row>
    <row r="180" spans="1:7" s="40" customFormat="1" ht="12" customHeight="1">
      <c r="A180" s="101"/>
      <c r="B180" s="406"/>
      <c r="C180" s="239"/>
      <c r="D180" s="1237"/>
      <c r="E180" s="881" t="s">
        <v>592</v>
      </c>
      <c r="F180" s="883"/>
      <c r="G180" s="1234"/>
    </row>
    <row r="181" spans="1:7" s="40" customFormat="1" ht="12" customHeight="1">
      <c r="A181" s="101"/>
      <c r="B181" s="406"/>
      <c r="C181" s="239"/>
      <c r="D181" s="1237"/>
      <c r="E181" s="881" t="s">
        <v>593</v>
      </c>
      <c r="F181" s="883"/>
      <c r="G181" s="1234"/>
    </row>
    <row r="182" spans="1:7" s="40" customFormat="1" ht="6" customHeight="1">
      <c r="A182" s="101"/>
      <c r="B182" s="400"/>
      <c r="C182" s="1236"/>
      <c r="D182" s="1236"/>
      <c r="E182" s="822"/>
      <c r="F182" s="822"/>
      <c r="G182" s="1256"/>
    </row>
    <row r="183" spans="1:7" s="40" customFormat="1" ht="12" customHeight="1">
      <c r="A183" s="386">
        <v>22</v>
      </c>
      <c r="B183" s="1258" t="s">
        <v>258</v>
      </c>
      <c r="C183" s="239"/>
      <c r="D183" s="1237"/>
      <c r="E183" s="822" t="s">
        <v>649</v>
      </c>
      <c r="F183" s="821"/>
      <c r="G183" s="1234"/>
    </row>
    <row r="184" spans="1:7" s="40" customFormat="1" ht="26.25" customHeight="1">
      <c r="A184" s="101"/>
      <c r="B184" s="1237"/>
      <c r="C184" s="239"/>
      <c r="D184" s="1237"/>
      <c r="E184" s="881" t="s">
        <v>3676</v>
      </c>
      <c r="F184" s="883"/>
      <c r="G184" s="1234"/>
    </row>
    <row r="185" spans="1:7" s="40" customFormat="1" ht="12" customHeight="1">
      <c r="A185" s="101"/>
      <c r="B185" s="1237"/>
      <c r="C185" s="239"/>
      <c r="D185" s="1237"/>
      <c r="E185" s="397" t="s">
        <v>650</v>
      </c>
      <c r="F185" s="395"/>
      <c r="G185" s="1234"/>
    </row>
    <row r="186" spans="1:7" s="40" customFormat="1" ht="12" customHeight="1">
      <c r="A186" s="101"/>
      <c r="B186" s="1237"/>
      <c r="C186" s="239"/>
      <c r="D186" s="1237"/>
      <c r="E186" s="397" t="s">
        <v>651</v>
      </c>
      <c r="F186" s="395"/>
      <c r="G186" s="1234"/>
    </row>
    <row r="187" spans="1:7" s="40" customFormat="1" ht="12" customHeight="1">
      <c r="A187" s="386"/>
      <c r="B187" s="1237"/>
      <c r="C187" s="239"/>
      <c r="D187" s="1237"/>
      <c r="E187" s="1259" t="s">
        <v>652</v>
      </c>
      <c r="F187" s="395"/>
      <c r="G187" s="1234"/>
    </row>
    <row r="188" spans="1:7" s="40" customFormat="1" ht="6" customHeight="1">
      <c r="A188" s="101"/>
      <c r="B188" s="1237"/>
      <c r="C188" s="239"/>
      <c r="D188" s="1237"/>
      <c r="E188" s="397"/>
      <c r="F188" s="397"/>
      <c r="G188" s="149"/>
    </row>
    <row r="189" spans="1:7" s="40" customFormat="1" ht="13.5">
      <c r="A189" s="386">
        <v>23</v>
      </c>
      <c r="B189" s="1258" t="s">
        <v>3250</v>
      </c>
      <c r="C189" s="1237"/>
      <c r="D189" s="1237"/>
      <c r="E189" s="881" t="s">
        <v>3913</v>
      </c>
      <c r="F189" s="883"/>
      <c r="G189" s="1234"/>
    </row>
    <row r="190" spans="1:7" s="40" customFormat="1" ht="12" customHeight="1">
      <c r="A190" s="101"/>
      <c r="B190" s="1237"/>
      <c r="C190" s="239"/>
      <c r="D190" s="1237"/>
      <c r="E190" s="1236" t="s">
        <v>3677</v>
      </c>
      <c r="G190" s="1234"/>
    </row>
    <row r="191" spans="1:7" s="40" customFormat="1" ht="12" customHeight="1">
      <c r="A191" s="386"/>
      <c r="B191" s="1258"/>
      <c r="C191" s="1237"/>
      <c r="D191" s="1237"/>
      <c r="E191" s="881" t="s">
        <v>3914</v>
      </c>
      <c r="F191" s="1112"/>
      <c r="G191" s="1234"/>
    </row>
    <row r="192" spans="1:7" s="40" customFormat="1" ht="12" customHeight="1">
      <c r="A192" s="388"/>
      <c r="B192" s="1258"/>
      <c r="C192" s="1237"/>
      <c r="D192" s="1237"/>
      <c r="E192" s="881" t="s">
        <v>3678</v>
      </c>
      <c r="F192" s="1112"/>
      <c r="G192" s="1234"/>
    </row>
    <row r="193" spans="1:7" s="40" customFormat="1" ht="6" customHeight="1">
      <c r="A193" s="101"/>
      <c r="B193" s="1237"/>
      <c r="C193" s="239"/>
      <c r="D193" s="1237"/>
      <c r="E193" s="397"/>
      <c r="F193" s="395"/>
      <c r="G193" s="103"/>
    </row>
    <row r="194" spans="1:7" s="40" customFormat="1" ht="12" customHeight="1">
      <c r="A194" s="386">
        <v>24</v>
      </c>
      <c r="B194" s="1258" t="s">
        <v>380</v>
      </c>
      <c r="C194" s="239"/>
      <c r="D194" s="1237"/>
      <c r="E194" s="881" t="s">
        <v>594</v>
      </c>
      <c r="F194" s="883"/>
      <c r="G194" s="1234"/>
    </row>
    <row r="195" spans="1:7" s="40" customFormat="1" ht="26.25" customHeight="1">
      <c r="A195" s="101"/>
      <c r="B195" s="1237"/>
      <c r="C195" s="239"/>
      <c r="D195" s="1237"/>
      <c r="E195" s="1260" t="s">
        <v>3912</v>
      </c>
      <c r="F195" s="1261"/>
      <c r="G195" s="1234"/>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1524</v>
      </c>
      <c r="F197" s="395"/>
      <c r="G197" s="1234"/>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617</v>
      </c>
      <c r="D200" s="1237"/>
      <c r="E200" s="1264" t="s">
        <v>3313</v>
      </c>
      <c r="F200" s="1265"/>
      <c r="G200" s="1234"/>
    </row>
    <row r="201" spans="1:7" s="40" customFormat="1" ht="12" customHeight="1">
      <c r="A201" s="386"/>
      <c r="C201" s="1263"/>
      <c r="D201" s="1237"/>
      <c r="E201" s="1263" t="s">
        <v>1525</v>
      </c>
      <c r="F201" s="1266"/>
      <c r="G201" s="1234"/>
    </row>
    <row r="202" spans="1:7" s="40" customFormat="1" ht="12" customHeight="1">
      <c r="A202" s="101"/>
      <c r="C202" s="1236"/>
      <c r="D202" s="1237"/>
      <c r="E202" s="1267" t="s">
        <v>3314</v>
      </c>
      <c r="F202" s="1268"/>
      <c r="G202" s="1234"/>
    </row>
    <row r="203" spans="1:7" s="40" customFormat="1" ht="12" customHeight="1">
      <c r="A203" s="101"/>
      <c r="C203" s="1236"/>
      <c r="D203" s="1237"/>
      <c r="E203" s="1236" t="s">
        <v>3315</v>
      </c>
      <c r="F203" s="395"/>
      <c r="G203" s="1234"/>
    </row>
    <row r="204" spans="1:7" s="40" customFormat="1" ht="5.45" customHeight="1">
      <c r="A204" s="97"/>
      <c r="B204" s="393"/>
      <c r="C204" s="393"/>
      <c r="D204" s="394"/>
      <c r="E204" s="393"/>
      <c r="F204" s="394"/>
      <c r="G204" s="312"/>
    </row>
    <row r="205" spans="1:7" s="40" customFormat="1" ht="12" customHeight="1">
      <c r="A205" s="101"/>
      <c r="C205" s="1236" t="s">
        <v>504</v>
      </c>
      <c r="D205" s="1237"/>
      <c r="E205" s="1236" t="s">
        <v>3524</v>
      </c>
      <c r="F205" s="395"/>
      <c r="G205" s="1234"/>
    </row>
    <row r="206" spans="1:7" s="40" customFormat="1" ht="12" customHeight="1">
      <c r="A206" s="101"/>
      <c r="B206" s="239"/>
      <c r="C206" s="1236"/>
      <c r="D206" s="1237"/>
      <c r="E206" s="1236" t="s">
        <v>3166</v>
      </c>
      <c r="F206" s="395"/>
      <c r="G206" s="1234"/>
    </row>
    <row r="207" spans="1:7" s="40" customFormat="1" ht="12" customHeight="1">
      <c r="A207" s="101"/>
      <c r="B207" s="1236"/>
      <c r="C207" s="390"/>
      <c r="D207" s="1237"/>
      <c r="E207" s="1236" t="s">
        <v>155</v>
      </c>
      <c r="F207" s="395"/>
      <c r="G207" s="1234"/>
    </row>
    <row r="208" spans="1:7" s="40" customFormat="1" ht="12" customHeight="1">
      <c r="A208" s="101"/>
      <c r="B208" s="1236"/>
      <c r="C208" s="1245"/>
      <c r="D208" s="1237"/>
      <c r="E208" s="1236" t="s">
        <v>3610</v>
      </c>
      <c r="F208" s="395"/>
      <c r="G208" s="1234"/>
    </row>
    <row r="209" spans="1:7" s="40" customFormat="1" ht="12" customHeight="1">
      <c r="A209" s="101"/>
      <c r="B209" s="789"/>
      <c r="C209" s="1245"/>
      <c r="D209" s="1237"/>
      <c r="E209" s="1236" t="s">
        <v>156</v>
      </c>
      <c r="F209" s="395"/>
      <c r="G209" s="1234"/>
    </row>
    <row r="210" spans="1:7" s="40" customFormat="1" ht="5.45" customHeight="1">
      <c r="A210" s="97"/>
      <c r="B210" s="393"/>
      <c r="C210" s="393"/>
      <c r="D210" s="394"/>
      <c r="E210" s="393"/>
      <c r="F210" s="394"/>
      <c r="G210" s="312"/>
    </row>
    <row r="211" spans="1:7" s="40" customFormat="1" ht="12" customHeight="1">
      <c r="A211" s="101"/>
      <c r="B211" s="1237"/>
      <c r="C211" s="1236" t="s">
        <v>505</v>
      </c>
      <c r="D211" s="1237"/>
      <c r="E211" s="1236" t="s">
        <v>2562</v>
      </c>
      <c r="F211" s="395"/>
      <c r="G211" s="1234"/>
    </row>
    <row r="212" spans="1:7" s="40" customFormat="1" ht="12" customHeight="1">
      <c r="A212" s="101"/>
      <c r="B212" s="789"/>
      <c r="C212" s="1245"/>
      <c r="D212" s="1237"/>
      <c r="E212" s="1236" t="s">
        <v>2563</v>
      </c>
      <c r="F212" s="395"/>
      <c r="G212" s="1234"/>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row>
    <row r="215" spans="1:7" s="40" customFormat="1" ht="12" customHeight="1">
      <c r="A215" s="101"/>
      <c r="B215" s="239"/>
      <c r="C215" s="239"/>
      <c r="D215" s="1237"/>
      <c r="E215" s="1236" t="s">
        <v>160</v>
      </c>
      <c r="F215" s="395"/>
      <c r="G215" s="1234"/>
    </row>
    <row r="216" spans="1:7" s="40" customFormat="1" ht="12" customHeight="1">
      <c r="A216" s="101"/>
      <c r="B216" s="1236"/>
      <c r="C216" s="406"/>
      <c r="D216" s="1237"/>
      <c r="E216" s="1236" t="s">
        <v>3284</v>
      </c>
      <c r="F216" s="395"/>
      <c r="G216" s="1234"/>
    </row>
    <row r="217" spans="1:7" s="40" customFormat="1" ht="12" customHeight="1">
      <c r="A217" s="101"/>
      <c r="B217" s="1236"/>
      <c r="C217" s="1237"/>
      <c r="D217" s="1237"/>
      <c r="E217" s="1236" t="s">
        <v>161</v>
      </c>
      <c r="F217" s="395"/>
      <c r="G217" s="1234"/>
    </row>
    <row r="218" spans="1:7" s="40" customFormat="1" ht="12" customHeight="1">
      <c r="A218" s="386"/>
      <c r="B218" s="789"/>
      <c r="C218" s="1237"/>
      <c r="D218" s="1237"/>
      <c r="E218" s="1236" t="s">
        <v>162</v>
      </c>
      <c r="F218" s="395"/>
      <c r="G218" s="1234"/>
    </row>
    <row r="219" spans="1:7" s="40" customFormat="1" ht="12" customHeight="1">
      <c r="A219" s="101"/>
      <c r="B219" s="789"/>
      <c r="C219" s="1237"/>
      <c r="D219" s="1237"/>
      <c r="E219" s="1236" t="s">
        <v>163</v>
      </c>
      <c r="F219" s="395"/>
      <c r="G219" s="1234"/>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row>
    <row r="222" spans="1:7" s="40" customFormat="1" ht="6" customHeight="1">
      <c r="A222" s="101"/>
      <c r="B222" s="789"/>
      <c r="C222" s="1237"/>
      <c r="D222" s="1237"/>
      <c r="E222" s="1236"/>
      <c r="F222" s="395"/>
      <c r="G222" s="629"/>
    </row>
    <row r="223" spans="1:7" s="40" customFormat="1" ht="12" customHeight="1">
      <c r="A223" s="386">
        <v>28</v>
      </c>
      <c r="B223" s="1237" t="s">
        <v>257</v>
      </c>
      <c r="C223" s="239"/>
      <c r="D223" s="1237"/>
      <c r="E223" s="1236" t="s">
        <v>1784</v>
      </c>
      <c r="F223" s="395"/>
      <c r="G223" s="1234"/>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2667</v>
      </c>
      <c r="C226" s="239"/>
      <c r="D226" s="1237"/>
      <c r="E226" s="1269" t="s">
        <v>165</v>
      </c>
      <c r="F226" s="1270"/>
      <c r="G226" s="1234"/>
    </row>
    <row r="227" spans="1:7" s="40" customFormat="1" ht="12" customHeight="1">
      <c r="A227" s="386"/>
      <c r="B227" s="239"/>
      <c r="C227" s="239"/>
      <c r="D227" s="1237"/>
      <c r="E227" s="392" t="s">
        <v>3683</v>
      </c>
      <c r="F227" s="821"/>
      <c r="G227" s="1234"/>
    </row>
    <row r="228" spans="1:7" s="40" customFormat="1" ht="26.25" customHeight="1">
      <c r="A228" s="388"/>
      <c r="B228" s="239"/>
      <c r="C228" s="239"/>
      <c r="D228" s="1237"/>
      <c r="E228" s="881" t="s">
        <v>3684</v>
      </c>
      <c r="F228" s="883"/>
      <c r="G228" s="1234"/>
    </row>
    <row r="229" spans="1:7" s="40" customFormat="1" ht="6" customHeight="1">
      <c r="A229" s="101"/>
      <c r="B229" s="789"/>
      <c r="C229" s="1237"/>
      <c r="D229" s="1237"/>
      <c r="E229" s="1236"/>
      <c r="F229" s="395"/>
      <c r="G229" s="103"/>
    </row>
    <row r="230" spans="1:7" s="40" customFormat="1" ht="13.15" customHeight="1">
      <c r="A230" s="386">
        <v>30</v>
      </c>
      <c r="B230" s="1237" t="s">
        <v>2211</v>
      </c>
      <c r="E230" s="1271"/>
      <c r="F230" s="1271"/>
      <c r="G230" s="1234"/>
    </row>
    <row r="231" spans="1:7" s="40" customFormat="1" ht="12.6" customHeight="1">
      <c r="A231" s="101"/>
      <c r="C231" s="1272" t="s">
        <v>947</v>
      </c>
      <c r="D231" s="1112"/>
      <c r="E231" s="1273"/>
      <c r="F231" s="1273"/>
      <c r="G231" s="1274"/>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row>
    <row r="238" spans="1:7" s="40" customFormat="1" ht="6" customHeight="1">
      <c r="A238" s="97"/>
      <c r="B238" s="393"/>
      <c r="C238" s="239"/>
      <c r="D238" s="393"/>
      <c r="E238" s="393"/>
      <c r="F238" s="394"/>
      <c r="G238" s="312"/>
    </row>
    <row r="239" spans="1:7" s="40" customFormat="1" ht="13.9" customHeight="1">
      <c r="A239" s="386">
        <v>32</v>
      </c>
      <c r="B239" s="404" t="s">
        <v>687</v>
      </c>
      <c r="C239" s="239"/>
      <c r="D239" s="391"/>
      <c r="E239" s="391" t="s">
        <v>293</v>
      </c>
      <c r="F239" s="391"/>
      <c r="G239" s="1234"/>
    </row>
    <row r="240" spans="1:7" s="40" customFormat="1" ht="6" customHeight="1">
      <c r="A240" s="97"/>
      <c r="B240" s="393"/>
      <c r="C240" s="239"/>
      <c r="D240" s="393"/>
      <c r="E240" s="393"/>
      <c r="F240" s="394"/>
      <c r="G240" s="312"/>
    </row>
    <row r="241" spans="1:7" s="40" customFormat="1" ht="12" customHeight="1">
      <c r="A241" s="386">
        <v>33</v>
      </c>
      <c r="B241" s="404" t="s">
        <v>311</v>
      </c>
      <c r="C241" s="239"/>
      <c r="D241" s="391"/>
      <c r="E241" s="881" t="s">
        <v>3612</v>
      </c>
      <c r="F241" s="957"/>
      <c r="G241" s="1234"/>
    </row>
    <row r="242" spans="1:7" s="40" customFormat="1" ht="12" customHeight="1">
      <c r="A242" s="101"/>
      <c r="B242" s="391"/>
      <c r="C242" s="390"/>
      <c r="D242" s="1236"/>
      <c r="E242" s="391" t="s">
        <v>286</v>
      </c>
      <c r="F242" s="391"/>
      <c r="G242" s="1234"/>
    </row>
    <row r="243" spans="1:7" s="40" customFormat="1" ht="6" customHeight="1">
      <c r="A243" s="104"/>
      <c r="B243" s="789"/>
      <c r="C243" s="1237"/>
      <c r="D243" s="1237"/>
      <c r="E243" s="1236"/>
      <c r="F243" s="395"/>
      <c r="G243" s="103"/>
    </row>
    <row r="244" spans="1:7" s="40" customFormat="1" ht="26.45" customHeight="1">
      <c r="A244" s="1276" t="s">
        <v>3915</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2012-056 Silver Comet Senior Village, Powder Springs, Cobb County</v>
      </c>
      <c r="B1" s="1002"/>
      <c r="C1" s="1002"/>
      <c r="D1" s="1002"/>
      <c r="E1" s="1002"/>
      <c r="F1" s="1002"/>
      <c r="G1" s="1002"/>
      <c r="H1" s="1002"/>
      <c r="I1" s="1002"/>
      <c r="J1" s="1002"/>
      <c r="K1" s="1002"/>
      <c r="L1" s="1002"/>
      <c r="M1" s="1002"/>
      <c r="N1" s="1002"/>
      <c r="O1" s="1002"/>
      <c r="P1" s="1003"/>
      <c r="T1" s="1081" t="str">
        <f>A1</f>
        <v>PART SIX - PROJECTED REVENUES &amp; EXPENSES  -  2012-056 Silver Comet Senior Village, Powder Springs, Cobb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874</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674</v>
      </c>
      <c r="FB3" s="773" t="s">
        <v>3425</v>
      </c>
      <c r="FC3" s="773" t="s">
        <v>3426</v>
      </c>
      <c r="FD3" s="773" t="s">
        <v>3427</v>
      </c>
      <c r="FE3" s="773" t="s">
        <v>3428</v>
      </c>
      <c r="FF3" s="775"/>
      <c r="FG3" s="775"/>
      <c r="FH3" s="775"/>
      <c r="FI3" s="775"/>
      <c r="FJ3" s="775"/>
      <c r="FK3" s="773" t="s">
        <v>674</v>
      </c>
      <c r="FL3" s="773" t="s">
        <v>3425</v>
      </c>
      <c r="FM3" s="773" t="s">
        <v>3426</v>
      </c>
      <c r="FN3" s="773" t="s">
        <v>3427</v>
      </c>
      <c r="FO3" s="773" t="s">
        <v>3428</v>
      </c>
      <c r="FP3" s="773" t="s">
        <v>674</v>
      </c>
      <c r="FQ3" s="773" t="s">
        <v>3425</v>
      </c>
      <c r="FR3" s="773" t="s">
        <v>3426</v>
      </c>
      <c r="FS3" s="773" t="s">
        <v>3427</v>
      </c>
      <c r="FT3" s="773" t="s">
        <v>3428</v>
      </c>
      <c r="FU3" s="773" t="s">
        <v>674</v>
      </c>
      <c r="FV3" s="773" t="s">
        <v>3425</v>
      </c>
      <c r="FW3" s="773" t="s">
        <v>3426</v>
      </c>
      <c r="FX3" s="773" t="s">
        <v>3427</v>
      </c>
      <c r="FY3" s="773" t="s">
        <v>3428</v>
      </c>
      <c r="FZ3" s="773" t="s">
        <v>674</v>
      </c>
      <c r="GA3" s="773" t="s">
        <v>3425</v>
      </c>
      <c r="GB3" s="773" t="s">
        <v>3426</v>
      </c>
      <c r="GC3" s="773" t="s">
        <v>3427</v>
      </c>
      <c r="GD3" s="773" t="s">
        <v>3428</v>
      </c>
      <c r="GE3" s="773" t="s">
        <v>674</v>
      </c>
      <c r="GF3" s="773" t="s">
        <v>3425</v>
      </c>
      <c r="GG3" s="773" t="s">
        <v>3426</v>
      </c>
      <c r="GH3" s="773" t="s">
        <v>3427</v>
      </c>
      <c r="GI3" s="773" t="s">
        <v>3428</v>
      </c>
      <c r="GJ3" s="773" t="s">
        <v>674</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1413</v>
      </c>
      <c r="W4" s="1084" t="s">
        <v>1153</v>
      </c>
      <c r="X4" s="1084" t="s">
        <v>1154</v>
      </c>
      <c r="Y4" s="1084" t="s">
        <v>1155</v>
      </c>
      <c r="Z4" s="1084" t="s">
        <v>1156</v>
      </c>
      <c r="AA4" s="1084" t="s">
        <v>1414</v>
      </c>
      <c r="AB4" s="1084" t="s">
        <v>3231</v>
      </c>
      <c r="AC4" s="1084" t="s">
        <v>3232</v>
      </c>
      <c r="AD4" s="1084" t="s">
        <v>3233</v>
      </c>
      <c r="AE4" s="1084" t="s">
        <v>3234</v>
      </c>
      <c r="AF4" s="1084" t="s">
        <v>1415</v>
      </c>
      <c r="AG4" s="1084" t="s">
        <v>3235</v>
      </c>
      <c r="AH4" s="1084" t="s">
        <v>3236</v>
      </c>
      <c r="AI4" s="1084" t="s">
        <v>3237</v>
      </c>
      <c r="AJ4" s="1084" t="s">
        <v>3238</v>
      </c>
      <c r="AK4" s="1084" t="s">
        <v>140</v>
      </c>
      <c r="AL4" s="1084" t="s">
        <v>3239</v>
      </c>
      <c r="AM4" s="1084" t="s">
        <v>3240</v>
      </c>
      <c r="AN4" s="1084" t="s">
        <v>3241</v>
      </c>
      <c r="AO4" s="1084" t="s">
        <v>1670</v>
      </c>
      <c r="AP4" s="1084" t="s">
        <v>795</v>
      </c>
      <c r="AQ4" s="1084" t="s">
        <v>796</v>
      </c>
      <c r="AR4" s="1084" t="s">
        <v>822</v>
      </c>
      <c r="AS4" s="1084" t="s">
        <v>823</v>
      </c>
      <c r="AT4" s="1084" t="s">
        <v>824</v>
      </c>
      <c r="AU4" s="1084" t="s">
        <v>825</v>
      </c>
      <c r="AV4" s="1084" t="s">
        <v>826</v>
      </c>
      <c r="AW4" s="1084" t="s">
        <v>827</v>
      </c>
      <c r="AX4" s="1084" t="s">
        <v>828</v>
      </c>
      <c r="AY4" s="1084" t="s">
        <v>829</v>
      </c>
      <c r="AZ4" s="1084" t="s">
        <v>830</v>
      </c>
      <c r="BA4" s="1084" t="s">
        <v>831</v>
      </c>
      <c r="BB4" s="1084" t="s">
        <v>1426</v>
      </c>
      <c r="BC4" s="1084" t="s">
        <v>1427</v>
      </c>
      <c r="BD4" s="1084" t="s">
        <v>1428</v>
      </c>
      <c r="BE4" s="1084" t="s">
        <v>691</v>
      </c>
      <c r="BF4" s="1084" t="s">
        <v>692</v>
      </c>
      <c r="BG4" s="1084" t="s">
        <v>693</v>
      </c>
      <c r="BH4" s="1084" t="s">
        <v>694</v>
      </c>
      <c r="BI4" s="1084" t="s">
        <v>695</v>
      </c>
      <c r="BJ4" s="1084" t="s">
        <v>1372</v>
      </c>
      <c r="BK4" s="1084" t="s">
        <v>1373</v>
      </c>
      <c r="BL4" s="1084" t="s">
        <v>1374</v>
      </c>
      <c r="BM4" s="1084" t="s">
        <v>1375</v>
      </c>
      <c r="BN4" s="1084" t="s">
        <v>1376</v>
      </c>
      <c r="BO4" s="1084" t="s">
        <v>1377</v>
      </c>
      <c r="BP4" s="1084" t="s">
        <v>1378</v>
      </c>
      <c r="BQ4" s="1084" t="s">
        <v>1379</v>
      </c>
      <c r="BR4" s="1084" t="s">
        <v>1380</v>
      </c>
      <c r="BS4" s="1084" t="s">
        <v>1381</v>
      </c>
      <c r="BT4" s="1084" t="s">
        <v>3415</v>
      </c>
      <c r="BU4" s="1084" t="s">
        <v>3416</v>
      </c>
      <c r="BV4" s="1084" t="s">
        <v>3417</v>
      </c>
      <c r="BW4" s="1084" t="s">
        <v>3418</v>
      </c>
      <c r="BX4" s="1084" t="s">
        <v>3419</v>
      </c>
      <c r="BY4" s="1084" t="s">
        <v>126</v>
      </c>
      <c r="BZ4" s="1084" t="s">
        <v>1673</v>
      </c>
      <c r="CA4" s="1084" t="s">
        <v>1674</v>
      </c>
      <c r="CB4" s="1084" t="s">
        <v>1752</v>
      </c>
      <c r="CC4" s="1084" t="s">
        <v>1753</v>
      </c>
      <c r="CD4" s="1083" t="s">
        <v>143</v>
      </c>
      <c r="CE4" s="1083" t="s">
        <v>1754</v>
      </c>
      <c r="CF4" s="1083" t="s">
        <v>1755</v>
      </c>
      <c r="CG4" s="1083" t="s">
        <v>1756</v>
      </c>
      <c r="CH4" s="1083" t="s">
        <v>1757</v>
      </c>
      <c r="CI4" s="1083" t="s">
        <v>142</v>
      </c>
      <c r="CJ4" s="1083" t="s">
        <v>1405</v>
      </c>
      <c r="CK4" s="1083" t="s">
        <v>1406</v>
      </c>
      <c r="CL4" s="1083" t="s">
        <v>1407</v>
      </c>
      <c r="CM4" s="1083" t="s">
        <v>1408</v>
      </c>
      <c r="CN4" s="1083" t="s">
        <v>141</v>
      </c>
      <c r="CO4" s="1083" t="s">
        <v>1409</v>
      </c>
      <c r="CP4" s="1083" t="s">
        <v>1410</v>
      </c>
      <c r="CQ4" s="1083" t="s">
        <v>1411</v>
      </c>
      <c r="CR4" s="1083" t="s">
        <v>1412</v>
      </c>
      <c r="CS4" s="1083" t="s">
        <v>1296</v>
      </c>
      <c r="CT4" s="1083" t="s">
        <v>1297</v>
      </c>
      <c r="CU4" s="1083" t="s">
        <v>1298</v>
      </c>
      <c r="CV4" s="1083" t="s">
        <v>1299</v>
      </c>
      <c r="CW4" s="1083" t="s">
        <v>1300</v>
      </c>
      <c r="CX4" s="1083" t="s">
        <v>1453</v>
      </c>
      <c r="CY4" s="1083" t="s">
        <v>1454</v>
      </c>
      <c r="CZ4" s="1083" t="s">
        <v>1455</v>
      </c>
      <c r="DA4" s="1083" t="s">
        <v>1456</v>
      </c>
      <c r="DB4" s="1083" t="s">
        <v>3414</v>
      </c>
      <c r="DC4" s="1083" t="s">
        <v>2016</v>
      </c>
      <c r="DD4" s="1083" t="s">
        <v>2017</v>
      </c>
      <c r="DE4" s="1083" t="s">
        <v>2018</v>
      </c>
      <c r="DF4" s="1083" t="s">
        <v>2019</v>
      </c>
      <c r="DG4" s="1083" t="s">
        <v>2020</v>
      </c>
      <c r="DH4" s="1083" t="s">
        <v>607</v>
      </c>
      <c r="DI4" s="1083" t="s">
        <v>608</v>
      </c>
      <c r="DJ4" s="1083" t="s">
        <v>609</v>
      </c>
      <c r="DK4" s="1083" t="s">
        <v>610</v>
      </c>
      <c r="DL4" s="1083" t="s">
        <v>611</v>
      </c>
      <c r="DM4" s="1083" t="s">
        <v>18</v>
      </c>
      <c r="DN4" s="1083" t="s">
        <v>19</v>
      </c>
      <c r="DO4" s="1083" t="s">
        <v>20</v>
      </c>
      <c r="DP4" s="1083" t="s">
        <v>21</v>
      </c>
      <c r="DQ4" s="1083" t="s">
        <v>22</v>
      </c>
      <c r="DR4" s="1083" t="s">
        <v>267</v>
      </c>
      <c r="DS4" s="1083" t="s">
        <v>268</v>
      </c>
      <c r="DT4" s="1083" t="s">
        <v>269</v>
      </c>
      <c r="DU4" s="1083" t="s">
        <v>2673</v>
      </c>
      <c r="DV4" s="1083" t="s">
        <v>2674</v>
      </c>
      <c r="DW4" s="1083" t="s">
        <v>2675</v>
      </c>
      <c r="DX4" s="1083" t="s">
        <v>839</v>
      </c>
      <c r="DY4" s="1083" t="s">
        <v>840</v>
      </c>
      <c r="DZ4" s="1083" t="s">
        <v>841</v>
      </c>
      <c r="EA4" s="1083" t="s">
        <v>842</v>
      </c>
      <c r="EB4" s="1083" t="s">
        <v>23</v>
      </c>
      <c r="EC4" s="1083" t="s">
        <v>24</v>
      </c>
      <c r="ED4" s="1083" t="s">
        <v>25</v>
      </c>
      <c r="EE4" s="1083" t="s">
        <v>26</v>
      </c>
      <c r="EF4" s="1083" t="s">
        <v>27</v>
      </c>
      <c r="EG4" s="1083" t="s">
        <v>688</v>
      </c>
      <c r="EH4" s="1083" t="s">
        <v>603</v>
      </c>
      <c r="EI4" s="1083" t="s">
        <v>604</v>
      </c>
      <c r="EJ4" s="1083" t="s">
        <v>605</v>
      </c>
      <c r="EK4" s="1083" t="s">
        <v>606</v>
      </c>
      <c r="EL4" s="1083" t="s">
        <v>3110</v>
      </c>
      <c r="EM4" s="1083" t="s">
        <v>3111</v>
      </c>
      <c r="EN4" s="1083" t="s">
        <v>3112</v>
      </c>
      <c r="EO4" s="1083" t="s">
        <v>2072</v>
      </c>
      <c r="EP4" s="1083" t="s">
        <v>2073</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2375</v>
      </c>
      <c r="GP4" s="1083" t="s">
        <v>3539</v>
      </c>
      <c r="GQ4" s="1083" t="s">
        <v>3540</v>
      </c>
      <c r="GR4" s="1083" t="s">
        <v>461</v>
      </c>
      <c r="GS4" s="1083" t="s">
        <v>462</v>
      </c>
      <c r="GT4" s="1083" t="s">
        <v>463</v>
      </c>
      <c r="GU4" s="1083" t="s">
        <v>464</v>
      </c>
      <c r="GV4" s="1083" t="s">
        <v>465</v>
      </c>
      <c r="GW4" s="1083" t="s">
        <v>466</v>
      </c>
      <c r="GX4" s="1083" t="s">
        <v>467</v>
      </c>
      <c r="GY4" s="1083" t="s">
        <v>242</v>
      </c>
      <c r="GZ4" s="1083" t="s">
        <v>243</v>
      </c>
      <c r="HA4" s="1083" t="s">
        <v>244</v>
      </c>
      <c r="HB4" s="1083" t="s">
        <v>245</v>
      </c>
      <c r="HC4" s="1083" t="s">
        <v>246</v>
      </c>
      <c r="HD4" s="1083" t="s">
        <v>247</v>
      </c>
      <c r="HE4" s="1083" t="s">
        <v>248</v>
      </c>
      <c r="HF4" s="1083" t="s">
        <v>249</v>
      </c>
      <c r="HG4" s="1083" t="s">
        <v>250</v>
      </c>
      <c r="HH4" s="1083" t="s">
        <v>251</v>
      </c>
      <c r="HI4" s="1083" t="s">
        <v>252</v>
      </c>
      <c r="HJ4" s="1083" t="s">
        <v>253</v>
      </c>
      <c r="HK4" s="1083" t="s">
        <v>254</v>
      </c>
      <c r="HL4" s="1083" t="s">
        <v>255</v>
      </c>
      <c r="HM4" s="1083" t="s">
        <v>256</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2" t="s">
        <v>4053</v>
      </c>
      <c r="N5" s="856" t="s">
        <v>821</v>
      </c>
      <c r="P5" s="853" t="s">
        <v>1545</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2665</v>
      </c>
      <c r="D6" s="2"/>
      <c r="E6" s="5"/>
      <c r="G6" s="1513" t="s">
        <v>3983</v>
      </c>
      <c r="J6" s="851" t="s">
        <v>3387</v>
      </c>
      <c r="N6" s="1087" t="str">
        <f>'Part I-Project Information'!$J$26</f>
        <v>Atlanta-Sandy Springs-Marietta</v>
      </c>
      <c r="O6" s="1087"/>
      <c r="P6" s="672">
        <f>VLOOKUP('Part I-Project Information'!$J$26,'DCA Underwriting Assumptions'!$C$84:$D$194,2)</f>
        <v>69300</v>
      </c>
      <c r="Q6" s="769"/>
      <c r="R6" s="1089" t="s">
        <v>3976</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Finish!</v>
      </c>
      <c r="B7" s="5"/>
      <c r="C7" s="2"/>
      <c r="D7" s="5"/>
      <c r="E7" s="2"/>
      <c r="F7" s="2"/>
      <c r="G7" s="2"/>
      <c r="H7" s="2"/>
      <c r="I7" s="2"/>
      <c r="J7" s="851" t="s">
        <v>3388</v>
      </c>
      <c r="K7" s="2"/>
      <c r="L7" s="2"/>
      <c r="M7" s="2"/>
      <c r="N7" s="37"/>
      <c r="O7" s="37"/>
      <c r="P7" s="817"/>
      <c r="Q7" s="817"/>
      <c r="R7" s="818"/>
      <c r="S7" s="819" t="s">
        <v>3973</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2071</v>
      </c>
      <c r="C8" s="851" t="s">
        <v>210</v>
      </c>
      <c r="D8" s="851" t="s">
        <v>782</v>
      </c>
      <c r="E8" s="851" t="s">
        <v>2069</v>
      </c>
      <c r="F8" s="851" t="s">
        <v>2069</v>
      </c>
      <c r="G8" s="851" t="s">
        <v>3363</v>
      </c>
      <c r="H8" s="851" t="s">
        <v>3361</v>
      </c>
      <c r="I8" s="851" t="s">
        <v>1285</v>
      </c>
      <c r="J8" s="851" t="s">
        <v>3389</v>
      </c>
      <c r="K8" s="1085" t="s">
        <v>170</v>
      </c>
      <c r="L8" s="1085"/>
      <c r="M8" s="851" t="s">
        <v>3334</v>
      </c>
      <c r="N8" s="851" t="s">
        <v>769</v>
      </c>
      <c r="O8" s="851" t="s">
        <v>458</v>
      </c>
      <c r="P8" s="1088" t="s">
        <v>1552</v>
      </c>
      <c r="Q8" s="1088"/>
      <c r="R8" s="852" t="s">
        <v>3972</v>
      </c>
      <c r="S8" s="852" t="s">
        <v>3974</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2048</v>
      </c>
      <c r="EW8" s="776" t="s">
        <v>3425</v>
      </c>
      <c r="EX8" s="776" t="s">
        <v>3426</v>
      </c>
      <c r="EY8" s="776" t="s">
        <v>3427</v>
      </c>
      <c r="EZ8" s="776" t="s">
        <v>3428</v>
      </c>
      <c r="FA8" s="1083" t="s">
        <v>3505</v>
      </c>
      <c r="FB8" s="1083" t="s">
        <v>3505</v>
      </c>
      <c r="FC8" s="1083" t="s">
        <v>3505</v>
      </c>
      <c r="FD8" s="1083" t="s">
        <v>3505</v>
      </c>
      <c r="FE8" s="1083" t="s">
        <v>3505</v>
      </c>
      <c r="FF8" s="776" t="s">
        <v>674</v>
      </c>
      <c r="FG8" s="776" t="s">
        <v>3425</v>
      </c>
      <c r="FH8" s="776" t="s">
        <v>3426</v>
      </c>
      <c r="FI8" s="776" t="s">
        <v>3427</v>
      </c>
      <c r="FJ8" s="776" t="s">
        <v>3428</v>
      </c>
      <c r="FK8" s="1083" t="s">
        <v>3507</v>
      </c>
      <c r="FL8" s="1083" t="s">
        <v>3507</v>
      </c>
      <c r="FM8" s="1083" t="s">
        <v>3507</v>
      </c>
      <c r="FN8" s="1083" t="s">
        <v>3507</v>
      </c>
      <c r="FO8" s="1083" t="s">
        <v>3507</v>
      </c>
      <c r="FP8" s="1083" t="s">
        <v>432</v>
      </c>
      <c r="FQ8" s="1083" t="s">
        <v>432</v>
      </c>
      <c r="FR8" s="1083" t="s">
        <v>432</v>
      </c>
      <c r="FS8" s="1083" t="s">
        <v>432</v>
      </c>
      <c r="FT8" s="1083" t="s">
        <v>432</v>
      </c>
      <c r="FU8" s="1083" t="s">
        <v>433</v>
      </c>
      <c r="FV8" s="1083" t="s">
        <v>433</v>
      </c>
      <c r="FW8" s="1083" t="s">
        <v>433</v>
      </c>
      <c r="FX8" s="1083" t="s">
        <v>433</v>
      </c>
      <c r="FY8" s="1083" t="s">
        <v>433</v>
      </c>
      <c r="FZ8" s="1083" t="s">
        <v>434</v>
      </c>
      <c r="GA8" s="1083" t="s">
        <v>434</v>
      </c>
      <c r="GB8" s="1083" t="s">
        <v>434</v>
      </c>
      <c r="GC8" s="1083" t="s">
        <v>434</v>
      </c>
      <c r="GD8" s="1083" t="s">
        <v>434</v>
      </c>
      <c r="GE8" s="1083" t="s">
        <v>435</v>
      </c>
      <c r="GF8" s="1083" t="s">
        <v>435</v>
      </c>
      <c r="GG8" s="1083" t="s">
        <v>435</v>
      </c>
      <c r="GH8" s="1083" t="s">
        <v>435</v>
      </c>
      <c r="GI8" s="1083" t="s">
        <v>435</v>
      </c>
      <c r="GJ8" s="1083" t="s">
        <v>2047</v>
      </c>
      <c r="GK8" s="1083" t="s">
        <v>2047</v>
      </c>
      <c r="GL8" s="1083" t="s">
        <v>2047</v>
      </c>
      <c r="GM8" s="1083" t="s">
        <v>2047</v>
      </c>
      <c r="GN8" s="1083" t="s">
        <v>2047</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1864</v>
      </c>
      <c r="C9" s="851" t="s">
        <v>209</v>
      </c>
      <c r="D9" s="851" t="s">
        <v>211</v>
      </c>
      <c r="E9" s="851" t="s">
        <v>2070</v>
      </c>
      <c r="F9" s="851" t="s">
        <v>1835</v>
      </c>
      <c r="G9" s="851" t="s">
        <v>1836</v>
      </c>
      <c r="H9" s="851" t="s">
        <v>3362</v>
      </c>
      <c r="I9" s="851" t="s">
        <v>1286</v>
      </c>
      <c r="J9" s="758" t="s">
        <v>423</v>
      </c>
      <c r="K9" s="851" t="s">
        <v>2132</v>
      </c>
      <c r="L9" s="851" t="s">
        <v>776</v>
      </c>
      <c r="M9" s="851" t="s">
        <v>2069</v>
      </c>
      <c r="N9" s="851" t="s">
        <v>1864</v>
      </c>
      <c r="O9" s="851" t="s">
        <v>459</v>
      </c>
      <c r="P9" s="852" t="s">
        <v>1550</v>
      </c>
      <c r="Q9" s="852" t="s">
        <v>1551</v>
      </c>
      <c r="R9" s="852" t="s">
        <v>2071</v>
      </c>
      <c r="S9" s="852" t="s">
        <v>3975</v>
      </c>
      <c r="T9" s="954" t="s">
        <v>2717</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3504</v>
      </c>
      <c r="EX9" s="776" t="s">
        <v>3504</v>
      </c>
      <c r="EY9" s="776" t="s">
        <v>3504</v>
      </c>
      <c r="EZ9" s="776" t="s">
        <v>3504</v>
      </c>
      <c r="FA9" s="1083"/>
      <c r="FB9" s="1083"/>
      <c r="FC9" s="1083"/>
      <c r="FD9" s="1083"/>
      <c r="FE9" s="1083"/>
      <c r="FF9" s="776" t="s">
        <v>3506</v>
      </c>
      <c r="FG9" s="776" t="s">
        <v>3506</v>
      </c>
      <c r="FH9" s="776" t="s">
        <v>3506</v>
      </c>
      <c r="FI9" s="776" t="s">
        <v>3506</v>
      </c>
      <c r="FJ9" s="776" t="s">
        <v>3506</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f>IF(AND(E10&gt;0,OR(B10="",C10="",D10="",F10="",G10="", H10="",M10="",N10="",O10="")),1,"")</f>
        <v>1</v>
      </c>
      <c r="B10" s="1514" t="s">
        <v>127</v>
      </c>
      <c r="C10" s="1515">
        <v>1</v>
      </c>
      <c r="D10" s="1516">
        <v>1</v>
      </c>
      <c r="E10" s="1517">
        <v>6</v>
      </c>
      <c r="F10" s="1517">
        <v>690</v>
      </c>
      <c r="G10" s="1517">
        <v>650</v>
      </c>
      <c r="H10" s="1517">
        <v>640</v>
      </c>
      <c r="I10" s="1517"/>
      <c r="J10" s="1518"/>
      <c r="K10" s="224">
        <f>MAX(0,H10-I10)</f>
        <v>640</v>
      </c>
      <c r="L10" s="224">
        <f t="shared" ref="L10:L47" si="0">MAX(0,E10*K10)</f>
        <v>3840</v>
      </c>
      <c r="M10" s="1519"/>
      <c r="N10" s="1519" t="s">
        <v>4018</v>
      </c>
      <c r="O10" s="1519" t="s">
        <v>3214</v>
      </c>
      <c r="P10" s="673">
        <f>IF(H10="","",H10*12/0.3)</f>
        <v>25600</v>
      </c>
      <c r="Q10" s="674">
        <f>IF(H10="","",P10/($P$6*VLOOKUP(C10,'DCA Underwriting Assumptions'!$J$84:$K$89,2,FALSE)))</f>
        <v>0.49254449254449256</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6</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4140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6</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6</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6</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f t="shared" ref="A11:A47" si="171">IF(AND(E11&gt;0,OR(B11="",C11="",D11="",F11="",G11="", H11="",M11="",N11="",O11="")),1,"")</f>
        <v>1</v>
      </c>
      <c r="B11" s="1520" t="s">
        <v>1671</v>
      </c>
      <c r="C11" s="1521">
        <v>1</v>
      </c>
      <c r="D11" s="1522">
        <v>1</v>
      </c>
      <c r="E11" s="1523">
        <v>25</v>
      </c>
      <c r="F11" s="1523">
        <v>690</v>
      </c>
      <c r="G11" s="1523">
        <v>780</v>
      </c>
      <c r="H11" s="1523">
        <v>735</v>
      </c>
      <c r="I11" s="1523"/>
      <c r="J11" s="1524"/>
      <c r="K11" s="225">
        <f t="shared" ref="K11:K27" si="172">MAX(0,H11-I11)</f>
        <v>735</v>
      </c>
      <c r="L11" s="225">
        <f t="shared" si="0"/>
        <v>18375</v>
      </c>
      <c r="M11" s="1525"/>
      <c r="N11" s="1525" t="s">
        <v>4018</v>
      </c>
      <c r="O11" s="1525" t="s">
        <v>3214</v>
      </c>
      <c r="P11" s="673">
        <f>IF(H11="","",H11*12/0.3)</f>
        <v>29400</v>
      </c>
      <c r="Q11" s="674">
        <f>IF(H11="","",P11/($P$6*VLOOKUP(C11,'DCA Underwriting Assumptions'!$J$84:$K$89,2,FALSE)))</f>
        <v>0.56565656565656564</v>
      </c>
      <c r="R11" s="820"/>
      <c r="S11" s="674"/>
      <c r="T11" s="1462"/>
      <c r="U11" s="1463"/>
      <c r="V11" s="757" t="str">
        <f t="shared" si="1"/>
        <v/>
      </c>
      <c r="W11" s="757">
        <f t="shared" si="2"/>
        <v>25</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17250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25</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25</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25</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f t="shared" si="171"/>
        <v>1</v>
      </c>
      <c r="B12" s="1520" t="s">
        <v>371</v>
      </c>
      <c r="C12" s="1521">
        <v>1</v>
      </c>
      <c r="D12" s="1522">
        <v>1</v>
      </c>
      <c r="E12" s="1523">
        <v>5</v>
      </c>
      <c r="F12" s="1523">
        <v>690</v>
      </c>
      <c r="G12" s="1523"/>
      <c r="H12" s="1523">
        <v>875</v>
      </c>
      <c r="I12" s="1523"/>
      <c r="J12" s="1524"/>
      <c r="K12" s="225">
        <f t="shared" si="172"/>
        <v>875</v>
      </c>
      <c r="L12" s="225">
        <f t="shared" si="0"/>
        <v>4375</v>
      </c>
      <c r="M12" s="1525"/>
      <c r="N12" s="1525" t="s">
        <v>4018</v>
      </c>
      <c r="O12" s="1525" t="s">
        <v>3214</v>
      </c>
      <c r="P12" s="673">
        <f>IF(H12="","",H12*12/0.3)</f>
        <v>35000</v>
      </c>
      <c r="Q12" s="674">
        <f>IF(H12="","",P12/($P$6*VLOOKUP(C12,'DCA Underwriting Assumptions'!$J$84:$K$89,2,FALSE)))</f>
        <v>0.67340067340067344</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f t="shared" si="17"/>
        <v>5</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f t="shared" si="42"/>
        <v>3450</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f t="shared" si="62"/>
        <v>5</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5</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5</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f t="shared" si="171"/>
        <v>1</v>
      </c>
      <c r="B13" s="1520" t="s">
        <v>127</v>
      </c>
      <c r="C13" s="1521">
        <v>2</v>
      </c>
      <c r="D13" s="1522">
        <v>1</v>
      </c>
      <c r="E13" s="1523">
        <v>4</v>
      </c>
      <c r="F13" s="1523">
        <v>864</v>
      </c>
      <c r="G13" s="1523">
        <v>780</v>
      </c>
      <c r="H13" s="1523">
        <v>730</v>
      </c>
      <c r="I13" s="1523"/>
      <c r="J13" s="1524"/>
      <c r="K13" s="225">
        <f t="shared" si="172"/>
        <v>730</v>
      </c>
      <c r="L13" s="225">
        <f t="shared" si="0"/>
        <v>2920</v>
      </c>
      <c r="M13" s="1525"/>
      <c r="N13" s="1525" t="s">
        <v>4018</v>
      </c>
      <c r="O13" s="1525" t="s">
        <v>3214</v>
      </c>
      <c r="P13" s="673">
        <f>IF(H13="","",H13*12/0.3)</f>
        <v>29200</v>
      </c>
      <c r="Q13" s="674">
        <f>IF(H13="","",P13/($P$6*VLOOKUP(C13,'DCA Underwriting Assumptions'!$J$84:$K$89,2,FALSE)))</f>
        <v>0.46817380150713483</v>
      </c>
      <c r="R13" s="820"/>
      <c r="S13" s="674"/>
      <c r="T13" s="1462"/>
      <c r="U13" s="1463"/>
      <c r="V13" s="757" t="str">
        <f t="shared" si="1"/>
        <v/>
      </c>
      <c r="W13" s="757" t="str">
        <f t="shared" si="2"/>
        <v/>
      </c>
      <c r="X13" s="757" t="str">
        <f t="shared" si="3"/>
        <v/>
      </c>
      <c r="Y13" s="757" t="str">
        <f t="shared" si="4"/>
        <v/>
      </c>
      <c r="Z13" s="757" t="str">
        <f t="shared" si="5"/>
        <v/>
      </c>
      <c r="AA13" s="757" t="str">
        <f t="shared" si="6"/>
        <v/>
      </c>
      <c r="AB13" s="757" t="str">
        <f t="shared" si="7"/>
        <v/>
      </c>
      <c r="AC13" s="757">
        <f t="shared" si="8"/>
        <v>4</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f t="shared" si="33"/>
        <v>3456</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4</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4</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4</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f t="shared" si="171"/>
        <v>1</v>
      </c>
      <c r="B14" s="1520" t="s">
        <v>127</v>
      </c>
      <c r="C14" s="1521">
        <v>2</v>
      </c>
      <c r="D14" s="1522">
        <v>2</v>
      </c>
      <c r="E14" s="1523">
        <v>4</v>
      </c>
      <c r="F14" s="1523">
        <v>950</v>
      </c>
      <c r="G14" s="1523">
        <v>780</v>
      </c>
      <c r="H14" s="1523">
        <v>770</v>
      </c>
      <c r="I14" s="1523"/>
      <c r="J14" s="1524"/>
      <c r="K14" s="225">
        <f t="shared" si="172"/>
        <v>770</v>
      </c>
      <c r="L14" s="225">
        <f t="shared" si="0"/>
        <v>3080</v>
      </c>
      <c r="M14" s="1525"/>
      <c r="N14" s="1525" t="s">
        <v>4018</v>
      </c>
      <c r="O14" s="1525" t="s">
        <v>3214</v>
      </c>
      <c r="P14" s="673">
        <f>IF(H14="","",H14*12/0.3)</f>
        <v>30800</v>
      </c>
      <c r="Q14" s="674">
        <f>IF(H14="","",P14/($P$6*VLOOKUP(C14,'DCA Underwriting Assumptions'!$J$84:$K$89,2,FALSE)))</f>
        <v>0.49382716049382713</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f t="shared" si="8"/>
        <v>4</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f t="shared" si="33"/>
        <v>3800</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4</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4</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4</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f t="shared" si="171"/>
        <v>1</v>
      </c>
      <c r="B15" s="1520" t="s">
        <v>1671</v>
      </c>
      <c r="C15" s="1521">
        <v>2</v>
      </c>
      <c r="D15" s="1522">
        <v>1</v>
      </c>
      <c r="E15" s="1523">
        <v>16</v>
      </c>
      <c r="F15" s="1523">
        <v>864</v>
      </c>
      <c r="G15" s="1523">
        <v>936</v>
      </c>
      <c r="H15" s="1523">
        <v>825</v>
      </c>
      <c r="I15" s="1523"/>
      <c r="J15" s="1524"/>
      <c r="K15" s="225">
        <f t="shared" si="172"/>
        <v>825</v>
      </c>
      <c r="L15" s="225">
        <f t="shared" si="0"/>
        <v>13200</v>
      </c>
      <c r="M15" s="1525"/>
      <c r="N15" s="1525" t="s">
        <v>4018</v>
      </c>
      <c r="O15" s="1525" t="s">
        <v>3214</v>
      </c>
      <c r="P15" s="673">
        <f t="shared" ref="P15:P47" si="203">IF(H15="","",H15*12/0.3)</f>
        <v>33000</v>
      </c>
      <c r="Q15" s="674">
        <f>IF(H15="","",P15/($P$6*VLOOKUP(C15,'DCA Underwriting Assumptions'!$J$84:$K$89,2,FALSE)))</f>
        <v>0.52910052910052907</v>
      </c>
      <c r="R15" s="820"/>
      <c r="S15" s="674"/>
      <c r="T15" s="1462"/>
      <c r="U15" s="1463"/>
      <c r="V15" s="757" t="str">
        <f t="shared" si="1"/>
        <v/>
      </c>
      <c r="W15" s="757" t="str">
        <f t="shared" si="2"/>
        <v/>
      </c>
      <c r="X15" s="757">
        <f t="shared" si="3"/>
        <v>16</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13824</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16</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16</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16</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f t="shared" si="171"/>
        <v>1</v>
      </c>
      <c r="B16" s="1520" t="s">
        <v>1671</v>
      </c>
      <c r="C16" s="1521">
        <v>2</v>
      </c>
      <c r="D16" s="1522">
        <v>2</v>
      </c>
      <c r="E16" s="1523">
        <v>16</v>
      </c>
      <c r="F16" s="1523">
        <v>950</v>
      </c>
      <c r="G16" s="1523">
        <v>936</v>
      </c>
      <c r="H16" s="1523">
        <v>865</v>
      </c>
      <c r="I16" s="1523"/>
      <c r="J16" s="1524"/>
      <c r="K16" s="225">
        <f t="shared" si="172"/>
        <v>865</v>
      </c>
      <c r="L16" s="225">
        <f t="shared" si="0"/>
        <v>13840</v>
      </c>
      <c r="M16" s="1525"/>
      <c r="N16" s="1525" t="s">
        <v>4018</v>
      </c>
      <c r="O16" s="1525" t="s">
        <v>3214</v>
      </c>
      <c r="P16" s="673">
        <f t="shared" si="203"/>
        <v>34600</v>
      </c>
      <c r="Q16" s="674">
        <f>IF(H16="","",P16/($P$6*VLOOKUP(C16,'DCA Underwriting Assumptions'!$J$84:$K$89,2,FALSE)))</f>
        <v>0.55475388808722137</v>
      </c>
      <c r="R16" s="820"/>
      <c r="S16" s="674"/>
      <c r="T16" s="1462"/>
      <c r="U16" s="1463"/>
      <c r="V16" s="757" t="str">
        <f t="shared" si="1"/>
        <v/>
      </c>
      <c r="W16" s="757" t="str">
        <f t="shared" si="2"/>
        <v/>
      </c>
      <c r="X16" s="757">
        <f t="shared" si="3"/>
        <v>16</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f t="shared" si="28"/>
        <v>15200</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f t="shared" si="58"/>
        <v>16</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16</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f t="shared" si="143"/>
        <v>16</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f t="shared" si="171"/>
        <v>1</v>
      </c>
      <c r="B17" s="1520" t="s">
        <v>371</v>
      </c>
      <c r="C17" s="1521">
        <v>2</v>
      </c>
      <c r="D17" s="1522">
        <v>1</v>
      </c>
      <c r="E17" s="1523">
        <v>4</v>
      </c>
      <c r="F17" s="1523">
        <v>864</v>
      </c>
      <c r="G17" s="1523"/>
      <c r="H17" s="1523">
        <v>1000</v>
      </c>
      <c r="I17" s="1523"/>
      <c r="J17" s="1524"/>
      <c r="K17" s="225">
        <f t="shared" si="172"/>
        <v>1000</v>
      </c>
      <c r="L17" s="225">
        <f t="shared" si="0"/>
        <v>4000</v>
      </c>
      <c r="M17" s="1525"/>
      <c r="N17" s="1525" t="s">
        <v>4018</v>
      </c>
      <c r="O17" s="1525" t="s">
        <v>3214</v>
      </c>
      <c r="P17" s="673">
        <f t="shared" si="203"/>
        <v>40000</v>
      </c>
      <c r="Q17" s="674">
        <f>IF(H17="","",P17/($P$6*VLOOKUP(C17,'DCA Underwriting Assumptions'!$J$84:$K$89,2,FALSE)))</f>
        <v>0.64133397466730802</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f t="shared" si="18"/>
        <v>4</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f t="shared" si="43"/>
        <v>3456</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f t="shared" si="63"/>
        <v>4</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4</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f t="shared" si="143"/>
        <v>4</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f t="shared" si="171"/>
        <v>1</v>
      </c>
      <c r="B18" s="1520" t="s">
        <v>371</v>
      </c>
      <c r="C18" s="1521">
        <v>2</v>
      </c>
      <c r="D18" s="1522">
        <v>2</v>
      </c>
      <c r="E18" s="1523">
        <v>4</v>
      </c>
      <c r="F18" s="1523">
        <v>950</v>
      </c>
      <c r="G18" s="1523"/>
      <c r="H18" s="1523">
        <v>1060</v>
      </c>
      <c r="I18" s="1523"/>
      <c r="J18" s="1524"/>
      <c r="K18" s="225">
        <f t="shared" si="172"/>
        <v>1060</v>
      </c>
      <c r="L18" s="225">
        <f t="shared" si="0"/>
        <v>4240</v>
      </c>
      <c r="M18" s="1525"/>
      <c r="N18" s="1525" t="s">
        <v>4018</v>
      </c>
      <c r="O18" s="1525" t="s">
        <v>3214</v>
      </c>
      <c r="P18" s="673">
        <f t="shared" si="203"/>
        <v>42400</v>
      </c>
      <c r="Q18" s="674">
        <f>IF(H18="","",P18/($P$6*VLOOKUP(C18,'DCA Underwriting Assumptions'!$J$84:$K$89,2,FALSE)))</f>
        <v>0.67981401314734646</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f t="shared" si="18"/>
        <v>4</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f t="shared" si="43"/>
        <v>3800</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f t="shared" si="63"/>
        <v>4</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4</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f t="shared" si="143"/>
        <v>4</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2627</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2627</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2627</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2627</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2627</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2627</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2627</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2627</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2627</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2627</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2627</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2627</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2627</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2627</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2627</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2627</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2627</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2627</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2627</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2627</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2627</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2627</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2627</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2627</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2627</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2627</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2627</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2627</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2627</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9</v>
      </c>
      <c r="B48" s="94"/>
      <c r="C48" s="2"/>
      <c r="D48" s="17" t="s">
        <v>1522</v>
      </c>
      <c r="E48" s="171">
        <f>SUM(E10:E47)</f>
        <v>84</v>
      </c>
      <c r="F48" s="172">
        <f>(E10*F10+E11*F11+E12*F12+E13*F13+E14*F14+E15*F15+E16*F16+E17*F17+E18*F18+E19*F19+E20*F20+E21*F21+E22*F22+E23*F23+E24*F24+E25*F25+E26*F26+E27*F27+E28*F28+E29*F29+E30*F30+E31*F31+E32*F32+E33*F33+E34*F34+E35*F35+E36*F36+E37*F37+E38*F38+E39*F39+E40*F40+E41*F41+E42*F42+E43*F43+E44*F44+E45*F45+E46*F46+E47*F47)</f>
        <v>68376</v>
      </c>
      <c r="G48" s="163"/>
      <c r="H48" s="164"/>
      <c r="I48" s="164"/>
      <c r="J48" s="164"/>
      <c r="K48" s="15" t="s">
        <v>1870</v>
      </c>
      <c r="L48" s="170">
        <f>SUM(L10:L47)</f>
        <v>67870</v>
      </c>
      <c r="M48" s="2"/>
      <c r="N48" s="40"/>
      <c r="O48" s="2"/>
      <c r="P48" s="676"/>
      <c r="Q48" s="676"/>
      <c r="R48" s="676"/>
      <c r="S48" s="676"/>
      <c r="T48" s="675"/>
      <c r="U48" s="677"/>
      <c r="V48" s="779">
        <f t="shared" ref="V48:CK48" si="206">SUM(V10:V47)</f>
        <v>0</v>
      </c>
      <c r="W48" s="779">
        <f t="shared" si="206"/>
        <v>25</v>
      </c>
      <c r="X48" s="779">
        <f t="shared" si="206"/>
        <v>32</v>
      </c>
      <c r="Y48" s="779">
        <f t="shared" si="206"/>
        <v>0</v>
      </c>
      <c r="Z48" s="779">
        <f t="shared" si="206"/>
        <v>0</v>
      </c>
      <c r="AA48" s="779">
        <f t="shared" si="206"/>
        <v>0</v>
      </c>
      <c r="AB48" s="779">
        <f t="shared" si="206"/>
        <v>6</v>
      </c>
      <c r="AC48" s="779">
        <f t="shared" si="206"/>
        <v>8</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5</v>
      </c>
      <c r="AM48" s="779">
        <f t="shared" si="206"/>
        <v>8</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17250</v>
      </c>
      <c r="CA48" s="779">
        <f t="shared" si="206"/>
        <v>29024</v>
      </c>
      <c r="CB48" s="779">
        <f t="shared" si="206"/>
        <v>0</v>
      </c>
      <c r="CC48" s="779">
        <f t="shared" si="206"/>
        <v>0</v>
      </c>
      <c r="CD48" s="779">
        <f t="shared" si="206"/>
        <v>0</v>
      </c>
      <c r="CE48" s="779">
        <f t="shared" si="206"/>
        <v>4140</v>
      </c>
      <c r="CF48" s="779">
        <f t="shared" si="206"/>
        <v>7256</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3450</v>
      </c>
      <c r="CP48" s="779">
        <f t="shared" si="208"/>
        <v>7256</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31</v>
      </c>
      <c r="DE48" s="779">
        <f t="shared" si="208"/>
        <v>40</v>
      </c>
      <c r="DF48" s="779">
        <f t="shared" si="208"/>
        <v>0</v>
      </c>
      <c r="DG48" s="779">
        <f t="shared" si="208"/>
        <v>0</v>
      </c>
      <c r="DH48" s="779">
        <f t="shared" si="208"/>
        <v>0</v>
      </c>
      <c r="DI48" s="779">
        <f t="shared" si="208"/>
        <v>5</v>
      </c>
      <c r="DJ48" s="779">
        <f t="shared" si="208"/>
        <v>8</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36</v>
      </c>
      <c r="EX48" s="779">
        <f t="shared" si="209"/>
        <v>48</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36</v>
      </c>
      <c r="GL48" s="779">
        <f t="shared" si="209"/>
        <v>48</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1301</v>
      </c>
      <c r="L49" s="170">
        <f>L48*12</f>
        <v>814440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3672</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1137</v>
      </c>
      <c r="B53" s="16" t="s">
        <v>771</v>
      </c>
      <c r="O53" s="110"/>
      <c r="Q53" s="1093" t="str">
        <f>IF(SUM(Q56:Q100)&gt;0,"ERROR Between Rent Schedule &amp; Unit Summary:", "")</f>
        <v>ERROR Between Rent Schedule &amp; Unit Summary:</v>
      </c>
      <c r="R53" s="848"/>
      <c r="S53" s="848"/>
      <c r="T53" s="5" t="str">
        <f>B53</f>
        <v>UNIT SUMMARY</v>
      </c>
      <c r="U53" s="642" t="s">
        <v>771</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1656</v>
      </c>
      <c r="H55" s="165" t="s">
        <v>807</v>
      </c>
      <c r="I55" s="165" t="s">
        <v>772</v>
      </c>
      <c r="J55" s="165" t="s">
        <v>773</v>
      </c>
      <c r="K55" s="165" t="s">
        <v>774</v>
      </c>
      <c r="L55" s="165" t="s">
        <v>775</v>
      </c>
      <c r="M55" s="165" t="s">
        <v>776</v>
      </c>
      <c r="O55" s="110"/>
      <c r="Q55" s="1094"/>
      <c r="R55" s="849"/>
      <c r="S55" s="849"/>
      <c r="T55" s="954" t="s">
        <v>2717</v>
      </c>
      <c r="U55" s="954"/>
      <c r="V55" s="780"/>
      <c r="W55" s="780"/>
      <c r="X55" s="780"/>
      <c r="Y55" s="780"/>
      <c r="Z55" s="780"/>
      <c r="AA55" s="782"/>
      <c r="AB55" s="782"/>
      <c r="AC55" s="782"/>
      <c r="AD55" s="782"/>
      <c r="AE55" s="782"/>
      <c r="AF55" s="782"/>
      <c r="AG55" s="780"/>
      <c r="AH55" s="769"/>
      <c r="GW55" s="781"/>
      <c r="HL55" s="757"/>
    </row>
    <row r="56" spans="1:221" ht="12" customHeight="1">
      <c r="C56" s="2" t="s">
        <v>1658</v>
      </c>
      <c r="D56" s="2"/>
      <c r="E56" s="2"/>
      <c r="F56" s="2"/>
      <c r="G56" s="44" t="s">
        <v>1671</v>
      </c>
      <c r="H56" s="380">
        <f>V48</f>
        <v>0</v>
      </c>
      <c r="I56" s="380">
        <f>W48</f>
        <v>25</v>
      </c>
      <c r="J56" s="380">
        <f>X48</f>
        <v>32</v>
      </c>
      <c r="K56" s="380">
        <f>Y48</f>
        <v>0</v>
      </c>
      <c r="L56" s="380">
        <f>Z48</f>
        <v>0</v>
      </c>
      <c r="M56" s="380">
        <f t="shared" ref="M56:M62" si="211">SUM(H56:L56)</f>
        <v>57</v>
      </c>
      <c r="N56" s="1095" t="s">
        <v>1383</v>
      </c>
      <c r="O56" s="1096"/>
      <c r="P56" s="850"/>
      <c r="Q56" s="643">
        <f t="shared" ref="Q56:Q62" si="212">ABS(M56-AF56)</f>
        <v>57</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614</v>
      </c>
      <c r="B57" s="1090"/>
      <c r="C57" s="5"/>
      <c r="D57" s="2"/>
      <c r="E57" s="2"/>
      <c r="F57" s="2"/>
      <c r="G57" s="44" t="s">
        <v>127</v>
      </c>
      <c r="H57" s="381">
        <f>AA48</f>
        <v>0</v>
      </c>
      <c r="I57" s="381">
        <f>AB48</f>
        <v>6</v>
      </c>
      <c r="J57" s="381">
        <f>AC48</f>
        <v>8</v>
      </c>
      <c r="K57" s="381">
        <f>AD48</f>
        <v>0</v>
      </c>
      <c r="L57" s="381">
        <f>AE48</f>
        <v>0</v>
      </c>
      <c r="M57" s="381">
        <f t="shared" si="211"/>
        <v>14</v>
      </c>
      <c r="N57" s="1095"/>
      <c r="O57" s="1096"/>
      <c r="P57" s="850"/>
      <c r="Q57" s="643">
        <f t="shared" si="212"/>
        <v>14</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776</v>
      </c>
      <c r="H58" s="382">
        <f>SUM(H56:H57)</f>
        <v>0</v>
      </c>
      <c r="I58" s="382">
        <f>SUM(I56:I57)</f>
        <v>31</v>
      </c>
      <c r="J58" s="382">
        <f>SUM(J56:J57)</f>
        <v>40</v>
      </c>
      <c r="K58" s="382">
        <f>SUM(K56:K57)</f>
        <v>0</v>
      </c>
      <c r="L58" s="382">
        <f>SUM(L56:L57)</f>
        <v>0</v>
      </c>
      <c r="M58" s="382">
        <f t="shared" si="211"/>
        <v>71</v>
      </c>
      <c r="N58" s="385"/>
      <c r="O58" s="110"/>
      <c r="Q58" s="643">
        <f t="shared" si="212"/>
        <v>71</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371</v>
      </c>
      <c r="D59" s="2"/>
      <c r="E59" s="2"/>
      <c r="F59" s="2"/>
      <c r="G59" s="44"/>
      <c r="H59" s="382">
        <f>AK48</f>
        <v>0</v>
      </c>
      <c r="I59" s="382">
        <f>AL48</f>
        <v>5</v>
      </c>
      <c r="J59" s="382">
        <f>AM48</f>
        <v>8</v>
      </c>
      <c r="K59" s="382">
        <f>AN48</f>
        <v>0</v>
      </c>
      <c r="L59" s="382">
        <f>AO48</f>
        <v>0</v>
      </c>
      <c r="M59" s="382">
        <f t="shared" si="211"/>
        <v>13</v>
      </c>
      <c r="N59" s="65"/>
      <c r="O59" s="110"/>
      <c r="Q59" s="643">
        <f t="shared" si="212"/>
        <v>13</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1659</v>
      </c>
      <c r="D60" s="2"/>
      <c r="E60" s="2"/>
      <c r="F60" s="2"/>
      <c r="G60" s="44"/>
      <c r="H60" s="382">
        <f>SUM(H58:H59)</f>
        <v>0</v>
      </c>
      <c r="I60" s="382">
        <f>SUM(I58:I59)</f>
        <v>36</v>
      </c>
      <c r="J60" s="382">
        <f>SUM(J58:J59)</f>
        <v>48</v>
      </c>
      <c r="K60" s="382">
        <f>SUM(K58:K59)</f>
        <v>0</v>
      </c>
      <c r="L60" s="382">
        <f>SUM(L58:L59)</f>
        <v>0</v>
      </c>
      <c r="M60" s="382">
        <f t="shared" si="211"/>
        <v>84</v>
      </c>
      <c r="N60" s="65"/>
      <c r="O60" s="110"/>
      <c r="Q60" s="643">
        <f t="shared" si="212"/>
        <v>84</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3525</v>
      </c>
      <c r="D61" s="2"/>
      <c r="E61" s="2"/>
      <c r="F61" s="2"/>
      <c r="G61" s="44"/>
      <c r="H61" s="382">
        <f>BT48</f>
        <v>0</v>
      </c>
      <c r="I61" s="382">
        <f>BU48</f>
        <v>0</v>
      </c>
      <c r="J61" s="382">
        <f>BV48</f>
        <v>0</v>
      </c>
      <c r="K61" s="382">
        <f>BW48</f>
        <v>0</v>
      </c>
      <c r="L61" s="382">
        <f>BX48</f>
        <v>0</v>
      </c>
      <c r="M61" s="382">
        <f t="shared" si="211"/>
        <v>0</v>
      </c>
      <c r="N61" s="62" t="s">
        <v>3115</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776</v>
      </c>
      <c r="D62" s="2"/>
      <c r="E62" s="2"/>
      <c r="F62" s="2"/>
      <c r="G62" s="44"/>
      <c r="H62" s="382">
        <f>SUM(H60:H61)</f>
        <v>0</v>
      </c>
      <c r="I62" s="382">
        <f>SUM(I60:I61)</f>
        <v>36</v>
      </c>
      <c r="J62" s="382">
        <f>SUM(J60:J61)</f>
        <v>48</v>
      </c>
      <c r="K62" s="382">
        <f>SUM(K60:K61)</f>
        <v>0</v>
      </c>
      <c r="L62" s="382">
        <f>SUM(L60:L61)</f>
        <v>0</v>
      </c>
      <c r="M62" s="382">
        <f t="shared" si="211"/>
        <v>84</v>
      </c>
      <c r="O62" s="110"/>
      <c r="Q62" s="643">
        <f t="shared" si="212"/>
        <v>84</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1429</v>
      </c>
      <c r="D64" s="2"/>
      <c r="E64" s="149"/>
      <c r="F64" s="2"/>
      <c r="G64" s="44" t="s">
        <v>1671</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776</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1382</v>
      </c>
      <c r="D68" s="2"/>
      <c r="E68" s="149"/>
      <c r="F68" s="2"/>
      <c r="G68" s="44" t="s">
        <v>1671</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776</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3214</v>
      </c>
      <c r="F72" s="2"/>
      <c r="G72" s="44" t="s">
        <v>2015</v>
      </c>
      <c r="H72" s="380">
        <f>DC48</f>
        <v>0</v>
      </c>
      <c r="I72" s="380">
        <f>DD48</f>
        <v>31</v>
      </c>
      <c r="J72" s="380">
        <f>DE48</f>
        <v>40</v>
      </c>
      <c r="K72" s="380">
        <f>DF48</f>
        <v>0</v>
      </c>
      <c r="L72" s="380">
        <f>DG48</f>
        <v>0</v>
      </c>
      <c r="M72" s="380">
        <f t="shared" ref="M72:M82" si="213">SUM(H72:L72)</f>
        <v>71</v>
      </c>
      <c r="N72" s="31"/>
      <c r="O72" s="110"/>
      <c r="Q72" s="643">
        <f t="shared" ref="Q72:Q80" si="214">ABS(M72-AF72)</f>
        <v>71</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371</v>
      </c>
      <c r="H73" s="384">
        <f>DH48</f>
        <v>0</v>
      </c>
      <c r="I73" s="384">
        <f>DI48</f>
        <v>5</v>
      </c>
      <c r="J73" s="384">
        <f>DJ48</f>
        <v>8</v>
      </c>
      <c r="K73" s="384">
        <f>DK48</f>
        <v>0</v>
      </c>
      <c r="L73" s="384">
        <f>DL48</f>
        <v>0</v>
      </c>
      <c r="M73" s="384">
        <f t="shared" si="213"/>
        <v>13</v>
      </c>
      <c r="N73" s="65"/>
      <c r="O73" s="110"/>
      <c r="Q73" s="643">
        <f t="shared" si="214"/>
        <v>13</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36</v>
      </c>
      <c r="J74" s="382">
        <f>SUM(J72:J73)+DO48</f>
        <v>48</v>
      </c>
      <c r="K74" s="382">
        <f>SUM(K72:K73)+DP48</f>
        <v>0</v>
      </c>
      <c r="L74" s="382">
        <f>SUM(L72:L73)+DQ48</f>
        <v>0</v>
      </c>
      <c r="M74" s="382">
        <f t="shared" si="213"/>
        <v>84</v>
      </c>
      <c r="N74" s="62"/>
      <c r="O74" s="110"/>
      <c r="Q74" s="643">
        <f t="shared" si="214"/>
        <v>84</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3029</v>
      </c>
      <c r="F75" s="2"/>
      <c r="G75" s="44" t="s">
        <v>2015</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371</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1995</v>
      </c>
      <c r="F78" s="1097"/>
      <c r="G78" s="44" t="s">
        <v>2015</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371</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440</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441</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SUM(I85:I88)</f>
        <v>36</v>
      </c>
      <c r="J84" s="380">
        <f>SUM(J85:J88)</f>
        <v>48</v>
      </c>
      <c r="K84" s="380">
        <f>SUM(K85:K88)</f>
        <v>0</v>
      </c>
      <c r="L84" s="380">
        <f>SUM(L85:L88)</f>
        <v>0</v>
      </c>
      <c r="M84" s="380">
        <f t="shared" ref="M84:M92" si="215">SUM(H84:L84)</f>
        <v>84</v>
      </c>
      <c r="N84" s="31"/>
      <c r="O84" s="110"/>
      <c r="Q84" s="643">
        <f>ABS(M84-AF84)</f>
        <v>84</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FV48</f>
        <v>0</v>
      </c>
      <c r="J85" s="383">
        <f>FW48</f>
        <v>0</v>
      </c>
      <c r="K85" s="383">
        <f>FX48</f>
        <v>0</v>
      </c>
      <c r="L85" s="383">
        <f>FY48</f>
        <v>0</v>
      </c>
      <c r="M85" s="381">
        <f t="shared" si="215"/>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GA48</f>
        <v>0</v>
      </c>
      <c r="J86" s="383">
        <f>GB48</f>
        <v>0</v>
      </c>
      <c r="K86" s="383">
        <f>GC48</f>
        <v>0</v>
      </c>
      <c r="L86" s="383">
        <f>GD48</f>
        <v>0</v>
      </c>
      <c r="M86" s="381">
        <f t="shared" si="215"/>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GF48</f>
        <v>0</v>
      </c>
      <c r="J87" s="383">
        <f>GG48</f>
        <v>0</v>
      </c>
      <c r="K87" s="383">
        <f>GH48</f>
        <v>0</v>
      </c>
      <c r="L87" s="383">
        <f>GI48</f>
        <v>0</v>
      </c>
      <c r="M87" s="381">
        <f t="shared" si="215"/>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GK48</f>
        <v>36</v>
      </c>
      <c r="J88" s="383">
        <f>GL48</f>
        <v>48</v>
      </c>
      <c r="K88" s="383">
        <f>GM48</f>
        <v>0</v>
      </c>
      <c r="L88" s="383">
        <f>GN48</f>
        <v>0</v>
      </c>
      <c r="M88" s="383">
        <f t="shared" si="215"/>
        <v>84</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 t="shared" si="215"/>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 t="shared" si="215"/>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804</v>
      </c>
      <c r="F91" s="2"/>
      <c r="G91" s="44"/>
      <c r="H91" s="381">
        <f>FK48</f>
        <v>0</v>
      </c>
      <c r="I91" s="381">
        <f>FL48</f>
        <v>0</v>
      </c>
      <c r="J91" s="381">
        <f>FM48</f>
        <v>0</v>
      </c>
      <c r="K91" s="381">
        <f>FN48</f>
        <v>0</v>
      </c>
      <c r="L91" s="381">
        <f>FO48</f>
        <v>0</v>
      </c>
      <c r="M91" s="381">
        <f t="shared" si="215"/>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805</v>
      </c>
      <c r="F92" s="2"/>
      <c r="G92" s="44"/>
      <c r="H92" s="384">
        <f>FF48</f>
        <v>0</v>
      </c>
      <c r="I92" s="384">
        <f>FG48</f>
        <v>0</v>
      </c>
      <c r="J92" s="384">
        <f>FH48</f>
        <v>0</v>
      </c>
      <c r="K92" s="384">
        <f>FI48</f>
        <v>0</v>
      </c>
      <c r="L92" s="384">
        <f>FJ48</f>
        <v>0</v>
      </c>
      <c r="M92" s="384">
        <f t="shared" si="215"/>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1657</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1671</v>
      </c>
      <c r="H94" s="221">
        <f>BY48</f>
        <v>0</v>
      </c>
      <c r="I94" s="221">
        <f>BZ48</f>
        <v>17250</v>
      </c>
      <c r="J94" s="221">
        <f>CA48</f>
        <v>29024</v>
      </c>
      <c r="K94" s="221">
        <f>CB48</f>
        <v>0</v>
      </c>
      <c r="L94" s="221">
        <f>CC48</f>
        <v>0</v>
      </c>
      <c r="M94" s="221">
        <f t="shared" ref="M94:M100" si="216">SUM(H94:L94)</f>
        <v>46274</v>
      </c>
      <c r="O94" s="110"/>
      <c r="Q94" s="643">
        <f t="shared" ref="Q94:Q100" si="217">ABS(M94-AF94)</f>
        <v>46274</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4140</v>
      </c>
      <c r="J95" s="223">
        <f>CF48</f>
        <v>7256</v>
      </c>
      <c r="K95" s="223">
        <f>CG48</f>
        <v>0</v>
      </c>
      <c r="L95" s="223">
        <f>CH48</f>
        <v>0</v>
      </c>
      <c r="M95" s="223">
        <f t="shared" si="216"/>
        <v>11396</v>
      </c>
      <c r="N95" s="6"/>
      <c r="O95" s="110"/>
      <c r="Q95" s="643">
        <f t="shared" si="217"/>
        <v>11396</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776</v>
      </c>
      <c r="H96" s="220">
        <f>SUM(H94:H95)</f>
        <v>0</v>
      </c>
      <c r="I96" s="220">
        <f>SUM(I94:I95)</f>
        <v>21390</v>
      </c>
      <c r="J96" s="220">
        <f>SUM(J94:J95)</f>
        <v>36280</v>
      </c>
      <c r="K96" s="220">
        <f>SUM(K94:K95)</f>
        <v>0</v>
      </c>
      <c r="L96" s="220">
        <f>SUM(L94:L95)</f>
        <v>0</v>
      </c>
      <c r="M96" s="220">
        <f t="shared" si="216"/>
        <v>57670</v>
      </c>
      <c r="N96" s="6"/>
      <c r="O96" s="110"/>
      <c r="Q96" s="643">
        <f t="shared" si="217"/>
        <v>57670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371</v>
      </c>
      <c r="D97" s="2"/>
      <c r="E97" s="2"/>
      <c r="F97" s="2"/>
      <c r="G97" s="2"/>
      <c r="H97" s="220">
        <f>CN48</f>
        <v>0</v>
      </c>
      <c r="I97" s="220">
        <f>CO48</f>
        <v>3450</v>
      </c>
      <c r="J97" s="220">
        <f>CP48</f>
        <v>7256</v>
      </c>
      <c r="K97" s="220">
        <f>CQ48</f>
        <v>0</v>
      </c>
      <c r="L97" s="220">
        <f>CR48</f>
        <v>0</v>
      </c>
      <c r="M97" s="220">
        <f t="shared" si="216"/>
        <v>10706</v>
      </c>
      <c r="O97" s="110"/>
      <c r="Q97" s="643">
        <f t="shared" si="217"/>
        <v>10706</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1659</v>
      </c>
      <c r="D98" s="2"/>
      <c r="E98" s="2"/>
      <c r="F98" s="2"/>
      <c r="G98" s="2"/>
      <c r="H98" s="220">
        <f>SUM(H96:H97)</f>
        <v>0</v>
      </c>
      <c r="I98" s="220">
        <f>SUM(I96:I97)</f>
        <v>24840</v>
      </c>
      <c r="J98" s="220">
        <f>SUM(J96:J97)</f>
        <v>43536</v>
      </c>
      <c r="K98" s="220">
        <f>SUM(K96:K97)</f>
        <v>0</v>
      </c>
      <c r="L98" s="220">
        <f>SUM(L96:L97)</f>
        <v>0</v>
      </c>
      <c r="M98" s="220">
        <f t="shared" si="216"/>
        <v>68376</v>
      </c>
      <c r="O98" s="110"/>
      <c r="Q98" s="643">
        <f t="shared" si="217"/>
        <v>68376</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0</v>
      </c>
      <c r="K99" s="220">
        <f>DA48</f>
        <v>0</v>
      </c>
      <c r="L99" s="220">
        <f>DB48</f>
        <v>0</v>
      </c>
      <c r="M99" s="220">
        <f t="shared" si="216"/>
        <v>0</v>
      </c>
      <c r="O99" s="110"/>
      <c r="Q99" s="643">
        <f t="shared" si="217"/>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776</v>
      </c>
      <c r="D100" s="2"/>
      <c r="E100" s="2"/>
      <c r="F100" s="2"/>
      <c r="G100" s="2"/>
      <c r="H100" s="220">
        <f>SUM(H98:H99)</f>
        <v>0</v>
      </c>
      <c r="I100" s="220">
        <f>SUM(I98:I99)</f>
        <v>24840</v>
      </c>
      <c r="J100" s="220">
        <f>SUM(J98:J99)</f>
        <v>43536</v>
      </c>
      <c r="K100" s="220">
        <f>SUM(K98:K99)</f>
        <v>0</v>
      </c>
      <c r="L100" s="220">
        <f>SUM(L98:L99)</f>
        <v>0</v>
      </c>
      <c r="M100" s="220">
        <f t="shared" si="216"/>
        <v>68376</v>
      </c>
      <c r="O100" s="110"/>
      <c r="Q100" s="643">
        <f t="shared" si="217"/>
        <v>68376</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1139</v>
      </c>
      <c r="B102" s="16" t="s">
        <v>270</v>
      </c>
      <c r="P102" s="9"/>
      <c r="Q102" s="644"/>
      <c r="R102" s="644"/>
      <c r="S102" s="644"/>
      <c r="T102" s="16" t="s">
        <v>2717</v>
      </c>
      <c r="FY102" s="757"/>
      <c r="GP102" s="776"/>
      <c r="GV102" s="757"/>
      <c r="GW102" s="781"/>
      <c r="HL102" s="757"/>
      <c r="HN102" s="781"/>
    </row>
    <row r="103" spans="1:222" ht="9" customHeight="1">
      <c r="P103" s="644"/>
    </row>
    <row r="104" spans="1:222" ht="12.6" customHeight="1">
      <c r="B104" s="16" t="s">
        <v>1520</v>
      </c>
      <c r="D104" s="149"/>
      <c r="E104" s="185"/>
      <c r="G104" s="1535">
        <f>0.02*L49</f>
        <v>16288.800000000001</v>
      </c>
      <c r="H104" s="153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2030</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1521</v>
      </c>
      <c r="G109" s="1537"/>
      <c r="H109" s="1537"/>
      <c r="I109" s="1537"/>
      <c r="J109" s="1537"/>
      <c r="K109" s="1538"/>
      <c r="L109" s="1537"/>
      <c r="M109" s="1537"/>
      <c r="N109" s="1537"/>
      <c r="O109" s="1537"/>
      <c r="P109" s="1537"/>
      <c r="T109" s="1460"/>
      <c r="U109" s="1461"/>
    </row>
    <row r="110" spans="1:222" ht="15" customHeight="1">
      <c r="B110" s="9" t="s">
        <v>1138</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65"/>
      <c r="U111" s="1466"/>
    </row>
    <row r="112" spans="1:222" ht="6.6" customHeight="1">
      <c r="C112" s="118"/>
      <c r="G112" s="25"/>
      <c r="H112" s="25"/>
      <c r="I112" s="25"/>
      <c r="J112" s="25"/>
      <c r="K112" s="25"/>
      <c r="L112" s="25"/>
      <c r="M112" s="25"/>
      <c r="N112" s="25"/>
      <c r="O112" s="25"/>
      <c r="P112" s="25"/>
    </row>
    <row r="113" spans="2:21" ht="15.6" customHeight="1">
      <c r="B113" s="555" t="s">
        <v>903</v>
      </c>
      <c r="G113" s="42"/>
      <c r="P113" s="9"/>
      <c r="T113" s="126" t="str">
        <f>B113</f>
        <v>NOT Included in Mgt Fee:</v>
      </c>
    </row>
    <row r="114" spans="2:21" ht="15" customHeight="1">
      <c r="B114" s="9" t="s">
        <v>770</v>
      </c>
      <c r="G114" s="1537"/>
      <c r="H114" s="1537"/>
      <c r="I114" s="1537"/>
      <c r="J114" s="1537"/>
      <c r="K114" s="1538"/>
      <c r="L114" s="1537"/>
      <c r="M114" s="1537"/>
      <c r="N114" s="1537"/>
      <c r="O114" s="1537"/>
      <c r="P114" s="1537"/>
      <c r="T114" s="1462"/>
      <c r="U114" s="1463"/>
    </row>
    <row r="115" spans="2:21" ht="15" customHeight="1">
      <c r="B115" s="9" t="s">
        <v>1138</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232</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65"/>
      <c r="U116" s="1466"/>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1521</v>
      </c>
      <c r="G119" s="1537"/>
      <c r="H119" s="1537"/>
      <c r="I119" s="1537"/>
      <c r="J119" s="1537"/>
      <c r="K119" s="1538"/>
      <c r="L119" s="1537"/>
      <c r="M119" s="1537"/>
      <c r="N119" s="1537"/>
      <c r="O119" s="1537"/>
      <c r="P119" s="1537"/>
      <c r="T119" s="1460"/>
      <c r="U119" s="1461"/>
    </row>
    <row r="120" spans="2:21" ht="15" customHeight="1">
      <c r="B120" s="9" t="s">
        <v>1138</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65"/>
      <c r="U121" s="1466"/>
    </row>
    <row r="122" spans="2:21" ht="6.6" customHeight="1">
      <c r="C122" s="118"/>
      <c r="G122" s="25"/>
      <c r="H122" s="25"/>
      <c r="I122" s="25"/>
      <c r="J122" s="25"/>
      <c r="K122" s="25"/>
      <c r="L122" s="25"/>
      <c r="M122" s="25"/>
      <c r="N122" s="25"/>
      <c r="O122" s="25"/>
      <c r="P122" s="25"/>
    </row>
    <row r="123" spans="2:21" ht="15.6" customHeight="1">
      <c r="B123" s="555" t="s">
        <v>903</v>
      </c>
      <c r="G123" s="42"/>
      <c r="P123" s="9"/>
      <c r="T123" s="126" t="str">
        <f>B123</f>
        <v>NOT Included in Mgt Fee:</v>
      </c>
    </row>
    <row r="124" spans="2:21" ht="15" customHeight="1">
      <c r="B124" s="9" t="s">
        <v>770</v>
      </c>
      <c r="G124" s="1537"/>
      <c r="H124" s="1537"/>
      <c r="I124" s="1537"/>
      <c r="J124" s="1537"/>
      <c r="K124" s="1538"/>
      <c r="L124" s="1537"/>
      <c r="M124" s="1537"/>
      <c r="N124" s="1537"/>
      <c r="O124" s="1537"/>
      <c r="P124" s="1537"/>
      <c r="T124" s="1462"/>
      <c r="U124" s="1463"/>
    </row>
    <row r="125" spans="2:21" ht="15" customHeight="1">
      <c r="B125" s="9" t="s">
        <v>1138</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232</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65"/>
      <c r="U126" s="1466"/>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1521</v>
      </c>
      <c r="G129" s="1537"/>
      <c r="H129" s="1537"/>
      <c r="I129" s="1537"/>
      <c r="J129" s="1537"/>
      <c r="K129" s="1538"/>
      <c r="L129" s="1537"/>
      <c r="M129" s="1537"/>
      <c r="N129" s="1537"/>
      <c r="O129" s="1537"/>
      <c r="P129" s="1537"/>
      <c r="T129" s="1460"/>
      <c r="U129" s="1461"/>
    </row>
    <row r="130" spans="1:255" ht="15" customHeight="1">
      <c r="B130" s="9" t="s">
        <v>1138</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65"/>
      <c r="U131" s="1466"/>
    </row>
    <row r="132" spans="1:255" ht="6.6" customHeight="1">
      <c r="C132" s="118"/>
      <c r="G132" s="25"/>
      <c r="H132" s="25"/>
      <c r="I132" s="25"/>
      <c r="J132" s="25"/>
      <c r="K132" s="25"/>
      <c r="L132" s="25"/>
      <c r="M132" s="25"/>
      <c r="N132" s="25"/>
      <c r="O132" s="25"/>
      <c r="P132" s="25"/>
    </row>
    <row r="133" spans="1:255" ht="15" customHeight="1">
      <c r="B133" s="555" t="s">
        <v>903</v>
      </c>
      <c r="G133" s="42"/>
      <c r="P133" s="9"/>
      <c r="T133" s="126" t="str">
        <f>B133</f>
        <v>NOT Included in Mgt Fee:</v>
      </c>
    </row>
    <row r="134" spans="1:255" ht="15" customHeight="1">
      <c r="B134" s="9" t="s">
        <v>770</v>
      </c>
      <c r="G134" s="1537"/>
      <c r="H134" s="1537"/>
      <c r="I134" s="1537"/>
      <c r="J134" s="1537"/>
      <c r="K134" s="1538"/>
      <c r="L134" s="1537"/>
      <c r="M134" s="1537"/>
      <c r="N134" s="1537"/>
      <c r="O134" s="1537"/>
      <c r="P134" s="1537"/>
      <c r="T134" s="1462"/>
      <c r="U134" s="1463"/>
    </row>
    <row r="135" spans="1:255" ht="15" customHeight="1">
      <c r="B135" s="9" t="s">
        <v>1138</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232</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65"/>
      <c r="U136" s="1466"/>
    </row>
    <row r="137" spans="1:255" ht="9.6" customHeight="1">
      <c r="B137" s="16"/>
      <c r="F137" s="42"/>
      <c r="G137" s="42"/>
      <c r="J137" s="19"/>
      <c r="P137" s="9"/>
    </row>
    <row r="138" spans="1:255" s="119" customFormat="1" ht="11.25" customHeight="1">
      <c r="A138" s="5" t="s">
        <v>2649</v>
      </c>
      <c r="B138" s="824" t="s">
        <v>1523</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2717</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1858</v>
      </c>
      <c r="C140" s="2"/>
      <c r="D140" s="2"/>
      <c r="E140" s="2"/>
      <c r="F140" s="31"/>
      <c r="G140" s="31"/>
      <c r="H140" s="2"/>
      <c r="I140" s="11" t="s">
        <v>1946</v>
      </c>
      <c r="J140" s="2"/>
      <c r="K140" s="2"/>
      <c r="L140" s="2"/>
      <c r="M140" s="2"/>
      <c r="N140" s="11" t="s">
        <v>1945</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44">
        <v>89496</v>
      </c>
      <c r="G141" s="1545"/>
      <c r="H141" s="2"/>
      <c r="I141" s="2" t="s">
        <v>1947</v>
      </c>
      <c r="J141" s="2"/>
      <c r="K141" s="1544"/>
      <c r="L141" s="1545"/>
      <c r="M141" s="2"/>
      <c r="N141" s="2" t="s">
        <v>1424</v>
      </c>
      <c r="O141" s="2"/>
      <c r="P141" s="1546">
        <v>76600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1936</v>
      </c>
      <c r="C142" s="2"/>
      <c r="D142" s="2"/>
      <c r="E142" s="2"/>
      <c r="F142" s="1544">
        <v>42352</v>
      </c>
      <c r="G142" s="1545"/>
      <c r="H142" s="2"/>
      <c r="I142" s="2" t="s">
        <v>1948</v>
      </c>
      <c r="J142" s="2"/>
      <c r="K142" s="1544">
        <v>500</v>
      </c>
      <c r="L142" s="1545"/>
      <c r="M142" s="2"/>
      <c r="N142" s="2" t="s">
        <v>182</v>
      </c>
      <c r="O142" s="2"/>
      <c r="P142" s="1546">
        <v>20525</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1791</v>
      </c>
      <c r="C143" s="2"/>
      <c r="D143" s="2"/>
      <c r="E143" s="2"/>
      <c r="F143" s="1544">
        <v>24000</v>
      </c>
      <c r="G143" s="1545"/>
      <c r="H143" s="2"/>
      <c r="I143" s="2"/>
      <c r="J143" s="169" t="s">
        <v>231</v>
      </c>
      <c r="K143" s="1091">
        <f>SUM(K141:L142)</f>
        <v>500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231</v>
      </c>
      <c r="O144" s="2"/>
      <c r="P144" s="633">
        <f>SUM(P141:P143)</f>
        <v>97125</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231</v>
      </c>
      <c r="D145" s="2"/>
      <c r="E145" s="2"/>
      <c r="F145" s="1091">
        <f>SUM(F141:G144)</f>
        <v>155848</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1859</v>
      </c>
      <c r="C147" s="2"/>
      <c r="D147" s="10"/>
      <c r="E147" s="2"/>
      <c r="F147" s="2"/>
      <c r="G147" s="2"/>
      <c r="H147" s="2"/>
      <c r="I147" s="11" t="s">
        <v>1860</v>
      </c>
      <c r="J147" s="2"/>
      <c r="K147" s="2"/>
      <c r="L147" s="2"/>
      <c r="M147" s="2"/>
      <c r="N147" s="11" t="s">
        <v>1949</v>
      </c>
      <c r="O147" s="2"/>
      <c r="P147" s="632">
        <f>IF(OR('Part VII-Pro Forma'!$B$20 = "Choose Mgt Fee",'Part VII-Pro Forma'!$B$20 = "Choose One!"), 0,- 'Part VII-Pro Forma'!$B$20)</f>
        <v>38629</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1941</v>
      </c>
      <c r="C148" s="2"/>
      <c r="D148" s="10"/>
      <c r="E148" s="2"/>
      <c r="F148" s="1544">
        <v>2100</v>
      </c>
      <c r="G148" s="1545"/>
      <c r="H148" s="2"/>
      <c r="I148" s="2" t="s">
        <v>2212</v>
      </c>
      <c r="J148" s="2"/>
      <c r="K148" s="1555">
        <v>500</v>
      </c>
      <c r="L148" s="1556"/>
      <c r="M148" s="2"/>
      <c r="N148" s="595">
        <f>+P147/(M62*0.93)</f>
        <v>494.48284690220169</v>
      </c>
      <c r="O148" s="30" t="s">
        <v>3589</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1942</v>
      </c>
      <c r="C149" s="2"/>
      <c r="D149" s="10"/>
      <c r="E149" s="2"/>
      <c r="F149" s="1544">
        <v>8100</v>
      </c>
      <c r="G149" s="1545"/>
      <c r="H149" s="2"/>
      <c r="I149" s="2" t="s">
        <v>2935</v>
      </c>
      <c r="J149" s="2"/>
      <c r="K149" s="1557">
        <v>8000</v>
      </c>
      <c r="L149" s="1558"/>
      <c r="M149" s="2"/>
      <c r="N149" s="595">
        <f>+P147/(M62*0.93)/12</f>
        <v>41.206903908516807</v>
      </c>
      <c r="O149" s="30" t="s">
        <v>3590</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1943</v>
      </c>
      <c r="C150" s="2"/>
      <c r="D150" s="10"/>
      <c r="E150" s="2"/>
      <c r="F150" s="1544"/>
      <c r="G150" s="1545"/>
      <c r="H150" s="2"/>
      <c r="I150" s="2" t="s">
        <v>2213</v>
      </c>
      <c r="J150" s="2"/>
      <c r="K150" s="1557">
        <v>500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44"/>
      <c r="G151" s="1545"/>
      <c r="H151" s="2"/>
      <c r="I151" s="1547" t="s">
        <v>57</v>
      </c>
      <c r="J151" s="1548"/>
      <c r="K151" s="1555"/>
      <c r="L151" s="1556"/>
      <c r="M151" s="2"/>
      <c r="N151" s="1103" t="s">
        <v>3466</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2210</v>
      </c>
      <c r="C152" s="2"/>
      <c r="D152" s="10"/>
      <c r="E152" s="2"/>
      <c r="F152" s="1544"/>
      <c r="G152" s="1545"/>
      <c r="H152" s="2"/>
      <c r="I152" s="11"/>
      <c r="J152" s="13" t="s">
        <v>231</v>
      </c>
      <c r="K152" s="1099">
        <f>SUM(K148:K151)</f>
        <v>9000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4047</v>
      </c>
      <c r="C153" s="1551"/>
      <c r="D153" s="1551"/>
      <c r="E153" s="1552"/>
      <c r="F153" s="1553">
        <f>8004</f>
        <v>8004</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231</v>
      </c>
      <c r="D154" s="2"/>
      <c r="E154" s="2"/>
      <c r="F154" s="1091">
        <f>SUM(F148:G153)</f>
        <v>18204</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1861</v>
      </c>
      <c r="C156" s="2"/>
      <c r="D156" s="10"/>
      <c r="E156" s="2"/>
      <c r="F156" s="2"/>
      <c r="G156" s="2"/>
      <c r="H156" s="2"/>
      <c r="I156" s="11" t="s">
        <v>1944</v>
      </c>
      <c r="J156" s="830" t="s">
        <v>3318</v>
      </c>
      <c r="K156" s="2"/>
      <c r="L156" s="2"/>
      <c r="M156" s="2"/>
      <c r="N156" s="11" t="s">
        <v>3082</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2214</v>
      </c>
      <c r="C157" s="2"/>
      <c r="D157" s="10"/>
      <c r="E157" s="2"/>
      <c r="F157" s="1559"/>
      <c r="G157" s="1560"/>
      <c r="H157" s="2"/>
      <c r="I157" s="2" t="s">
        <v>1937</v>
      </c>
      <c r="J157" s="630">
        <f>K157/12/$M$62</f>
        <v>98.80952380952381</v>
      </c>
      <c r="K157" s="1557">
        <v>99600</v>
      </c>
      <c r="L157" s="1558"/>
      <c r="M157" s="2"/>
      <c r="N157" s="364">
        <f>+$P$157/$M$62</f>
        <v>5916.7380952380954</v>
      </c>
      <c r="O157" s="30" t="s">
        <v>1975</v>
      </c>
      <c r="P157" s="631">
        <f>F145+F154+F165+K143+K152+K162+P144+P147</f>
        <v>497006</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2215</v>
      </c>
      <c r="C158" s="2"/>
      <c r="D158" s="10"/>
      <c r="E158" s="2"/>
      <c r="F158" s="1559">
        <v>5040</v>
      </c>
      <c r="G158" s="1560"/>
      <c r="H158" s="2"/>
      <c r="I158" s="2" t="s">
        <v>1938</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2216</v>
      </c>
      <c r="C159" s="2"/>
      <c r="D159" s="10"/>
      <c r="E159" s="2"/>
      <c r="F159" s="1559">
        <v>14000</v>
      </c>
      <c r="G159" s="1560"/>
      <c r="H159" s="2"/>
      <c r="I159" s="2" t="s">
        <v>3317</v>
      </c>
      <c r="J159" s="630">
        <f>K159/12/$M$62</f>
        <v>30</v>
      </c>
      <c r="K159" s="1557">
        <v>30240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1505</v>
      </c>
      <c r="C160" s="2"/>
      <c r="D160" s="10"/>
      <c r="E160" s="2"/>
      <c r="F160" s="1544">
        <v>4500</v>
      </c>
      <c r="G160" s="1545"/>
      <c r="H160" s="2"/>
      <c r="I160" s="2" t="s">
        <v>1940</v>
      </c>
      <c r="J160" s="2"/>
      <c r="K160" s="1557">
        <v>4800</v>
      </c>
      <c r="L160" s="1558"/>
      <c r="M160" s="2"/>
      <c r="N160" s="11" t="s">
        <v>1797</v>
      </c>
      <c r="O160" s="11"/>
      <c r="P160" s="632">
        <f>P161*M62</f>
        <v>21000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1506</v>
      </c>
      <c r="C161" s="2"/>
      <c r="D161" s="10"/>
      <c r="E161" s="2"/>
      <c r="F161" s="1544">
        <v>8400</v>
      </c>
      <c r="G161" s="1545"/>
      <c r="H161" s="2"/>
      <c r="I161" s="1547" t="s">
        <v>4024</v>
      </c>
      <c r="J161" s="1548"/>
      <c r="K161" s="1555">
        <v>2520</v>
      </c>
      <c r="L161" s="1556"/>
      <c r="M161" s="2"/>
      <c r="N161" s="30" t="s">
        <v>640</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1507</v>
      </c>
      <c r="C162" s="2"/>
      <c r="D162" s="10"/>
      <c r="E162" s="2"/>
      <c r="F162" s="1544">
        <v>7600</v>
      </c>
      <c r="G162" s="1545"/>
      <c r="H162" s="2"/>
      <c r="I162" s="2"/>
      <c r="J162" s="13" t="s">
        <v>231</v>
      </c>
      <c r="K162" s="1099">
        <f>SUM(K157:K161)</f>
        <v>137160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1358</v>
      </c>
      <c r="C163" s="2"/>
      <c r="D163" s="10"/>
      <c r="E163" s="2"/>
      <c r="F163" s="1544"/>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4023</v>
      </c>
      <c r="C164" s="1551"/>
      <c r="D164" s="1551"/>
      <c r="E164" s="1552"/>
      <c r="F164" s="1553">
        <v>1000</v>
      </c>
      <c r="G164" s="1554"/>
      <c r="H164" s="2"/>
      <c r="I164" s="2"/>
      <c r="J164" s="14"/>
      <c r="K164" s="2"/>
      <c r="L164" s="2"/>
      <c r="M164" s="2"/>
      <c r="N164" s="11" t="s">
        <v>3083</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231</v>
      </c>
      <c r="D165" s="2"/>
      <c r="E165" s="2"/>
      <c r="F165" s="1101">
        <f>SUM(F157:G164)</f>
        <v>40540</v>
      </c>
      <c r="G165" s="1102"/>
      <c r="H165" s="2"/>
      <c r="I165" s="2"/>
      <c r="J165" s="14"/>
      <c r="K165" s="2"/>
      <c r="L165" s="2"/>
      <c r="M165" s="2"/>
      <c r="N165" s="2"/>
      <c r="O165" s="2"/>
      <c r="P165" s="631">
        <f>P157+P160</f>
        <v>518006</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2651</v>
      </c>
      <c r="B167" s="16" t="s">
        <v>816</v>
      </c>
      <c r="K167" s="16" t="s">
        <v>766</v>
      </c>
      <c r="L167" s="16" t="s">
        <v>2717</v>
      </c>
    </row>
    <row r="168" spans="1:255" ht="132.75" customHeight="1">
      <c r="A168" s="1360" t="s">
        <v>4068</v>
      </c>
      <c r="B168" s="1361"/>
      <c r="C168" s="1361"/>
      <c r="D168" s="1361"/>
      <c r="E168" s="1361"/>
      <c r="F168" s="1361"/>
      <c r="G168" s="1361"/>
      <c r="H168" s="1361"/>
      <c r="I168" s="1361"/>
      <c r="J168" s="1362"/>
      <c r="K168" s="1363"/>
      <c r="L168" s="1364"/>
      <c r="M168" s="1364"/>
      <c r="N168" s="1364"/>
      <c r="O168" s="1364"/>
      <c r="P168" s="1365"/>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2012-056 Silver Comet Senior Village, Powder Springs, Cobb County</v>
      </c>
      <c r="B1" s="1108"/>
      <c r="C1" s="1108"/>
      <c r="D1" s="1108"/>
      <c r="E1" s="1108"/>
      <c r="F1" s="1108"/>
      <c r="G1" s="1108"/>
      <c r="H1" s="1108"/>
      <c r="I1" s="1108"/>
      <c r="J1" s="1108"/>
      <c r="K1" s="1109"/>
      <c r="L1" s="11"/>
      <c r="M1" s="1105" t="str">
        <f>A1</f>
        <v>PART SEVEN - OPERATING PRO FORMA  -  2012-056 Silver Comet Senior Village, Powder Springs, Cobb County</v>
      </c>
      <c r="N1" s="1105"/>
      <c r="O1" s="11"/>
    </row>
    <row r="2" spans="1:15" ht="13.5" customHeight="1">
      <c r="M2" s="1106" t="s">
        <v>2717</v>
      </c>
      <c r="N2" s="1106"/>
    </row>
    <row r="3" spans="1:15" ht="13.5">
      <c r="A3" s="16" t="s">
        <v>96</v>
      </c>
      <c r="D3" s="16" t="s">
        <v>86</v>
      </c>
      <c r="E3" s="301"/>
      <c r="F3" s="400" t="s">
        <v>1557</v>
      </c>
      <c r="M3" s="16" t="str">
        <f>A3</f>
        <v>I.  OPERATING ASSUMPTIONS</v>
      </c>
      <c r="N3" s="35"/>
    </row>
    <row r="4" spans="1:15" ht="2.4500000000000002" customHeight="1">
      <c r="A4" s="19"/>
      <c r="B4" s="19"/>
      <c r="C4" s="19"/>
      <c r="H4" s="19"/>
      <c r="I4" s="19"/>
    </row>
    <row r="5" spans="1:15" ht="13.5" customHeight="1">
      <c r="A5" s="19" t="s">
        <v>3084</v>
      </c>
      <c r="B5" s="105">
        <v>0.02</v>
      </c>
      <c r="C5" s="19"/>
      <c r="D5" s="19" t="s">
        <v>1270</v>
      </c>
      <c r="F5" s="19"/>
      <c r="G5" s="1562">
        <v>5000</v>
      </c>
      <c r="H5" s="128" t="s">
        <v>2785</v>
      </c>
      <c r="K5" s="133">
        <f>IF(($B$14+$B$15+$B$16+$B$17)=0,"",-B28/($B$14+$B$15+$B$16+$B$17))</f>
        <v>6.4718402516218358E-3</v>
      </c>
      <c r="M5" s="1460"/>
      <c r="N5" s="1461"/>
    </row>
    <row r="6" spans="1:15">
      <c r="A6" s="19" t="s">
        <v>3085</v>
      </c>
      <c r="B6" s="105">
        <v>0.03</v>
      </c>
      <c r="C6" s="19"/>
      <c r="D6" s="19" t="s">
        <v>1271</v>
      </c>
      <c r="F6" s="19"/>
      <c r="G6" s="1562">
        <v>5000</v>
      </c>
      <c r="H6" s="128" t="s">
        <v>3347</v>
      </c>
      <c r="K6" s="133">
        <f>IF(($B$14+$B$15+$B$16+$B$17)=0,"",G6/($B$14+$B$15+$B$16+$B$17))</f>
        <v>6.4718402516218358E-3</v>
      </c>
      <c r="M6" s="1462"/>
      <c r="N6" s="1463"/>
    </row>
    <row r="7" spans="1:15">
      <c r="A7" s="19" t="s">
        <v>3087</v>
      </c>
      <c r="B7" s="105">
        <v>0.03</v>
      </c>
      <c r="C7" s="19"/>
      <c r="D7" s="107" t="s">
        <v>333</v>
      </c>
      <c r="G7" s="109"/>
      <c r="H7" s="128" t="s">
        <v>3348</v>
      </c>
      <c r="K7" s="133">
        <f>IF(($B$14+$B$15+$B$16+$B$17)=0,"",-B20/($B$14+$B$15+$B$16+$B$17))</f>
        <v>5.0000143415979977E-2</v>
      </c>
      <c r="M7" s="1462"/>
      <c r="N7" s="1463"/>
    </row>
    <row r="8" spans="1:15" ht="13.15" customHeight="1">
      <c r="A8" s="19" t="s">
        <v>3086</v>
      </c>
      <c r="B8" s="1563">
        <v>7.0000000000000007E-2</v>
      </c>
      <c r="C8" s="19"/>
      <c r="D8" s="106" t="s">
        <v>3518</v>
      </c>
      <c r="G8" s="1564"/>
      <c r="H8" s="230" t="s">
        <v>2029</v>
      </c>
      <c r="K8" s="1565"/>
      <c r="M8" s="1462"/>
      <c r="N8" s="1463"/>
    </row>
    <row r="9" spans="1:15">
      <c r="A9" s="19" t="s">
        <v>1993</v>
      </c>
      <c r="B9" s="105">
        <v>0.02</v>
      </c>
      <c r="D9" s="106" t="s">
        <v>2571</v>
      </c>
      <c r="G9" s="1564" t="s">
        <v>3984</v>
      </c>
      <c r="H9" s="230" t="s">
        <v>3323</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3675</v>
      </c>
      <c r="N13" s="954"/>
    </row>
    <row r="14" spans="1:15" ht="13.15" customHeight="1">
      <c r="A14" s="21" t="s">
        <v>3385</v>
      </c>
      <c r="B14" s="22">
        <f>'Part VI-Revenues &amp; Expenses'!L49</f>
        <v>814440</v>
      </c>
      <c r="C14" s="22">
        <f t="shared" ref="C14:K14" si="1">$B$14*(1+$B$5)^(C13-1)</f>
        <v>830728.8</v>
      </c>
      <c r="D14" s="22">
        <f t="shared" si="1"/>
        <v>847343.37600000005</v>
      </c>
      <c r="E14" s="22">
        <f t="shared" si="1"/>
        <v>864290.2435199999</v>
      </c>
      <c r="F14" s="22">
        <f t="shared" si="1"/>
        <v>881576.04839040001</v>
      </c>
      <c r="G14" s="22">
        <f t="shared" si="1"/>
        <v>899207.56935820798</v>
      </c>
      <c r="H14" s="22">
        <f t="shared" si="1"/>
        <v>917191.72074537224</v>
      </c>
      <c r="I14" s="22">
        <f t="shared" si="1"/>
        <v>935535.5551602795</v>
      </c>
      <c r="J14" s="22">
        <f t="shared" si="1"/>
        <v>954246.26626348519</v>
      </c>
      <c r="K14" s="23">
        <f t="shared" si="1"/>
        <v>973331.19158875488</v>
      </c>
      <c r="M14" s="1460"/>
      <c r="N14" s="1461"/>
    </row>
    <row r="15" spans="1:15" ht="13.15" customHeight="1">
      <c r="A15" s="24" t="s">
        <v>1520</v>
      </c>
      <c r="B15" s="25">
        <f>MIN(B14*B9,'Part VI-Revenues &amp; Expenses'!G104)</f>
        <v>16288.800000000001</v>
      </c>
      <c r="C15" s="25">
        <f t="shared" ref="C15:K15" si="2">$B$15*(1+$B$5)^(C13-1)</f>
        <v>16614.576000000001</v>
      </c>
      <c r="D15" s="25">
        <f t="shared" si="2"/>
        <v>16946.86752</v>
      </c>
      <c r="E15" s="25">
        <f t="shared" si="2"/>
        <v>17285.804870399999</v>
      </c>
      <c r="F15" s="25">
        <f t="shared" si="2"/>
        <v>17631.520967807999</v>
      </c>
      <c r="G15" s="25">
        <f t="shared" si="2"/>
        <v>17984.151387164162</v>
      </c>
      <c r="H15" s="25">
        <f t="shared" si="2"/>
        <v>18343.834414907447</v>
      </c>
      <c r="I15" s="25">
        <f t="shared" si="2"/>
        <v>18710.711103205591</v>
      </c>
      <c r="J15" s="25">
        <f t="shared" si="2"/>
        <v>19084.925325269705</v>
      </c>
      <c r="K15" s="26">
        <f t="shared" si="2"/>
        <v>19466.623831775098</v>
      </c>
      <c r="M15" s="1462"/>
      <c r="N15" s="1463"/>
    </row>
    <row r="16" spans="1:15" ht="13.15" customHeight="1">
      <c r="A16" s="24" t="s">
        <v>3386</v>
      </c>
      <c r="B16" s="25">
        <f t="shared" ref="B16:K16" si="3">-(B14+B15)*$B$8</f>
        <v>-58151.016000000011</v>
      </c>
      <c r="C16" s="25">
        <f t="shared" si="3"/>
        <v>-59314.036320000007</v>
      </c>
      <c r="D16" s="25">
        <f t="shared" si="3"/>
        <v>-60500.317046400007</v>
      </c>
      <c r="E16" s="25">
        <f t="shared" si="3"/>
        <v>-61710.323387327997</v>
      </c>
      <c r="F16" s="25">
        <f t="shared" si="3"/>
        <v>-62944.529855074565</v>
      </c>
      <c r="G16" s="25">
        <f t="shared" si="3"/>
        <v>-64203.420452176055</v>
      </c>
      <c r="H16" s="25">
        <f t="shared" si="3"/>
        <v>-65487.488861219586</v>
      </c>
      <c r="I16" s="25">
        <f t="shared" si="3"/>
        <v>-66797.23863844396</v>
      </c>
      <c r="J16" s="25">
        <f t="shared" si="3"/>
        <v>-68133.183411212842</v>
      </c>
      <c r="K16" s="26">
        <f t="shared" si="3"/>
        <v>-69495.84707943711</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872</v>
      </c>
      <c r="B19" s="25">
        <f>-('Part VI-Revenues &amp; Expenses'!P157-'Part VI-Revenues &amp; Expenses'!P147)</f>
        <v>-458377</v>
      </c>
      <c r="C19" s="25">
        <f t="shared" ref="C19:K19" si="4">$B$19*(1+$B$6)^(C13-1)</f>
        <v>-472128.31</v>
      </c>
      <c r="D19" s="25">
        <f t="shared" si="4"/>
        <v>-486292.1593</v>
      </c>
      <c r="E19" s="25">
        <f t="shared" si="4"/>
        <v>-500880.92407900002</v>
      </c>
      <c r="F19" s="25">
        <f t="shared" si="4"/>
        <v>-515907.35180136998</v>
      </c>
      <c r="G19" s="25">
        <f t="shared" si="4"/>
        <v>-531384.57235541102</v>
      </c>
      <c r="H19" s="25">
        <f t="shared" si="4"/>
        <v>-547326.10952607344</v>
      </c>
      <c r="I19" s="25">
        <f t="shared" si="4"/>
        <v>-563745.89281185565</v>
      </c>
      <c r="J19" s="25">
        <f t="shared" si="4"/>
        <v>-580658.26959621126</v>
      </c>
      <c r="K19" s="26">
        <f t="shared" si="4"/>
        <v>-598078.01768409763</v>
      </c>
      <c r="M19" s="1462"/>
      <c r="N19" s="1463"/>
    </row>
    <row r="20" spans="1:14" ht="13.15" customHeight="1">
      <c r="A20" s="24" t="s">
        <v>1629</v>
      </c>
      <c r="B20" s="25">
        <f>IF(AND('Part VII-Pro Forma'!$G$8="Yes",'Part VII-Pro Forma'!$G$9="Yes"),"Choose One!",IF('Part VII-Pro Forma'!$G$8="Yes",ROUND((-$K$8*(1+'Part VII-Pro Forma'!$B$6)^('Part VII-Pro Forma'!B13-1)),),IF('Part VII-Pro Forma'!$G$9="Yes",ROUND((-(SUM(B14:B17)*'Part VII-Pro Forma'!$K$9)),),"Choose mgt fee")))</f>
        <v>-38629</v>
      </c>
      <c r="C20" s="25">
        <f>IF(AND('Part VII-Pro Forma'!$G$8="Yes",'Part VII-Pro Forma'!$G$9="Yes"),"Choose One!",IF('Part VII-Pro Forma'!$G$8="Yes",ROUND((-$K$8*(1+'Part VII-Pro Forma'!$B$6)^('Part VII-Pro Forma'!C13-1)),),IF('Part VII-Pro Forma'!$G$9="Yes",ROUND((-(SUM(C14:C17)*'Part VII-Pro Forma'!$K$9)),),"Choose mgt fee")))</f>
        <v>-39401</v>
      </c>
      <c r="D20" s="25">
        <f>IF(AND('Part VII-Pro Forma'!$G$8="Yes",'Part VII-Pro Forma'!$G$9="Yes"),"Choose One!",IF('Part VII-Pro Forma'!$G$8="Yes",ROUND((-$K$8*(1+'Part VII-Pro Forma'!$B$6)^('Part VII-Pro Forma'!D13-1)),),IF('Part VII-Pro Forma'!$G$9="Yes",ROUND((-(SUM(D14:D17)*'Part VII-Pro Forma'!$K$9)),),"Choose mgt fee")))</f>
        <v>-40189</v>
      </c>
      <c r="E20" s="25">
        <f>IF(AND('Part VII-Pro Forma'!$G$8="Yes",'Part VII-Pro Forma'!$G$9="Yes"),"Choose One!",IF('Part VII-Pro Forma'!$G$8="Yes",ROUND((-$K$8*(1+'Part VII-Pro Forma'!$B$6)^('Part VII-Pro Forma'!E13-1)),),IF('Part VII-Pro Forma'!$G$9="Yes",ROUND((-(SUM(E14:E17)*'Part VII-Pro Forma'!$K$9)),),"Choose mgt fee")))</f>
        <v>-40993</v>
      </c>
      <c r="F20" s="25">
        <f>IF(AND('Part VII-Pro Forma'!$G$8="Yes",'Part VII-Pro Forma'!$G$9="Yes"),"Choose One!",IF('Part VII-Pro Forma'!$G$8="Yes",ROUND((-$K$8*(1+'Part VII-Pro Forma'!$B$6)^('Part VII-Pro Forma'!F13-1)),),IF('Part VII-Pro Forma'!$G$9="Yes",ROUND((-(SUM(F14:F17)*'Part VII-Pro Forma'!$K$9)),),"Choose mgt fee")))</f>
        <v>-41813</v>
      </c>
      <c r="G20" s="25">
        <f>IF(AND('Part VII-Pro Forma'!$G$8="Yes",'Part VII-Pro Forma'!$G$9="Yes"),"Choose One!",IF('Part VII-Pro Forma'!$G$8="Yes",ROUND((-$K$8*(1+'Part VII-Pro Forma'!$B$6)^('Part VII-Pro Forma'!G13-1)),),IF('Part VII-Pro Forma'!$G$9="Yes",ROUND((-(SUM(G14:G17)*'Part VII-Pro Forma'!$K$9)),),"Choose mgt fee")))</f>
        <v>-42649</v>
      </c>
      <c r="H20" s="25">
        <f>IF(AND('Part VII-Pro Forma'!$G$8="Yes",'Part VII-Pro Forma'!$G$9="Yes"),"Choose One!",IF('Part VII-Pro Forma'!$G$8="Yes",ROUND((-$K$8*(1+'Part VII-Pro Forma'!$B$6)^('Part VII-Pro Forma'!H13-1)),),IF('Part VII-Pro Forma'!$G$9="Yes",ROUND((-(SUM(H14:H17)*'Part VII-Pro Forma'!$K$9)),),"Choose mgt fee")))</f>
        <v>-43502</v>
      </c>
      <c r="I20" s="25">
        <f>IF(AND('Part VII-Pro Forma'!$G$8="Yes",'Part VII-Pro Forma'!$G$9="Yes"),"Choose One!",IF('Part VII-Pro Forma'!$G$8="Yes",ROUND((-$K$8*(1+'Part VII-Pro Forma'!$B$6)^('Part VII-Pro Forma'!I13-1)),),IF('Part VII-Pro Forma'!$G$9="Yes",ROUND((-(SUM(I14:I17)*'Part VII-Pro Forma'!$K$9)),),"Choose mgt fee")))</f>
        <v>-44372</v>
      </c>
      <c r="J20" s="25">
        <f>IF(AND('Part VII-Pro Forma'!$G$8="Yes",'Part VII-Pro Forma'!$G$9="Yes"),"Choose One!",IF('Part VII-Pro Forma'!$G$8="Yes",ROUND((-$K$8*(1+'Part VII-Pro Forma'!$B$6)^('Part VII-Pro Forma'!J13-1)),),IF('Part VII-Pro Forma'!$G$9="Yes",ROUND((-(SUM(J14:J17)*'Part VII-Pro Forma'!$K$9)),),"Choose mgt fee")))</f>
        <v>-45260</v>
      </c>
      <c r="K20" s="25">
        <f>IF(AND('Part VII-Pro Forma'!$G$8="Yes",'Part VII-Pro Forma'!$G$9="Yes"),"Choose One!",IF('Part VII-Pro Forma'!$G$8="Yes",ROUND((-$K$8*(1+'Part VII-Pro Forma'!$B$6)^('Part VII-Pro Forma'!K13-1)),),IF('Part VII-Pro Forma'!$G$9="Yes",ROUND((-(SUM(K14:K17)*'Part VII-Pro Forma'!$K$9)),),"Choose mgt fee")))</f>
        <v>-46165</v>
      </c>
      <c r="M20" s="1462"/>
      <c r="N20" s="1463"/>
    </row>
    <row r="21" spans="1:14" ht="13.15" customHeight="1">
      <c r="A21" s="24" t="s">
        <v>1740</v>
      </c>
      <c r="B21" s="25">
        <f>-('Part VI-Revenues &amp; Expenses'!P160)</f>
        <v>-21000</v>
      </c>
      <c r="C21" s="25">
        <f t="shared" ref="C21:K21" si="5">$B$21*(1+$B$7)^(C13-1)</f>
        <v>-21630</v>
      </c>
      <c r="D21" s="25">
        <f t="shared" si="5"/>
        <v>-22278.899999999998</v>
      </c>
      <c r="E21" s="25">
        <f t="shared" si="5"/>
        <v>-22947.267</v>
      </c>
      <c r="F21" s="25">
        <f t="shared" si="5"/>
        <v>-23635.685009999997</v>
      </c>
      <c r="G21" s="25">
        <f t="shared" si="5"/>
        <v>-24344.755560299996</v>
      </c>
      <c r="H21" s="25">
        <f t="shared" si="5"/>
        <v>-25075.098227109</v>
      </c>
      <c r="I21" s="25">
        <f t="shared" si="5"/>
        <v>-25827.35117392227</v>
      </c>
      <c r="J21" s="25">
        <f t="shared" si="5"/>
        <v>-26602.171709139933</v>
      </c>
      <c r="K21" s="26">
        <f t="shared" si="5"/>
        <v>-27400.236860414134</v>
      </c>
      <c r="M21" s="1462"/>
      <c r="N21" s="1463"/>
    </row>
    <row r="22" spans="1:14" ht="13.15" customHeight="1">
      <c r="A22" s="24" t="s">
        <v>1741</v>
      </c>
      <c r="B22" s="25">
        <f t="shared" ref="B22:K22" si="6">SUM(B14:B21)</f>
        <v>254571.78399999999</v>
      </c>
      <c r="C22" s="25">
        <f t="shared" si="6"/>
        <v>254870.02968000009</v>
      </c>
      <c r="D22" s="25">
        <f t="shared" si="6"/>
        <v>255029.86717359998</v>
      </c>
      <c r="E22" s="25">
        <f t="shared" si="6"/>
        <v>255044.53392407193</v>
      </c>
      <c r="F22" s="25">
        <f t="shared" si="6"/>
        <v>254907.00269176342</v>
      </c>
      <c r="G22" s="25">
        <f t="shared" si="6"/>
        <v>254609.9723774851</v>
      </c>
      <c r="H22" s="25">
        <f t="shared" si="6"/>
        <v>254144.85854587768</v>
      </c>
      <c r="I22" s="25">
        <f t="shared" si="6"/>
        <v>253503.78363926316</v>
      </c>
      <c r="J22" s="25">
        <f t="shared" si="6"/>
        <v>252677.5668721908</v>
      </c>
      <c r="K22" s="26">
        <f t="shared" si="6"/>
        <v>251658.71379658117</v>
      </c>
      <c r="M22" s="1462"/>
      <c r="N22" s="1463"/>
    </row>
    <row r="23" spans="1:14" ht="13.15" customHeight="1">
      <c r="A23" s="678" t="s">
        <v>2196</v>
      </c>
      <c r="B23" s="1567">
        <f>IF('Part III A-Sources of Funds'!$M$32="", 0,-'Part III A-Sources of Funds'!$M$32)</f>
        <v>-192103.76653303418</v>
      </c>
      <c r="C23" s="1567">
        <f>IF('Part III A-Sources of Funds'!$M$32="", 0,-'Part III A-Sources of Funds'!$M$32)</f>
        <v>-192103.76653303418</v>
      </c>
      <c r="D23" s="1567">
        <f>IF('Part III A-Sources of Funds'!$M$32="", 0,-'Part III A-Sources of Funds'!$M$32)</f>
        <v>-192103.76653303418</v>
      </c>
      <c r="E23" s="1567">
        <f>IF('Part III A-Sources of Funds'!$M$32="", 0,-'Part III A-Sources of Funds'!$M$32)</f>
        <v>-192103.76653303418</v>
      </c>
      <c r="F23" s="1567">
        <f>IF('Part III A-Sources of Funds'!$M$32="", 0,-'Part III A-Sources of Funds'!$M$32)</f>
        <v>-192103.76653303418</v>
      </c>
      <c r="G23" s="1567">
        <f>IF('Part III A-Sources of Funds'!$M$32="", 0,-'Part III A-Sources of Funds'!$M$32)</f>
        <v>-192103.76653303418</v>
      </c>
      <c r="H23" s="1567">
        <f>IF('Part III A-Sources of Funds'!$M$32="", 0,-'Part III A-Sources of Funds'!$M$32)</f>
        <v>-192103.76653303418</v>
      </c>
      <c r="I23" s="1567">
        <f>IF('Part III A-Sources of Funds'!$M$32="", 0,-'Part III A-Sources of Funds'!$M$32)</f>
        <v>-192103.76653303418</v>
      </c>
      <c r="J23" s="1567">
        <f>IF('Part III A-Sources of Funds'!$M$32="", 0,-'Part III A-Sources of Funds'!$M$32)</f>
        <v>-192103.76653303418</v>
      </c>
      <c r="K23" s="1567">
        <f>IF('Part III A-Sources of Funds'!$M$32="", 0,-'Part III A-Sources of Funds'!$M$32)</f>
        <v>-192103.76653303418</v>
      </c>
      <c r="M23" s="1462"/>
      <c r="N23" s="1463"/>
    </row>
    <row r="24" spans="1:14" ht="13.15" customHeight="1">
      <c r="A24" s="678" t="s">
        <v>2197</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2198</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1267</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1242</v>
      </c>
      <c r="B27" s="1569"/>
      <c r="C27" s="1569"/>
      <c r="D27" s="1569"/>
      <c r="E27" s="1569"/>
      <c r="F27" s="1569"/>
      <c r="G27" s="1569"/>
      <c r="H27" s="1569"/>
      <c r="I27" s="1569"/>
      <c r="J27" s="1569"/>
      <c r="K27" s="1569"/>
      <c r="M27" s="1462"/>
      <c r="N27" s="1463"/>
    </row>
    <row r="28" spans="1:14" ht="13.15" customHeight="1">
      <c r="A28" s="24" t="s">
        <v>1687</v>
      </c>
      <c r="B28" s="1568">
        <f>-$G$5</f>
        <v>-5000</v>
      </c>
      <c r="C28" s="1568">
        <f t="shared" ref="C28:K28" si="7">+B28</f>
        <v>-5000</v>
      </c>
      <c r="D28" s="1568">
        <f t="shared" si="7"/>
        <v>-5000</v>
      </c>
      <c r="E28" s="1568">
        <f t="shared" si="7"/>
        <v>-5000</v>
      </c>
      <c r="F28" s="1568">
        <f t="shared" si="7"/>
        <v>-5000</v>
      </c>
      <c r="G28" s="1568">
        <f t="shared" si="7"/>
        <v>-5000</v>
      </c>
      <c r="H28" s="1568">
        <f t="shared" si="7"/>
        <v>-5000</v>
      </c>
      <c r="I28" s="1568">
        <f t="shared" si="7"/>
        <v>-5000</v>
      </c>
      <c r="J28" s="1568">
        <f t="shared" si="7"/>
        <v>-5000</v>
      </c>
      <c r="K28" s="1568">
        <f t="shared" si="7"/>
        <v>-5000</v>
      </c>
      <c r="M28" s="1462"/>
      <c r="N28" s="1463"/>
    </row>
    <row r="29" spans="1:14" ht="13.15" customHeight="1">
      <c r="A29" s="24" t="s">
        <v>1742</v>
      </c>
      <c r="B29" s="1570">
        <v>-57468</v>
      </c>
      <c r="C29" s="1570">
        <v>-40788</v>
      </c>
      <c r="D29" s="1570">
        <f>IF('Part III A-Sources of Funds'!$M$37="", 0,-'Part III A-Sources of Funds'!$M$37)</f>
        <v>0</v>
      </c>
      <c r="E29" s="1570">
        <f>IF('Part III A-Sources of Funds'!$M$37="", 0,-'Part III A-Sources of Funds'!$M$37)</f>
        <v>0</v>
      </c>
      <c r="F29" s="1570">
        <f>IF('Part III A-Sources of Funds'!$M$37="", 0,-'Part III A-Sources of Funds'!$M$37)</f>
        <v>0</v>
      </c>
      <c r="G29" s="1570">
        <f>IF('Part III A-Sources of Funds'!$M$37="", 0,-'Part III A-Sources of Funds'!$M$37)</f>
        <v>0</v>
      </c>
      <c r="H29" s="1570">
        <f>IF('Part III A-Sources of Funds'!$M$37="", 0,-'Part III A-Sources of Funds'!$M$37)</f>
        <v>0</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1688</v>
      </c>
      <c r="B30" s="25">
        <f t="shared" ref="B30:K30" si="8">SUM(B22:B29)</f>
        <v>1.7466965800849721E-2</v>
      </c>
      <c r="C30" s="25">
        <f t="shared" si="8"/>
        <v>16978.26314696591</v>
      </c>
      <c r="D30" s="25">
        <f t="shared" si="8"/>
        <v>57926.100640565797</v>
      </c>
      <c r="E30" s="25">
        <f t="shared" si="8"/>
        <v>57940.767391037749</v>
      </c>
      <c r="F30" s="25">
        <f t="shared" si="8"/>
        <v>57803.23615872924</v>
      </c>
      <c r="G30" s="25">
        <f t="shared" si="8"/>
        <v>57506.205844450917</v>
      </c>
      <c r="H30" s="25">
        <f t="shared" si="8"/>
        <v>57041.092012843495</v>
      </c>
      <c r="I30" s="25">
        <f t="shared" si="8"/>
        <v>56400.017106228974</v>
      </c>
      <c r="J30" s="25">
        <f t="shared" si="8"/>
        <v>55573.800339156616</v>
      </c>
      <c r="K30" s="26">
        <f t="shared" si="8"/>
        <v>54554.947263546987</v>
      </c>
      <c r="M30" s="1462"/>
      <c r="N30" s="1463"/>
    </row>
    <row r="31" spans="1:14" ht="13.15" customHeight="1">
      <c r="A31" s="24" t="str">
        <f>IF('Part III A-Sources of Funds'!$E$32 = "Neither", "", "DCR Mortgage A")</f>
        <v>DCR Mortgage A</v>
      </c>
      <c r="B31" s="27">
        <f>IF(B23=0,"",-B22/B23)</f>
        <v>1.3251785146868726</v>
      </c>
      <c r="C31" s="27">
        <f t="shared" ref="C31:K31" si="9">IF(C23=0,"",-C22/C23)</f>
        <v>1.3267310385409472</v>
      </c>
      <c r="D31" s="27">
        <f t="shared" si="9"/>
        <v>1.3275630758116606</v>
      </c>
      <c r="E31" s="27">
        <f t="shared" si="9"/>
        <v>1.3276394238746716</v>
      </c>
      <c r="F31" s="27">
        <f t="shared" si="9"/>
        <v>1.3269235022933794</v>
      </c>
      <c r="G31" s="27">
        <f t="shared" si="9"/>
        <v>1.3253773050498847</v>
      </c>
      <c r="H31" s="27">
        <f t="shared" si="9"/>
        <v>1.322956145694181</v>
      </c>
      <c r="I31" s="27">
        <f t="shared" si="9"/>
        <v>1.3196190174421729</v>
      </c>
      <c r="J31" s="27">
        <f t="shared" si="9"/>
        <v>1.3153181295315224</v>
      </c>
      <c r="K31" s="28">
        <f t="shared" si="9"/>
        <v>1.3100144694628146</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1268</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1251</v>
      </c>
      <c r="B35" s="378">
        <f>IF(OR(B20="Choose mgt fee",B20="Choose One!"),"",(B14+B15+B16+B17+B18) / -(B19+B20+B21))</f>
        <v>1.4914456280429185</v>
      </c>
      <c r="C35" s="378">
        <f t="shared" ref="C35:K35" si="13">IF(OR(C20="Choose mgt fee",C20="Choose One!"),"",(C14+C15+C16+C17+C18) / -(C19+C20+C21))</f>
        <v>1.4780372862287634</v>
      </c>
      <c r="D35" s="378">
        <f t="shared" si="13"/>
        <v>1.4647383913087932</v>
      </c>
      <c r="E35" s="378">
        <f t="shared" si="13"/>
        <v>1.4515491591893894</v>
      </c>
      <c r="F35" s="378">
        <f t="shared" si="13"/>
        <v>1.4384696924966685</v>
      </c>
      <c r="G35" s="378">
        <f t="shared" si="13"/>
        <v>1.4254999897211353</v>
      </c>
      <c r="H35" s="378">
        <f t="shared" si="13"/>
        <v>1.4126376601820265</v>
      </c>
      <c r="I35" s="378">
        <f t="shared" si="13"/>
        <v>1.39988277543565</v>
      </c>
      <c r="J35" s="378">
        <f t="shared" si="13"/>
        <v>1.3872331821003423</v>
      </c>
      <c r="K35" s="379">
        <f t="shared" si="13"/>
        <v>1.3746910463163193</v>
      </c>
      <c r="M35" s="1462"/>
      <c r="N35" s="1463"/>
    </row>
    <row r="36" spans="1:14" ht="13.15" customHeight="1">
      <c r="A36" s="678" t="s">
        <v>3667</v>
      </c>
      <c r="B36" s="1571">
        <f>IF('Part III A-Sources of Funds'!$H$32="","",-FV('Part III A-Sources of Funds'!$J$32/12,12,B23/12,'Part III A-Sources of Funds'!$H$32))</f>
        <v>2569533.3122786004</v>
      </c>
      <c r="C36" s="1571">
        <f>IF('Part III A-Sources of Funds'!$H$32="","",-FV('Part III A-Sources of Funds'!$J$32/12,12,C23/12,B36))</f>
        <v>2537106.9519179156</v>
      </c>
      <c r="D36" s="1571">
        <f>IF('Part III A-Sources of Funds'!$H$32="","",-FV('Part III A-Sources of Funds'!$J$32/12,12,D23/12,C36))</f>
        <v>2502594.869217752</v>
      </c>
      <c r="E36" s="1571">
        <f>IF('Part III A-Sources of Funds'!$H$32="","",-FV('Part III A-Sources of Funds'!$J$32/12,12,E23/12,D36))</f>
        <v>2465862.9067324693</v>
      </c>
      <c r="F36" s="1571">
        <f>IF('Part III A-Sources of Funds'!$H$32="","",-FV('Part III A-Sources of Funds'!$J$32/12,12,F23/12,E36))</f>
        <v>2426768.277766081</v>
      </c>
      <c r="G36" s="1571">
        <f>IF('Part III A-Sources of Funds'!$H$32="","",-FV('Part III A-Sources of Funds'!$J$32/12,12,G23/12,F36))</f>
        <v>2385159.0113232126</v>
      </c>
      <c r="H36" s="1571">
        <f>IF('Part III A-Sources of Funds'!$H$32="","",-FV('Part III A-Sources of Funds'!$J$32/12,12,H23/12,G36))</f>
        <v>2340873.3613582999</v>
      </c>
      <c r="I36" s="1571">
        <f>IF('Part III A-Sources of Funds'!$H$32="","",-FV('Part III A-Sources of Funds'!$J$32/12,12,I23/12,H36))</f>
        <v>2293739.1780266222</v>
      </c>
      <c r="J36" s="1571">
        <f>IF('Part III A-Sources of Funds'!$H$32="","",-FV('Part III A-Sources of Funds'!$J$32/12,12,J23/12,I36))</f>
        <v>2243573.238493063</v>
      </c>
      <c r="K36" s="1571">
        <f>IF('Part III A-Sources of Funds'!$H$32="","",-FV('Part III A-Sources of Funds'!$J$32/12,12,K23/12,J36))</f>
        <v>2190180.5346972728</v>
      </c>
      <c r="M36" s="1462"/>
      <c r="N36" s="1463"/>
    </row>
    <row r="37" spans="1:14" ht="13.15" customHeight="1">
      <c r="A37" s="678" t="s">
        <v>3668</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3669</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1269</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3670</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1777</v>
      </c>
      <c r="B41" s="1570">
        <f>IF('Part III A-Sources of Funds'!$H$37="","",-FV('Part III A-Sources of Funds'!$J$37/12,12,B29/12,'Part III A-Sources of Funds'!$H$37))</f>
        <v>40210.968140176279</v>
      </c>
      <c r="C41" s="1570">
        <f>IF('Part III A-Sources of Funds'!$H$37="","",-FV('Part III A-Sources of Funds'!$J$37/12,12,C29/12,B41))</f>
        <v>0.30532152774685528</v>
      </c>
      <c r="D41" s="1570">
        <f>IF('Part III A-Sources of Funds'!$H$37="","",-FV('Part III A-Sources of Funds'!$J$37/12,12,D29/12,C41))</f>
        <v>0.31348026677509611</v>
      </c>
      <c r="E41" s="1570">
        <f>IF('Part III A-Sources of Funds'!$H$37="","",-FV('Part III A-Sources of Funds'!$J$37/12,12,E29/12,D41))</f>
        <v>0.32185702194855326</v>
      </c>
      <c r="F41" s="1570">
        <f>IF('Part III A-Sources of Funds'!$H$37="","",-FV('Part III A-Sources of Funds'!$J$37/12,12,F29/12,E41))</f>
        <v>0.33045761904979076</v>
      </c>
      <c r="G41" s="1570">
        <f>IF('Part III A-Sources of Funds'!$H$37="","",-FV('Part III A-Sources of Funds'!$J$37/12,12,G29/12,F41))</f>
        <v>0.33928803953673536</v>
      </c>
      <c r="H41" s="1570">
        <f>IF('Part III A-Sources of Funds'!$H$37="","",-FV('Part III A-Sources of Funds'!$J$37/12,12,H29/12,G41))</f>
        <v>0.34835442470260147</v>
      </c>
      <c r="I41" s="1570">
        <f>IF('Part III A-Sources of Funds'!$H$37="","",-FV('Part III A-Sources of Funds'!$J$37/12,12,I29/12,H41))</f>
        <v>0.35766307994697694</v>
      </c>
      <c r="J41" s="1570">
        <f>IF('Part III A-Sources of Funds'!$H$37="","",-FV('Part III A-Sources of Funds'!$J$37/12,12,J29/12,I41))</f>
        <v>0.36722047916103961</v>
      </c>
      <c r="K41" s="1570">
        <f>IF('Part III A-Sources of Funds'!$H$37="","",-FV('Part III A-Sources of Funds'!$J$37/12,12,K29/12,J41))</f>
        <v>0.37703326922995517</v>
      </c>
      <c r="M41" s="1465"/>
      <c r="N41" s="1466"/>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3673</v>
      </c>
      <c r="N43" s="954"/>
    </row>
    <row r="44" spans="1:14" ht="13.15" customHeight="1">
      <c r="A44" s="21" t="s">
        <v>3385</v>
      </c>
      <c r="B44" s="22">
        <f t="shared" ref="B44:K44" si="16">$B$14*(1+$B$5)^(B43-1)</f>
        <v>992797.81542052992</v>
      </c>
      <c r="C44" s="22">
        <f t="shared" si="16"/>
        <v>1012653.7717289404</v>
      </c>
      <c r="D44" s="22">
        <f t="shared" si="16"/>
        <v>1032906.8471635194</v>
      </c>
      <c r="E44" s="22">
        <f t="shared" si="16"/>
        <v>1053564.9841067896</v>
      </c>
      <c r="F44" s="22">
        <f t="shared" si="16"/>
        <v>1074636.2837889255</v>
      </c>
      <c r="G44" s="22">
        <f t="shared" si="16"/>
        <v>1096129.0094647037</v>
      </c>
      <c r="H44" s="22">
        <f t="shared" si="16"/>
        <v>1118051.5896539981</v>
      </c>
      <c r="I44" s="22">
        <f t="shared" si="16"/>
        <v>1140412.6214470782</v>
      </c>
      <c r="J44" s="22">
        <f t="shared" si="16"/>
        <v>1163220.8738760196</v>
      </c>
      <c r="K44" s="23">
        <f t="shared" si="16"/>
        <v>1186485.2913535398</v>
      </c>
      <c r="M44" s="1460"/>
      <c r="N44" s="1461"/>
    </row>
    <row r="45" spans="1:14" ht="13.15" customHeight="1">
      <c r="A45" s="24" t="s">
        <v>1520</v>
      </c>
      <c r="B45" s="25">
        <f t="shared" ref="B45:K45" si="17">$B$15*(1+$B$5)^(B43-1)</f>
        <v>19855.956308410601</v>
      </c>
      <c r="C45" s="25">
        <f t="shared" si="17"/>
        <v>20253.075434578808</v>
      </c>
      <c r="D45" s="25">
        <f t="shared" si="17"/>
        <v>20658.13694327039</v>
      </c>
      <c r="E45" s="25">
        <f t="shared" si="17"/>
        <v>21071.299682135796</v>
      </c>
      <c r="F45" s="25">
        <f t="shared" si="17"/>
        <v>21492.725675778514</v>
      </c>
      <c r="G45" s="25">
        <f t="shared" si="17"/>
        <v>21922.580189294076</v>
      </c>
      <c r="H45" s="25">
        <f t="shared" si="17"/>
        <v>22361.031793079965</v>
      </c>
      <c r="I45" s="25">
        <f t="shared" si="17"/>
        <v>22808.252428941563</v>
      </c>
      <c r="J45" s="25">
        <f t="shared" si="17"/>
        <v>23264.417477520394</v>
      </c>
      <c r="K45" s="26">
        <f t="shared" si="17"/>
        <v>23729.7058270708</v>
      </c>
      <c r="M45" s="1462"/>
      <c r="N45" s="1463"/>
    </row>
    <row r="46" spans="1:14" ht="13.15" customHeight="1">
      <c r="A46" s="24" t="s">
        <v>3386</v>
      </c>
      <c r="B46" s="25">
        <f t="shared" ref="B46:K46" si="18">-(B44+B45)*$B$8</f>
        <v>-70885.76402102584</v>
      </c>
      <c r="C46" s="25">
        <f t="shared" si="18"/>
        <v>-72303.47930144635</v>
      </c>
      <c r="D46" s="25">
        <f t="shared" si="18"/>
        <v>-73749.548887475292</v>
      </c>
      <c r="E46" s="25">
        <f t="shared" si="18"/>
        <v>-75224.539865224782</v>
      </c>
      <c r="F46" s="25">
        <f t="shared" si="18"/>
        <v>-76729.030662529287</v>
      </c>
      <c r="G46" s="25">
        <f t="shared" si="18"/>
        <v>-78263.611275779855</v>
      </c>
      <c r="H46" s="25">
        <f t="shared" si="18"/>
        <v>-79828.883501295481</v>
      </c>
      <c r="I46" s="25">
        <f t="shared" si="18"/>
        <v>-81425.461171321396</v>
      </c>
      <c r="J46" s="25">
        <f t="shared" si="18"/>
        <v>-83053.970394747812</v>
      </c>
      <c r="K46" s="26">
        <f t="shared" si="18"/>
        <v>-84715.049802642752</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872</v>
      </c>
      <c r="B49" s="25">
        <f t="shared" ref="B49:K49" si="19">$B$19*(1+$B$6)^(B43-1)</f>
        <v>-616020.3582146205</v>
      </c>
      <c r="C49" s="25">
        <f t="shared" si="19"/>
        <v>-634500.96896105912</v>
      </c>
      <c r="D49" s="25">
        <f t="shared" si="19"/>
        <v>-653535.99802989082</v>
      </c>
      <c r="E49" s="25">
        <f t="shared" si="19"/>
        <v>-673142.07797078753</v>
      </c>
      <c r="F49" s="25">
        <f t="shared" si="19"/>
        <v>-693336.34030991117</v>
      </c>
      <c r="G49" s="25">
        <f t="shared" si="19"/>
        <v>-714136.43051920854</v>
      </c>
      <c r="H49" s="25">
        <f t="shared" si="19"/>
        <v>-735560.52343478473</v>
      </c>
      <c r="I49" s="25">
        <f t="shared" si="19"/>
        <v>-757627.33913782821</v>
      </c>
      <c r="J49" s="25">
        <f t="shared" si="19"/>
        <v>-780356.15931196313</v>
      </c>
      <c r="K49" s="26">
        <f t="shared" si="19"/>
        <v>-803766.84409132204</v>
      </c>
      <c r="M49" s="1462"/>
      <c r="N49" s="1463"/>
    </row>
    <row r="50" spans="1:14" ht="13.15" customHeight="1">
      <c r="A50" s="24" t="s">
        <v>1629</v>
      </c>
      <c r="B50" s="25">
        <f>IF(AND('Part VII-Pro Forma'!$G$8="Yes",'Part VII-Pro Forma'!$G$9="Yes"),"Choose One!",IF('Part VII-Pro Forma'!$G$8="Yes",ROUND((-$K$8*(1+'Part VII-Pro Forma'!$B$6)^('Part VII-Pro Forma'!B43-1)),),IF('Part VII-Pro Forma'!$G$9="Yes",ROUND((-(SUM(B44:B47)*'Part VII-Pro Forma'!$K$9)),),"Choose mgt fee")))</f>
        <v>-47088</v>
      </c>
      <c r="C50" s="25">
        <f>IF(AND('Part VII-Pro Forma'!$G$8="Yes",'Part VII-Pro Forma'!$G$9="Yes"),"Choose One!",IF('Part VII-Pro Forma'!$G$8="Yes",ROUND((-$K$8*(1+'Part VII-Pro Forma'!$B$6)^('Part VII-Pro Forma'!C43-1)),),IF('Part VII-Pro Forma'!$G$9="Yes",ROUND((-(SUM(C44:C47)*'Part VII-Pro Forma'!$K$9)),),"Choose mgt fee")))</f>
        <v>-48030</v>
      </c>
      <c r="D50" s="25">
        <f>IF(AND('Part VII-Pro Forma'!$G$8="Yes",'Part VII-Pro Forma'!$G$9="Yes"),"Choose One!",IF('Part VII-Pro Forma'!$G$8="Yes",ROUND((-$K$8*(1+'Part VII-Pro Forma'!$B$6)^('Part VII-Pro Forma'!D43-1)),),IF('Part VII-Pro Forma'!$G$9="Yes",ROUND((-(SUM(D44:D47)*'Part VII-Pro Forma'!$K$9)),),"Choose mgt fee")))</f>
        <v>-48991</v>
      </c>
      <c r="E50" s="25">
        <f>IF(AND('Part VII-Pro Forma'!$G$8="Yes",'Part VII-Pro Forma'!$G$9="Yes"),"Choose One!",IF('Part VII-Pro Forma'!$G$8="Yes",ROUND((-$K$8*(1+'Part VII-Pro Forma'!$B$6)^('Part VII-Pro Forma'!E43-1)),),IF('Part VII-Pro Forma'!$G$9="Yes",ROUND((-(SUM(E44:E47)*'Part VII-Pro Forma'!$K$9)),),"Choose mgt fee")))</f>
        <v>-49971</v>
      </c>
      <c r="F50" s="25">
        <f>IF(AND('Part VII-Pro Forma'!$G$8="Yes",'Part VII-Pro Forma'!$G$9="Yes"),"Choose One!",IF('Part VII-Pro Forma'!$G$8="Yes",ROUND((-$K$8*(1+'Part VII-Pro Forma'!$B$6)^('Part VII-Pro Forma'!F43-1)),),IF('Part VII-Pro Forma'!$G$9="Yes",ROUND((-(SUM(F44:F47)*'Part VII-Pro Forma'!$K$9)),),"Choose mgt fee")))</f>
        <v>-50970</v>
      </c>
      <c r="G50" s="25">
        <f>IF(AND('Part VII-Pro Forma'!$G$8="Yes",'Part VII-Pro Forma'!$G$9="Yes"),"Choose One!",IF('Part VII-Pro Forma'!$G$8="Yes",ROUND((-$K$8*(1+'Part VII-Pro Forma'!$B$6)^('Part VII-Pro Forma'!G43-1)),),IF('Part VII-Pro Forma'!$G$9="Yes",ROUND((-(SUM(G44:G47)*'Part VII-Pro Forma'!$K$9)),),"Choose mgt fee")))</f>
        <v>-51989</v>
      </c>
      <c r="H50" s="25">
        <f>IF(AND('Part VII-Pro Forma'!$G$8="Yes",'Part VII-Pro Forma'!$G$9="Yes"),"Choose One!",IF('Part VII-Pro Forma'!$G$8="Yes",ROUND((-$K$8*(1+'Part VII-Pro Forma'!$B$6)^('Part VII-Pro Forma'!H43-1)),),IF('Part VII-Pro Forma'!$G$9="Yes",ROUND((-(SUM(H44:H47)*'Part VII-Pro Forma'!$K$9)),),"Choose mgt fee")))</f>
        <v>-53029</v>
      </c>
      <c r="I50" s="25">
        <f>IF(AND('Part VII-Pro Forma'!$G$8="Yes",'Part VII-Pro Forma'!$G$9="Yes"),"Choose One!",IF('Part VII-Pro Forma'!$G$8="Yes",ROUND((-$K$8*(1+'Part VII-Pro Forma'!$B$6)^('Part VII-Pro Forma'!I43-1)),),IF('Part VII-Pro Forma'!$G$9="Yes",ROUND((-(SUM(I44:I47)*'Part VII-Pro Forma'!$K$9)),),"Choose mgt fee")))</f>
        <v>-54090</v>
      </c>
      <c r="J50" s="25">
        <f>IF(AND('Part VII-Pro Forma'!$G$8="Yes",'Part VII-Pro Forma'!$G$9="Yes"),"Choose One!",IF('Part VII-Pro Forma'!$G$8="Yes",ROUND((-$K$8*(1+'Part VII-Pro Forma'!$B$6)^('Part VII-Pro Forma'!J43-1)),),IF('Part VII-Pro Forma'!$G$9="Yes",ROUND((-(SUM(J44:J47)*'Part VII-Pro Forma'!$K$9)),),"Choose mgt fee")))</f>
        <v>-55172</v>
      </c>
      <c r="K50" s="25">
        <f>IF(AND('Part VII-Pro Forma'!$G$8="Yes",'Part VII-Pro Forma'!$G$9="Yes"),"Choose One!",IF('Part VII-Pro Forma'!$G$8="Yes",ROUND((-$K$8*(1+'Part VII-Pro Forma'!$B$6)^('Part VII-Pro Forma'!K43-1)),),IF('Part VII-Pro Forma'!$G$9="Yes",ROUND((-(SUM(K44:K47)*'Part VII-Pro Forma'!$K$9)),),"Choose mgt fee")))</f>
        <v>-56275</v>
      </c>
      <c r="M50" s="1462"/>
      <c r="N50" s="1463"/>
    </row>
    <row r="51" spans="1:14" ht="13.15" customHeight="1">
      <c r="A51" s="24" t="s">
        <v>1740</v>
      </c>
      <c r="B51" s="25">
        <f t="shared" ref="B51:K51" si="20">$B$21*(1+$B$7)^(B43-1)</f>
        <v>-28222.243966226557</v>
      </c>
      <c r="C51" s="25">
        <f t="shared" si="20"/>
        <v>-29068.911285213355</v>
      </c>
      <c r="D51" s="25">
        <f t="shared" si="20"/>
        <v>-29940.978623769752</v>
      </c>
      <c r="E51" s="25">
        <f t="shared" si="20"/>
        <v>-30839.207982482843</v>
      </c>
      <c r="F51" s="25">
        <f t="shared" si="20"/>
        <v>-31764.384221957331</v>
      </c>
      <c r="G51" s="25">
        <f t="shared" si="20"/>
        <v>-32717.315748616053</v>
      </c>
      <c r="H51" s="25">
        <f t="shared" si="20"/>
        <v>-33698.835221074529</v>
      </c>
      <c r="I51" s="25">
        <f t="shared" si="20"/>
        <v>-34709.800277706767</v>
      </c>
      <c r="J51" s="25">
        <f t="shared" si="20"/>
        <v>-35751.094286037966</v>
      </c>
      <c r="K51" s="26">
        <f t="shared" si="20"/>
        <v>-36823.627114619107</v>
      </c>
      <c r="M51" s="1462"/>
      <c r="N51" s="1463"/>
    </row>
    <row r="52" spans="1:14" ht="13.15" customHeight="1">
      <c r="A52" s="24" t="s">
        <v>1741</v>
      </c>
      <c r="B52" s="25">
        <f t="shared" ref="B52:K52" si="21">SUM(B44:B51)</f>
        <v>250437.40552706763</v>
      </c>
      <c r="C52" s="25">
        <f t="shared" si="21"/>
        <v>249003.4876158004</v>
      </c>
      <c r="D52" s="25">
        <f t="shared" si="21"/>
        <v>247347.45856565397</v>
      </c>
      <c r="E52" s="25">
        <f t="shared" si="21"/>
        <v>245459.45797043014</v>
      </c>
      <c r="F52" s="25">
        <f t="shared" si="21"/>
        <v>243329.25427030618</v>
      </c>
      <c r="G52" s="25">
        <f t="shared" si="21"/>
        <v>240945.23211039341</v>
      </c>
      <c r="H52" s="25">
        <f t="shared" si="21"/>
        <v>238295.37928992347</v>
      </c>
      <c r="I52" s="25">
        <f t="shared" si="21"/>
        <v>235368.27328916354</v>
      </c>
      <c r="J52" s="25">
        <f t="shared" si="21"/>
        <v>232152.06736079114</v>
      </c>
      <c r="K52" s="26">
        <f t="shared" si="21"/>
        <v>228634.47617202674</v>
      </c>
      <c r="M52" s="1462"/>
      <c r="N52" s="1463"/>
    </row>
    <row r="53" spans="1:14" ht="13.15" customHeight="1">
      <c r="A53" s="24" t="str">
        <f>$A23</f>
        <v>Mortgage A</v>
      </c>
      <c r="B53" s="1567">
        <f>IF('Part III A-Sources of Funds'!$M$32="", 0,-'Part III A-Sources of Funds'!$M$32)</f>
        <v>-192103.76653303418</v>
      </c>
      <c r="C53" s="1567">
        <f>IF('Part III A-Sources of Funds'!$M$32="", 0,-'Part III A-Sources of Funds'!$M$32)</f>
        <v>-192103.76653303418</v>
      </c>
      <c r="D53" s="1567">
        <f>IF('Part III A-Sources of Funds'!$M$32="", 0,-'Part III A-Sources of Funds'!$M$32)</f>
        <v>-192103.76653303418</v>
      </c>
      <c r="E53" s="1567">
        <f>IF('Part III A-Sources of Funds'!$M$32="", 0,-'Part III A-Sources of Funds'!$M$32)</f>
        <v>-192103.76653303418</v>
      </c>
      <c r="F53" s="1567">
        <f>IF('Part III A-Sources of Funds'!$M$32="", 0,-'Part III A-Sources of Funds'!$M$32)</f>
        <v>-192103.76653303418</v>
      </c>
      <c r="G53" s="1567">
        <f>IF('Part III A-Sources of Funds'!$M$32="", 0,-'Part III A-Sources of Funds'!$M$32)</f>
        <v>-192103.76653303418</v>
      </c>
      <c r="H53" s="1567">
        <f>IF('Part III A-Sources of Funds'!$M$32="", 0,-'Part III A-Sources of Funds'!$M$32)</f>
        <v>-192103.76653303418</v>
      </c>
      <c r="I53" s="1567">
        <f>IF('Part III A-Sources of Funds'!$M$32="", 0,-'Part III A-Sources of Funds'!$M$32)</f>
        <v>-192103.76653303418</v>
      </c>
      <c r="J53" s="1567">
        <f>IF('Part III A-Sources of Funds'!$M$32="", 0,-'Part III A-Sources of Funds'!$M$32)</f>
        <v>-192103.76653303418</v>
      </c>
      <c r="K53" s="1567">
        <f>IF('Part III A-Sources of Funds'!$M$32="", 0,-'Part III A-Sources of Funds'!$M$32)</f>
        <v>-192103.76653303418</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1242</v>
      </c>
      <c r="B57" s="1569"/>
      <c r="C57" s="1569"/>
      <c r="D57" s="1569"/>
      <c r="E57" s="1569"/>
      <c r="F57" s="1569"/>
      <c r="G57" s="1569"/>
      <c r="H57" s="1569"/>
      <c r="I57" s="1569"/>
      <c r="J57" s="1569"/>
      <c r="K57" s="1569"/>
      <c r="M57" s="1462"/>
      <c r="N57" s="1463"/>
    </row>
    <row r="58" spans="1:14" ht="13.15" customHeight="1">
      <c r="A58" s="24" t="s">
        <v>1687</v>
      </c>
      <c r="B58" s="1568">
        <f>+K28</f>
        <v>-5000</v>
      </c>
      <c r="C58" s="1568">
        <f t="shared" ref="C58:K58" si="22">+B58</f>
        <v>-5000</v>
      </c>
      <c r="D58" s="1568">
        <f t="shared" si="22"/>
        <v>-5000</v>
      </c>
      <c r="E58" s="1568">
        <f t="shared" si="22"/>
        <v>-5000</v>
      </c>
      <c r="F58" s="1568">
        <f t="shared" si="22"/>
        <v>-5000</v>
      </c>
      <c r="G58" s="1568">
        <f t="shared" si="22"/>
        <v>-5000</v>
      </c>
      <c r="H58" s="1568">
        <f t="shared" si="22"/>
        <v>-5000</v>
      </c>
      <c r="I58" s="1568">
        <f t="shared" si="22"/>
        <v>-5000</v>
      </c>
      <c r="J58" s="1568">
        <f t="shared" si="22"/>
        <v>-5000</v>
      </c>
      <c r="K58" s="1568">
        <f t="shared" si="22"/>
        <v>-5000</v>
      </c>
      <c r="M58" s="1462"/>
      <c r="N58" s="1463"/>
    </row>
    <row r="59" spans="1:14" ht="13.15" customHeight="1">
      <c r="A59" s="24" t="s">
        <v>1742</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1688</v>
      </c>
      <c r="B60" s="25">
        <f t="shared" ref="B60:K60" si="23">SUM(B52:B59)</f>
        <v>53333.638994033448</v>
      </c>
      <c r="C60" s="25">
        <f t="shared" si="23"/>
        <v>51899.72108276622</v>
      </c>
      <c r="D60" s="25">
        <f t="shared" si="23"/>
        <v>50243.692032619787</v>
      </c>
      <c r="E60" s="25">
        <f t="shared" si="23"/>
        <v>48355.691437395959</v>
      </c>
      <c r="F60" s="25">
        <f t="shared" si="23"/>
        <v>46225.487737271993</v>
      </c>
      <c r="G60" s="25">
        <f t="shared" si="23"/>
        <v>43841.465577359224</v>
      </c>
      <c r="H60" s="25">
        <f t="shared" si="23"/>
        <v>41191.612756889284</v>
      </c>
      <c r="I60" s="25">
        <f t="shared" si="23"/>
        <v>38264.506756129354</v>
      </c>
      <c r="J60" s="25">
        <f t="shared" si="23"/>
        <v>35048.300827756961</v>
      </c>
      <c r="K60" s="23">
        <f t="shared" si="23"/>
        <v>31530.709638992557</v>
      </c>
      <c r="M60" s="1462"/>
      <c r="N60" s="1463"/>
    </row>
    <row r="61" spans="1:14" ht="13.15" customHeight="1">
      <c r="A61" s="24" t="str">
        <f>$A31</f>
        <v>DCR Mortgage A</v>
      </c>
      <c r="B61" s="27">
        <f>IF(B53=0,"",-B52/B53)</f>
        <v>1.3036569248318324</v>
      </c>
      <c r="C61" s="27">
        <f t="shared" ref="C61:K61" si="24">IF(C53=0,"",-C52/C53)</f>
        <v>1.2961926364571397</v>
      </c>
      <c r="D61" s="27">
        <f t="shared" si="24"/>
        <v>1.2875721441053583</v>
      </c>
      <c r="E61" s="27">
        <f t="shared" si="24"/>
        <v>1.2777441192347518</v>
      </c>
      <c r="F61" s="27">
        <f t="shared" si="24"/>
        <v>1.266655301255966</v>
      </c>
      <c r="G61" s="27">
        <f t="shared" si="24"/>
        <v>1.2542452262067461</v>
      </c>
      <c r="H61" s="27">
        <f t="shared" si="24"/>
        <v>1.2404513643356709</v>
      </c>
      <c r="I61" s="27">
        <f t="shared" si="24"/>
        <v>1.2252142554877474</v>
      </c>
      <c r="J61" s="27">
        <f t="shared" si="24"/>
        <v>1.2084722311827771</v>
      </c>
      <c r="K61" s="28">
        <f t="shared" si="24"/>
        <v>1.1901613398751905</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1251</v>
      </c>
      <c r="B65" s="378">
        <f>IF(OR(B50="Choose mgt fee",B50="Choose One!"),"",(B44+B45+B46+B47+B48) / -(B49+B50+B51))</f>
        <v>1.3622541874134411</v>
      </c>
      <c r="C65" s="378">
        <f t="shared" ref="C65:K65" si="28">IF(OR(C50="Choose mgt fee",C50="Choose One!"),"",(C44+C45+C46+C47+C48) / -(C49+C50+C51))</f>
        <v>1.3499206429456181</v>
      </c>
      <c r="D65" s="378">
        <f t="shared" si="28"/>
        <v>1.3376904744637177</v>
      </c>
      <c r="E65" s="378">
        <f t="shared" si="28"/>
        <v>1.3255636497740437</v>
      </c>
      <c r="F65" s="378">
        <f t="shared" si="28"/>
        <v>1.3135400506404673</v>
      </c>
      <c r="G65" s="378">
        <f t="shared" si="28"/>
        <v>1.3016178506171385</v>
      </c>
      <c r="H65" s="378">
        <f t="shared" si="28"/>
        <v>1.2897953945005973</v>
      </c>
      <c r="I65" s="378">
        <f t="shared" si="28"/>
        <v>1.278072692059103</v>
      </c>
      <c r="J65" s="378">
        <f t="shared" si="28"/>
        <v>1.2664496674310848</v>
      </c>
      <c r="K65" s="379">
        <f t="shared" si="28"/>
        <v>1.2549261662003788</v>
      </c>
      <c r="M65" s="1462"/>
      <c r="N65" s="1463"/>
    </row>
    <row r="66" spans="1:14" ht="13.15" customHeight="1">
      <c r="A66" s="678" t="s">
        <v>3667</v>
      </c>
      <c r="B66" s="1571">
        <f>IF('Part III A-Sources of Funds'!$H$32="","",-FV('Part III A-Sources of Funds'!$J$32/12,12,B53/12,K36))</f>
        <v>2133353.515306598</v>
      </c>
      <c r="C66" s="1571">
        <f>IF('Part III A-Sources of Funds'!$H$32="","",-FV('Part III A-Sources of Funds'!$J$32/12,12,C53/12,B66))</f>
        <v>2072871.2789100453</v>
      </c>
      <c r="D66" s="1571">
        <f>IF('Part III A-Sources of Funds'!$H$32="","",-FV('Part III A-Sources of Funds'!$J$32/12,12,D53/12,C66))</f>
        <v>2008498.7153170158</v>
      </c>
      <c r="E66" s="1571">
        <f>IF('Part III A-Sources of Funds'!$H$32="","",-FV('Part III A-Sources of Funds'!$J$32/12,12,E53/12,D66))</f>
        <v>1939985.5916228204</v>
      </c>
      <c r="F66" s="1571">
        <f>IF('Part III A-Sources of Funds'!$H$32="","",-FV('Part III A-Sources of Funds'!$J$32/12,12,F53/12,E66))</f>
        <v>1867065.5794882649</v>
      </c>
      <c r="G66" s="1571">
        <f>IF('Part III A-Sources of Funds'!$H$32="","",-FV('Part III A-Sources of Funds'!$J$32/12,12,G53/12,F66))</f>
        <v>1789455.2198520978</v>
      </c>
      <c r="H66" s="1571">
        <f>IF('Part III A-Sources of Funds'!$H$32="","",-FV('Part III A-Sources of Funds'!$J$32/12,12,H53/12,G66))</f>
        <v>1706852.821051881</v>
      </c>
      <c r="I66" s="1571">
        <f>IF('Part III A-Sources of Funds'!$H$32="","",-FV('Part III A-Sources of Funds'!$J$32/12,12,I53/12,H66))</f>
        <v>1618937.2860699969</v>
      </c>
      <c r="J66" s="1571">
        <f>IF('Part III A-Sources of Funds'!$H$32="","",-FV('Part III A-Sources of Funds'!$J$32/12,12,J53/12,I66))</f>
        <v>1525366.8643459901</v>
      </c>
      <c r="K66" s="1571">
        <f>IF('Part III A-Sources of Funds'!$H$32="","",-FV('Part III A-Sources of Funds'!$J$32/12,12,K53/12,J66))</f>
        <v>1425777.8233032138</v>
      </c>
      <c r="M66" s="1462"/>
      <c r="N66" s="1463"/>
    </row>
    <row r="67" spans="1:14" ht="13.15" customHeight="1">
      <c r="A67" s="678" t="s">
        <v>3668</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3669</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1269</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3652</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1777</v>
      </c>
      <c r="B71" s="1570">
        <f>IF('Part III A-Sources of Funds'!$H$37="","",-FV('Part III A-Sources of Funds'!$J$37/12,12,B59/12,K41))</f>
        <v>0.38710827465558667</v>
      </c>
      <c r="C71" s="1570">
        <f>IF('Part III A-Sources of Funds'!$H$37="","",-FV('Part III A-Sources of Funds'!$J$37/12,12,C59/12,B71))</f>
        <v>0.39745250230273144</v>
      </c>
      <c r="D71" s="1570">
        <f>IF('Part III A-Sources of Funds'!$H$37="","",-FV('Part III A-Sources of Funds'!$J$37/12,12,D59/12,C71))</f>
        <v>0.40807314627218588</v>
      </c>
      <c r="E71" s="1570">
        <f>IF('Part III A-Sources of Funds'!$H$37="","",-FV('Part III A-Sources of Funds'!$J$37/12,12,E59/12,D71))</f>
        <v>0.41897759290402742</v>
      </c>
      <c r="F71" s="1570">
        <f>IF('Part III A-Sources of Funds'!$H$37="","",-FV('Part III A-Sources of Funds'!$J$37/12,12,F59/12,E71))</f>
        <v>0.43017342591459273</v>
      </c>
      <c r="G71" s="1570">
        <f>IF('Part III A-Sources of Funds'!$H$37="","",-FV('Part III A-Sources of Funds'!$J$37/12,12,G59/12,F71))</f>
        <v>0.44166843167072578</v>
      </c>
      <c r="H71" s="1570">
        <f>IF('Part III A-Sources of Funds'!$H$37="","",-FV('Part III A-Sources of Funds'!$J$37/12,12,H59/12,G71))</f>
        <v>0.45347060460496286</v>
      </c>
      <c r="I71" s="1570">
        <f>IF('Part III A-Sources of Funds'!$H$37="","",-FV('Part III A-Sources of Funds'!$J$37/12,12,I59/12,H71))</f>
        <v>0.46558815277542126</v>
      </c>
      <c r="J71" s="1570">
        <f>IF('Part III A-Sources of Funds'!$H$37="","",-FV('Part III A-Sources of Funds'!$J$37/12,12,J59/12,I71))</f>
        <v>0.47802950357425794</v>
      </c>
      <c r="K71" s="1570">
        <f>IF('Part III A-Sources of Funds'!$H$37="","",-FV('Part III A-Sources of Funds'!$J$37/12,12,K59/12,J71))</f>
        <v>0.49080330958866875</v>
      </c>
      <c r="M71" s="1465"/>
      <c r="N71" s="1466"/>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3674</v>
      </c>
      <c r="N73" s="954"/>
    </row>
    <row r="74" spans="1:14" ht="13.15" customHeight="1">
      <c r="A74" s="21" t="s">
        <v>3385</v>
      </c>
      <c r="B74" s="22">
        <f t="shared" ref="B74:K74" si="31">$B$14*(1+$B$5)^(B73-1)</f>
        <v>1210214.9971806109</v>
      </c>
      <c r="C74" s="22">
        <f t="shared" si="31"/>
        <v>1234419.2971242229</v>
      </c>
      <c r="D74" s="22">
        <f t="shared" si="31"/>
        <v>1259107.6830667076</v>
      </c>
      <c r="E74" s="22">
        <f t="shared" si="31"/>
        <v>1284289.8367280413</v>
      </c>
      <c r="F74" s="22">
        <f t="shared" si="31"/>
        <v>1309975.6334626023</v>
      </c>
      <c r="G74" s="22">
        <f t="shared" si="31"/>
        <v>1336175.1461318543</v>
      </c>
      <c r="H74" s="22">
        <f t="shared" si="31"/>
        <v>1362898.6490544917</v>
      </c>
      <c r="I74" s="22">
        <f t="shared" si="31"/>
        <v>1390156.6220355812</v>
      </c>
      <c r="J74" s="22">
        <f t="shared" si="31"/>
        <v>1417959.754476293</v>
      </c>
      <c r="K74" s="23">
        <f t="shared" si="31"/>
        <v>1446318.9495658188</v>
      </c>
      <c r="M74" s="1460"/>
      <c r="N74" s="1461"/>
    </row>
    <row r="75" spans="1:14" ht="13.15" customHeight="1">
      <c r="A75" s="24" t="s">
        <v>1520</v>
      </c>
      <c r="B75" s="25">
        <f t="shared" ref="B75:K75" si="32">$B$15*(1+$B$5)^(B73-1)</f>
        <v>24204.299943612219</v>
      </c>
      <c r="C75" s="25">
        <f t="shared" si="32"/>
        <v>24688.38594248446</v>
      </c>
      <c r="D75" s="25">
        <f t="shared" si="32"/>
        <v>25182.153661334152</v>
      </c>
      <c r="E75" s="25">
        <f t="shared" si="32"/>
        <v>25685.79673456083</v>
      </c>
      <c r="F75" s="25">
        <f t="shared" si="32"/>
        <v>26199.512669252046</v>
      </c>
      <c r="G75" s="25">
        <f t="shared" si="32"/>
        <v>26723.50292263709</v>
      </c>
      <c r="H75" s="25">
        <f t="shared" si="32"/>
        <v>27257.972981089832</v>
      </c>
      <c r="I75" s="25">
        <f t="shared" si="32"/>
        <v>27803.132440711626</v>
      </c>
      <c r="J75" s="25">
        <f t="shared" si="32"/>
        <v>28359.195089525863</v>
      </c>
      <c r="K75" s="26">
        <f t="shared" si="32"/>
        <v>28926.378991316375</v>
      </c>
      <c r="M75" s="1462"/>
      <c r="N75" s="1463"/>
    </row>
    <row r="76" spans="1:14" ht="13.15" customHeight="1">
      <c r="A76" s="24" t="s">
        <v>3386</v>
      </c>
      <c r="B76" s="25">
        <f t="shared" ref="B76:K76" si="33">-(B74+B75)*$B$8</f>
        <v>-86409.350798695625</v>
      </c>
      <c r="C76" s="25">
        <f t="shared" si="33"/>
        <v>-88137.537814669515</v>
      </c>
      <c r="D76" s="25">
        <f t="shared" si="33"/>
        <v>-89900.288570962934</v>
      </c>
      <c r="E76" s="25">
        <f t="shared" si="33"/>
        <v>-91698.294342382156</v>
      </c>
      <c r="F76" s="25">
        <f t="shared" si="33"/>
        <v>-93532.260229229811</v>
      </c>
      <c r="G76" s="25">
        <f t="shared" si="33"/>
        <v>-95402.905433814405</v>
      </c>
      <c r="H76" s="25">
        <f t="shared" si="33"/>
        <v>-97310.963542490703</v>
      </c>
      <c r="I76" s="25">
        <f t="shared" si="33"/>
        <v>-99257.182813340507</v>
      </c>
      <c r="J76" s="25">
        <f t="shared" si="33"/>
        <v>-101242.32646960732</v>
      </c>
      <c r="K76" s="26">
        <f t="shared" si="33"/>
        <v>-103267.17299899946</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872</v>
      </c>
      <c r="B79" s="25">
        <f t="shared" ref="B79:K79" si="34">$B$19*(1+$B$6)^(B73-1)</f>
        <v>-827879.84941406164</v>
      </c>
      <c r="C79" s="25">
        <f t="shared" si="34"/>
        <v>-852716.24489648337</v>
      </c>
      <c r="D79" s="25">
        <f t="shared" si="34"/>
        <v>-878297.73224337795</v>
      </c>
      <c r="E79" s="25">
        <f t="shared" si="34"/>
        <v>-904646.66421067936</v>
      </c>
      <c r="F79" s="25">
        <f t="shared" si="34"/>
        <v>-931786.06413699966</v>
      </c>
      <c r="G79" s="25">
        <f t="shared" si="34"/>
        <v>-959739.64606110961</v>
      </c>
      <c r="H79" s="25">
        <f t="shared" si="34"/>
        <v>-988531.83544294303</v>
      </c>
      <c r="I79" s="25">
        <f t="shared" si="34"/>
        <v>-1018187.7905062311</v>
      </c>
      <c r="J79" s="25">
        <f t="shared" si="34"/>
        <v>-1048733.4242214181</v>
      </c>
      <c r="K79" s="26">
        <f t="shared" si="34"/>
        <v>-1080195.4269480605</v>
      </c>
      <c r="M79" s="1462"/>
      <c r="N79" s="1463"/>
    </row>
    <row r="80" spans="1:14" ht="13.15" customHeight="1">
      <c r="A80" s="24" t="s">
        <v>1629</v>
      </c>
      <c r="B80" s="25">
        <f>IF(AND('Part VII-Pro Forma'!$G$8="Yes",'Part VII-Pro Forma'!$G$9="Yes"),"Choose One!",IF('Part VII-Pro Forma'!$G$8="Yes",ROUND((-$K$8*(1+'Part VII-Pro Forma'!$B$6)^('Part VII-Pro Forma'!B73-1)),),IF('Part VII-Pro Forma'!$G$9="Yes",ROUND((-(SUM(B74:B77)*'Part VII-Pro Forma'!$K$9)),),"Choose mgt fee")))</f>
        <v>-57400</v>
      </c>
      <c r="C80" s="25">
        <f>IF(AND('Part VII-Pro Forma'!$G$8="Yes",'Part VII-Pro Forma'!$G$9="Yes"),"Choose One!",IF('Part VII-Pro Forma'!$G$8="Yes",ROUND((-$K$8*(1+'Part VII-Pro Forma'!$B$6)^('Part VII-Pro Forma'!C73-1)),),IF('Part VII-Pro Forma'!$G$9="Yes",ROUND((-(SUM(C74:C77)*'Part VII-Pro Forma'!$K$9)),),"Choose mgt fee")))</f>
        <v>-58549</v>
      </c>
      <c r="D80" s="25">
        <f>IF(AND('Part VII-Pro Forma'!$G$8="Yes",'Part VII-Pro Forma'!$G$9="Yes"),"Choose One!",IF('Part VII-Pro Forma'!$G$8="Yes",ROUND((-$K$8*(1+'Part VII-Pro Forma'!$B$6)^('Part VII-Pro Forma'!D73-1)),),IF('Part VII-Pro Forma'!$G$9="Yes",ROUND((-(SUM(D74:D77)*'Part VII-Pro Forma'!$K$9)),),"Choose mgt fee")))</f>
        <v>-59719</v>
      </c>
      <c r="E80" s="25">
        <f>IF(AND('Part VII-Pro Forma'!$G$8="Yes",'Part VII-Pro Forma'!$G$9="Yes"),"Choose One!",IF('Part VII-Pro Forma'!$G$8="Yes",ROUND((-$K$8*(1+'Part VII-Pro Forma'!$B$6)^('Part VII-Pro Forma'!E73-1)),),IF('Part VII-Pro Forma'!$G$9="Yes",ROUND((-(SUM(E74:E77)*'Part VII-Pro Forma'!$K$9)),),"Choose mgt fee")))</f>
        <v>-60914</v>
      </c>
      <c r="F80" s="25">
        <f>IF(AND('Part VII-Pro Forma'!$G$8="Yes",'Part VII-Pro Forma'!$G$9="Yes"),"Choose One!",IF('Part VII-Pro Forma'!$G$8="Yes",ROUND((-$K$8*(1+'Part VII-Pro Forma'!$B$6)^('Part VII-Pro Forma'!F73-1)),),IF('Part VII-Pro Forma'!$G$9="Yes",ROUND((-(SUM(F74:F77)*'Part VII-Pro Forma'!$K$9)),),"Choose mgt fee")))</f>
        <v>-62132</v>
      </c>
      <c r="G80" s="25">
        <f>IF(AND('Part VII-Pro Forma'!$G$8="Yes",'Part VII-Pro Forma'!$G$9="Yes"),"Choose One!",IF('Part VII-Pro Forma'!$G$8="Yes",ROUND((-$K$8*(1+'Part VII-Pro Forma'!$B$6)^('Part VII-Pro Forma'!G73-1)),),IF('Part VII-Pro Forma'!$G$9="Yes",ROUND((-(SUM(G74:G77)*'Part VII-Pro Forma'!$K$9)),),"Choose mgt fee")))</f>
        <v>-63375</v>
      </c>
      <c r="H80" s="25">
        <f>IF(AND('Part VII-Pro Forma'!$G$8="Yes",'Part VII-Pro Forma'!$G$9="Yes"),"Choose One!",IF('Part VII-Pro Forma'!$G$8="Yes",ROUND((-$K$8*(1+'Part VII-Pro Forma'!$B$6)^('Part VII-Pro Forma'!H73-1)),),IF('Part VII-Pro Forma'!$G$9="Yes",ROUND((-(SUM(H74:H77)*'Part VII-Pro Forma'!$K$9)),),"Choose mgt fee")))</f>
        <v>-64642</v>
      </c>
      <c r="I80" s="25">
        <f>IF(AND('Part VII-Pro Forma'!$G$8="Yes",'Part VII-Pro Forma'!$G$9="Yes"),"Choose One!",IF('Part VII-Pro Forma'!$G$8="Yes",ROUND((-$K$8*(1+'Part VII-Pro Forma'!$B$6)^('Part VII-Pro Forma'!I73-1)),),IF('Part VII-Pro Forma'!$G$9="Yes",ROUND((-(SUM(I74:I77)*'Part VII-Pro Forma'!$K$9)),),"Choose mgt fee")))</f>
        <v>-65935</v>
      </c>
      <c r="J80" s="25">
        <f>IF(AND('Part VII-Pro Forma'!$G$8="Yes",'Part VII-Pro Forma'!$G$9="Yes"),"Choose One!",IF('Part VII-Pro Forma'!$G$8="Yes",ROUND((-$K$8*(1+'Part VII-Pro Forma'!$B$6)^('Part VII-Pro Forma'!J73-1)),),IF('Part VII-Pro Forma'!$G$9="Yes",ROUND((-(SUM(J74:J77)*'Part VII-Pro Forma'!$K$9)),),"Choose mgt fee")))</f>
        <v>-67254</v>
      </c>
      <c r="K80" s="25">
        <f>IF(AND('Part VII-Pro Forma'!$G$8="Yes",'Part VII-Pro Forma'!$G$9="Yes"),"Choose One!",IF('Part VII-Pro Forma'!$G$8="Yes",ROUND((-$K$8*(1+'Part VII-Pro Forma'!$B$6)^('Part VII-Pro Forma'!K73-1)),),IF('Part VII-Pro Forma'!$G$9="Yes",ROUND((-(SUM(K74:K77)*'Part VII-Pro Forma'!$K$9)),),"Choose mgt fee")))</f>
        <v>-68599</v>
      </c>
      <c r="M80" s="1462"/>
      <c r="N80" s="1463"/>
    </row>
    <row r="81" spans="1:14" ht="13.15" customHeight="1">
      <c r="A81" s="24" t="s">
        <v>1740</v>
      </c>
      <c r="B81" s="25">
        <f t="shared" ref="B81:K81" si="35">$B$21*(1+$B$7)^(B73-1)</f>
        <v>-37928.335928057677</v>
      </c>
      <c r="C81" s="25">
        <f t="shared" si="35"/>
        <v>-39066.186005899406</v>
      </c>
      <c r="D81" s="25">
        <f t="shared" si="35"/>
        <v>-40238.171586076387</v>
      </c>
      <c r="E81" s="25">
        <f t="shared" si="35"/>
        <v>-41445.316733658685</v>
      </c>
      <c r="F81" s="25">
        <f t="shared" si="35"/>
        <v>-42688.676235668441</v>
      </c>
      <c r="G81" s="25">
        <f t="shared" si="35"/>
        <v>-43969.336522738493</v>
      </c>
      <c r="H81" s="25">
        <f t="shared" si="35"/>
        <v>-45288.416618420655</v>
      </c>
      <c r="I81" s="25">
        <f t="shared" si="35"/>
        <v>-46647.069116973267</v>
      </c>
      <c r="J81" s="25">
        <f t="shared" si="35"/>
        <v>-48046.481190482467</v>
      </c>
      <c r="K81" s="26">
        <f t="shared" si="35"/>
        <v>-49487.875626196932</v>
      </c>
      <c r="M81" s="1462"/>
      <c r="N81" s="1463"/>
    </row>
    <row r="82" spans="1:14" ht="13.15" customHeight="1">
      <c r="A82" s="24" t="s">
        <v>1741</v>
      </c>
      <c r="B82" s="25">
        <f t="shared" ref="B82:K82" si="36">SUM(B74:B81)</f>
        <v>224801.7609834082</v>
      </c>
      <c r="C82" s="25">
        <f t="shared" si="36"/>
        <v>220638.71434965503</v>
      </c>
      <c r="D82" s="25">
        <f t="shared" si="36"/>
        <v>216134.64432762458</v>
      </c>
      <c r="E82" s="25">
        <f t="shared" si="36"/>
        <v>211271.35817588188</v>
      </c>
      <c r="F82" s="25">
        <f t="shared" si="36"/>
        <v>206036.14552995647</v>
      </c>
      <c r="G82" s="25">
        <f t="shared" si="36"/>
        <v>200411.7610368288</v>
      </c>
      <c r="H82" s="25">
        <f t="shared" si="36"/>
        <v>194383.40643172697</v>
      </c>
      <c r="I82" s="25">
        <f t="shared" si="36"/>
        <v>187932.7120397478</v>
      </c>
      <c r="J82" s="25">
        <f t="shared" si="36"/>
        <v>181042.71768431077</v>
      </c>
      <c r="K82" s="26">
        <f t="shared" si="36"/>
        <v>173695.85298387814</v>
      </c>
      <c r="M82" s="1462"/>
      <c r="N82" s="1463"/>
    </row>
    <row r="83" spans="1:14" ht="13.15" customHeight="1">
      <c r="A83" s="24" t="str">
        <f>$A53</f>
        <v>Mortgage A</v>
      </c>
      <c r="B83" s="1567">
        <f>IF('Part III A-Sources of Funds'!$M$32="", 0,-'Part III A-Sources of Funds'!$M$32)</f>
        <v>-192103.76653303418</v>
      </c>
      <c r="C83" s="1567">
        <f>IF('Part III A-Sources of Funds'!$M$32="", 0,-'Part III A-Sources of Funds'!$M$32)</f>
        <v>-192103.76653303418</v>
      </c>
      <c r="D83" s="1567">
        <f>IF('Part III A-Sources of Funds'!$M$32="", 0,-'Part III A-Sources of Funds'!$M$32)</f>
        <v>-192103.76653303418</v>
      </c>
      <c r="E83" s="1567">
        <f>IF('Part III A-Sources of Funds'!$M$32="", 0,-'Part III A-Sources of Funds'!$M$32)</f>
        <v>-192103.76653303418</v>
      </c>
      <c r="F83" s="1567">
        <f>IF('Part III A-Sources of Funds'!$M$32="", 0,-'Part III A-Sources of Funds'!$M$32)</f>
        <v>-192103.76653303418</v>
      </c>
      <c r="G83" s="1567">
        <f>IF('Part III A-Sources of Funds'!$M$32="", 0,-'Part III A-Sources of Funds'!$M$32)</f>
        <v>-192103.76653303418</v>
      </c>
      <c r="H83" s="1567">
        <f>IF('Part III A-Sources of Funds'!$M$32="", 0,-'Part III A-Sources of Funds'!$M$32)</f>
        <v>-192103.76653303418</v>
      </c>
      <c r="I83" s="1567">
        <f>IF('Part III A-Sources of Funds'!$M$32="", 0,-'Part III A-Sources of Funds'!$M$32)</f>
        <v>-192103.76653303418</v>
      </c>
      <c r="J83" s="1567">
        <f>IF('Part III A-Sources of Funds'!$M$32="", 0,-'Part III A-Sources of Funds'!$M$32)</f>
        <v>-192103.76653303418</v>
      </c>
      <c r="K83" s="1567">
        <f>IF('Part III A-Sources of Funds'!$M$32="", 0,-'Part III A-Sources of Funds'!$M$32)</f>
        <v>-192103.76653303418</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1242</v>
      </c>
      <c r="B87" s="1569"/>
      <c r="C87" s="1569"/>
      <c r="D87" s="1569"/>
      <c r="E87" s="1569"/>
      <c r="F87" s="1569"/>
      <c r="G87" s="1569"/>
      <c r="H87" s="1569"/>
      <c r="I87" s="1569"/>
      <c r="J87" s="1569"/>
      <c r="K87" s="1569"/>
      <c r="M87" s="1462"/>
      <c r="N87" s="1463"/>
    </row>
    <row r="88" spans="1:14" ht="13.15" customHeight="1">
      <c r="A88" s="24" t="s">
        <v>1687</v>
      </c>
      <c r="B88" s="1568">
        <f>+K58</f>
        <v>-5000</v>
      </c>
      <c r="C88" s="1568">
        <f t="shared" ref="C88:K88" si="37">+B88</f>
        <v>-5000</v>
      </c>
      <c r="D88" s="1568">
        <f t="shared" si="37"/>
        <v>-5000</v>
      </c>
      <c r="E88" s="1568">
        <f t="shared" si="37"/>
        <v>-5000</v>
      </c>
      <c r="F88" s="1568">
        <f t="shared" si="37"/>
        <v>-5000</v>
      </c>
      <c r="G88" s="1568">
        <f t="shared" si="37"/>
        <v>-5000</v>
      </c>
      <c r="H88" s="1568">
        <f t="shared" si="37"/>
        <v>-5000</v>
      </c>
      <c r="I88" s="1568">
        <f t="shared" si="37"/>
        <v>-5000</v>
      </c>
      <c r="J88" s="1568">
        <f t="shared" si="37"/>
        <v>-5000</v>
      </c>
      <c r="K88" s="1568">
        <f t="shared" si="37"/>
        <v>-5000</v>
      </c>
      <c r="M88" s="1462"/>
      <c r="N88" s="1463"/>
    </row>
    <row r="89" spans="1:14" ht="13.15" customHeight="1">
      <c r="A89" s="24" t="s">
        <v>1742</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1688</v>
      </c>
      <c r="B90" s="25">
        <f t="shared" ref="B90:K90" si="38">SUM(B82:B89)</f>
        <v>27697.994450374012</v>
      </c>
      <c r="C90" s="25">
        <f t="shared" si="38"/>
        <v>23534.947816620843</v>
      </c>
      <c r="D90" s="25">
        <f t="shared" si="38"/>
        <v>19030.8777945904</v>
      </c>
      <c r="E90" s="25">
        <f t="shared" si="38"/>
        <v>14167.591642847692</v>
      </c>
      <c r="F90" s="25">
        <f t="shared" si="38"/>
        <v>8932.3789969222853</v>
      </c>
      <c r="G90" s="25">
        <f t="shared" si="38"/>
        <v>3307.9945037946163</v>
      </c>
      <c r="H90" s="25">
        <f t="shared" si="38"/>
        <v>-2720.3601013072184</v>
      </c>
      <c r="I90" s="25">
        <f t="shared" si="38"/>
        <v>-9171.054493286385</v>
      </c>
      <c r="J90" s="25">
        <f t="shared" si="38"/>
        <v>-16061.048848723411</v>
      </c>
      <c r="K90" s="23">
        <f t="shared" si="38"/>
        <v>-23407.913549156045</v>
      </c>
      <c r="M90" s="1462"/>
      <c r="N90" s="1463"/>
    </row>
    <row r="91" spans="1:14" ht="13.15" customHeight="1">
      <c r="A91" s="24" t="str">
        <f>$A61</f>
        <v>DCR Mortgage A</v>
      </c>
      <c r="B91" s="27">
        <f>IF(B83=0,"",-B82/B83)</f>
        <v>1.170210064281854</v>
      </c>
      <c r="C91" s="27">
        <f t="shared" ref="C91:K91" si="39">IF(C83=0,"",-C82/C83)</f>
        <v>1.1485392417421132</v>
      </c>
      <c r="D91" s="27">
        <f t="shared" si="39"/>
        <v>1.1250932151320314</v>
      </c>
      <c r="E91" s="27">
        <f t="shared" si="39"/>
        <v>1.099777281772097</v>
      </c>
      <c r="F91" s="27">
        <f t="shared" si="39"/>
        <v>1.0725252776057697</v>
      </c>
      <c r="G91" s="27">
        <f t="shared" si="39"/>
        <v>1.0432474316028884</v>
      </c>
      <c r="H91" s="27">
        <f t="shared" si="39"/>
        <v>1.0118667111001218</v>
      </c>
      <c r="I91" s="27">
        <f t="shared" si="39"/>
        <v>0.97828749238725032</v>
      </c>
      <c r="J91" s="27">
        <f t="shared" si="39"/>
        <v>0.94242148892577104</v>
      </c>
      <c r="K91" s="28">
        <f t="shared" si="39"/>
        <v>0.90417723774306835</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1251</v>
      </c>
      <c r="B95" s="378">
        <f>IF(OR(B80="Choose mgt fee",B80="Choose One!"),"",(B74+B75+B76+B77+B78) / -(B79+B80+B81))</f>
        <v>1.2435006150861865</v>
      </c>
      <c r="C95" s="378">
        <f t="shared" ref="C95:K95" si="43">IF(OR(C80="Choose mgt fee",C80="Choose One!"),"",(C74+C75+C76+C77+C78) / -(C79+C80+C81))</f>
        <v>1.2321702799413343</v>
      </c>
      <c r="D95" s="378">
        <f t="shared" si="43"/>
        <v>1.2209389837776932</v>
      </c>
      <c r="E95" s="378">
        <f t="shared" si="43"/>
        <v>1.2098014929144298</v>
      </c>
      <c r="F95" s="378">
        <f t="shared" si="43"/>
        <v>1.1987601831104098</v>
      </c>
      <c r="G95" s="378">
        <f t="shared" si="43"/>
        <v>1.187812547379401</v>
      </c>
      <c r="H95" s="378">
        <f t="shared" si="43"/>
        <v>1.1769595687671095</v>
      </c>
      <c r="I95" s="378">
        <f t="shared" si="43"/>
        <v>1.1661989046138626</v>
      </c>
      <c r="J95" s="378">
        <f t="shared" si="43"/>
        <v>1.1555304504813781</v>
      </c>
      <c r="K95" s="379">
        <f t="shared" si="43"/>
        <v>1.1449540334616719</v>
      </c>
      <c r="M95" s="1462"/>
      <c r="N95" s="1463"/>
    </row>
    <row r="96" spans="1:14" ht="13.15" customHeight="1">
      <c r="A96" s="678" t="s">
        <v>3667</v>
      </c>
      <c r="B96" s="1571">
        <f>IF('Part III A-Sources of Funds'!$H$32="","",-FV('Part III A-Sources of Funds'!$J$32/12,12,B83/12,K66))</f>
        <v>1319783.03442566</v>
      </c>
      <c r="C96" s="1571">
        <f>IF('Part III A-Sources of Funds'!$H$32="","",-FV('Part III A-Sources of Funds'!$J$32/12,12,C83/12,B96))</f>
        <v>1206970.468388685</v>
      </c>
      <c r="D96" s="1571">
        <f>IF('Part III A-Sources of Funds'!$H$32="","",-FV('Part III A-Sources of Funds'!$J$32/12,12,D83/12,C96))</f>
        <v>1086901.5933938134</v>
      </c>
      <c r="E96" s="1571">
        <f>IF('Part III A-Sources of Funds'!$H$32="","",-FV('Part III A-Sources of Funds'!$J$32/12,12,E83/12,D96))</f>
        <v>959109.6704815285</v>
      </c>
      <c r="F96" s="1571">
        <f>IF('Part III A-Sources of Funds'!$H$32="","",-FV('Part III A-Sources of Funds'!$J$32/12,12,F83/12,E96))</f>
        <v>823097.93919549079</v>
      </c>
      <c r="G96" s="1571">
        <f>IF('Part III A-Sources of Funds'!$H$32="","",-FV('Part III A-Sources of Funds'!$J$32/12,12,G83/12,F96))</f>
        <v>678337.686545384</v>
      </c>
      <c r="H96" s="1571">
        <f>IF('Part III A-Sources of Funds'!$H$32="","",-FV('Part III A-Sources of Funds'!$J$32/12,12,H83/12,G96))</f>
        <v>524266.19176194875</v>
      </c>
      <c r="I96" s="1571">
        <f>IF('Part III A-Sources of Funds'!$H$32="","",-FV('Part III A-Sources of Funds'!$J$32/12,12,I83/12,H96))</f>
        <v>360284.53885493032</v>
      </c>
      <c r="J96" s="1571">
        <f>IF('Part III A-Sources of Funds'!$H$32="","",-FV('Part III A-Sources of Funds'!$J$32/12,12,J83/12,I96))</f>
        <v>185755.28847078394</v>
      </c>
      <c r="K96" s="1571">
        <f>IF('Part III A-Sources of Funds'!$H$32="","",-FV('Part III A-Sources of Funds'!$J$32/12,12,K83/12,J96))</f>
        <v>4.3422915041446686E-8</v>
      </c>
      <c r="M96" s="1462"/>
      <c r="N96" s="1463"/>
    </row>
    <row r="97" spans="1:14" ht="13.15" customHeight="1">
      <c r="A97" s="678" t="s">
        <v>3668</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3669</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1269</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3652</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1777</v>
      </c>
      <c r="B101" s="1570">
        <f>IF('Part III A-Sources of Funds'!$H$37="","",-FV('Part III A-Sources of Funds'!$J$37/12,12,B89/12,K71))</f>
        <v>0.50391845461850382</v>
      </c>
      <c r="C101" s="1570">
        <f>IF('Part III A-Sources of Funds'!$H$37="","",-FV('Part III A-Sources of Funds'!$J$37/12,12,C89/12,B101))</f>
        <v>0.51738405985468461</v>
      </c>
      <c r="D101" s="1570">
        <f>IF('Part III A-Sources of Funds'!$H$37="","",-FV('Part III A-Sources of Funds'!$J$37/12,12,D89/12,C101))</f>
        <v>0.53120949022271924</v>
      </c>
      <c r="E101" s="1570">
        <f>IF('Part III A-Sources of Funds'!$H$37="","",-FV('Part III A-Sources of Funds'!$J$37/12,12,E89/12,D101))</f>
        <v>0.54540436089572775</v>
      </c>
      <c r="F101" s="1570">
        <f>IF('Part III A-Sources of Funds'!$H$37="","",-FV('Part III A-Sources of Funds'!$J$37/12,12,F89/12,E101))</f>
        <v>0.5599785439815077</v>
      </c>
      <c r="G101" s="1570">
        <f>IF('Part III A-Sources of Funds'!$H$37="","",-FV('Part III A-Sources of Funds'!$J$37/12,12,G89/12,F101))</f>
        <v>0.57494217538828929</v>
      </c>
      <c r="H101" s="1570">
        <f>IF('Part III A-Sources of Funds'!$H$37="","",-FV('Part III A-Sources of Funds'!$J$37/12,12,H89/12,G101))</f>
        <v>0.59030566187395661</v>
      </c>
      <c r="I101" s="1570">
        <f>IF('Part III A-Sources of Funds'!$H$37="","",-FV('Part III A-Sources of Funds'!$J$37/12,12,I89/12,H101))</f>
        <v>0.60607968828363601</v>
      </c>
      <c r="J101" s="1570">
        <f>IF('Part III A-Sources of Funds'!$H$37="","",-FV('Part III A-Sources of Funds'!$J$37/12,12,J89/12,I101))</f>
        <v>0.62227522498068655</v>
      </c>
      <c r="K101" s="1570">
        <f>IF('Part III A-Sources of Funds'!$H$37="","",-FV('Part III A-Sources of Funds'!$J$37/12,12,K89/12,J101))</f>
        <v>0.638903535476259</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815</v>
      </c>
      <c r="B104" s="16"/>
      <c r="G104" s="16" t="s">
        <v>1541</v>
      </c>
    </row>
    <row r="105" spans="1:14" ht="12" customHeight="1">
      <c r="B105" s="35"/>
    </row>
    <row r="106" spans="1:14" ht="210" customHeight="1">
      <c r="A106" s="1360"/>
      <c r="B106" s="1572"/>
      <c r="C106" s="1572"/>
      <c r="D106" s="1572"/>
      <c r="E106" s="1572"/>
      <c r="F106" s="1573"/>
      <c r="G106" s="1363"/>
      <c r="H106" s="1572"/>
      <c r="I106" s="1572"/>
      <c r="J106" s="1572"/>
      <c r="K106" s="1573"/>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2012-056 Silver Comet Senior Village, Powder Springs, Cobb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1430</v>
      </c>
      <c r="P3" s="1144"/>
      <c r="Q3" s="299" t="s">
        <v>2711</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806</v>
      </c>
      <c r="P6" s="1136"/>
      <c r="Q6" s="1137"/>
    </row>
    <row r="7" spans="1:32" ht="12.6" customHeight="1">
      <c r="A7" s="175" t="s">
        <v>341</v>
      </c>
      <c r="C7" s="176"/>
      <c r="D7" s="176"/>
    </row>
    <row r="8" spans="1:32" ht="24.6" customHeight="1">
      <c r="A8" s="1138" t="s">
        <v>1983</v>
      </c>
      <c r="B8" s="1139"/>
      <c r="C8" s="1139"/>
      <c r="D8" s="1139"/>
      <c r="E8" s="1139"/>
      <c r="F8" s="1139"/>
      <c r="G8" s="1139"/>
      <c r="H8" s="1139"/>
      <c r="I8" s="1139"/>
      <c r="J8" s="1139"/>
      <c r="K8" s="1139"/>
      <c r="L8" s="1139"/>
      <c r="M8" s="1139"/>
      <c r="N8" s="1139"/>
      <c r="O8" s="1139"/>
      <c r="P8" s="1139"/>
      <c r="Q8" s="1140"/>
      <c r="R8" s="1146" t="s">
        <v>2913</v>
      </c>
      <c r="S8" s="886"/>
    </row>
    <row r="9" spans="1:32" ht="24.6" customHeight="1">
      <c r="A9" s="1133" t="s">
        <v>271</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1979</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1980</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1981</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1982</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1984</v>
      </c>
      <c r="B14" s="1134"/>
      <c r="C14" s="1134"/>
      <c r="D14" s="1134"/>
      <c r="E14" s="1134"/>
      <c r="F14" s="1134"/>
      <c r="G14" s="1134"/>
      <c r="H14" s="1134"/>
      <c r="I14" s="1134"/>
      <c r="J14" s="1134"/>
      <c r="K14" s="1134"/>
      <c r="L14" s="1134"/>
      <c r="M14" s="1134"/>
      <c r="N14" s="1134"/>
      <c r="O14" s="1134"/>
      <c r="P14" s="1134"/>
      <c r="Q14" s="1135"/>
    </row>
    <row r="15" spans="1:32" ht="24.6" customHeight="1">
      <c r="A15" s="1133" t="s">
        <v>2900</v>
      </c>
      <c r="B15" s="1134"/>
      <c r="C15" s="1134"/>
      <c r="D15" s="1134"/>
      <c r="E15" s="1134"/>
      <c r="F15" s="1134"/>
      <c r="G15" s="1134"/>
      <c r="H15" s="1134"/>
      <c r="I15" s="1134"/>
      <c r="J15" s="1134"/>
      <c r="K15" s="1134"/>
      <c r="L15" s="1134"/>
      <c r="M15" s="1134"/>
      <c r="N15" s="1134"/>
      <c r="O15" s="1134"/>
      <c r="P15" s="1134"/>
      <c r="Q15" s="1135"/>
      <c r="R15" s="886" t="s">
        <v>2913</v>
      </c>
      <c r="S15" s="886"/>
    </row>
    <row r="16" spans="1:32" ht="24.6" customHeight="1">
      <c r="A16" s="1133" t="s">
        <v>2901</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2902</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2903</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2904</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2905</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2906</v>
      </c>
      <c r="B21" s="1134"/>
      <c r="C21" s="1134"/>
      <c r="D21" s="1134"/>
      <c r="E21" s="1134"/>
      <c r="F21" s="1134"/>
      <c r="G21" s="1134"/>
      <c r="H21" s="1134"/>
      <c r="I21" s="1134"/>
      <c r="J21" s="1134"/>
      <c r="K21" s="1134"/>
      <c r="L21" s="1134"/>
      <c r="M21" s="1134"/>
      <c r="N21" s="1134"/>
      <c r="O21" s="1134"/>
      <c r="P21" s="1134"/>
      <c r="Q21" s="1135"/>
    </row>
    <row r="22" spans="1:19" ht="24.6" customHeight="1">
      <c r="A22" s="1133" t="s">
        <v>2907</v>
      </c>
      <c r="B22" s="1134"/>
      <c r="C22" s="1134"/>
      <c r="D22" s="1134"/>
      <c r="E22" s="1134"/>
      <c r="F22" s="1134"/>
      <c r="G22" s="1134"/>
      <c r="H22" s="1134"/>
      <c r="I22" s="1134"/>
      <c r="J22" s="1134"/>
      <c r="K22" s="1134"/>
      <c r="L22" s="1134"/>
      <c r="M22" s="1134"/>
      <c r="N22" s="1134"/>
      <c r="O22" s="1134"/>
      <c r="P22" s="1134"/>
      <c r="Q22" s="1135"/>
      <c r="R22" s="886" t="s">
        <v>2913</v>
      </c>
      <c r="S22" s="886"/>
    </row>
    <row r="23" spans="1:19" ht="24.6" customHeight="1">
      <c r="A23" s="1133" t="s">
        <v>2908</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2909</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2910</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2911</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2912</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3791</v>
      </c>
      <c r="C29" s="179"/>
      <c r="D29" s="115"/>
      <c r="E29" s="115"/>
      <c r="F29" s="115"/>
      <c r="G29" s="115"/>
      <c r="I29" s="180"/>
      <c r="J29" s="180"/>
      <c r="K29" s="180"/>
      <c r="L29" s="851"/>
      <c r="M29" s="851"/>
      <c r="O29" s="181" t="s">
        <v>2740</v>
      </c>
      <c r="P29" s="1116"/>
      <c r="Q29" s="1117"/>
    </row>
    <row r="30" spans="1:19" ht="3" customHeight="1"/>
    <row r="31" spans="1:19" ht="12" customHeight="1">
      <c r="B31" s="192" t="s">
        <v>2863</v>
      </c>
      <c r="C31" s="62" t="s">
        <v>3869</v>
      </c>
      <c r="E31" s="38"/>
      <c r="F31" s="38"/>
      <c r="G31" s="38"/>
      <c r="H31" s="38"/>
      <c r="I31" s="50"/>
      <c r="J31" s="40"/>
      <c r="K31" s="50"/>
      <c r="L31" s="40"/>
      <c r="M31" s="40"/>
      <c r="O31" s="79" t="s">
        <v>850</v>
      </c>
      <c r="P31" s="1574" t="s">
        <v>3983</v>
      </c>
      <c r="Q31" s="232"/>
    </row>
    <row r="32" spans="1:19" ht="12" customHeight="1">
      <c r="B32" s="55" t="s">
        <v>2866</v>
      </c>
      <c r="C32" s="62" t="s">
        <v>995</v>
      </c>
      <c r="E32" s="38"/>
      <c r="F32" s="38"/>
      <c r="G32" s="38"/>
      <c r="H32" s="38"/>
      <c r="J32" s="1575" t="s">
        <v>3051</v>
      </c>
      <c r="K32" s="1576"/>
      <c r="L32" s="1576"/>
      <c r="M32" s="1576"/>
      <c r="N32" s="1577"/>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578"/>
      <c r="B34" s="1579"/>
      <c r="C34" s="1579"/>
      <c r="D34" s="1579"/>
      <c r="E34" s="1579"/>
      <c r="F34" s="1579"/>
      <c r="G34" s="1579"/>
      <c r="H34" s="1579"/>
      <c r="I34" s="1579"/>
      <c r="J34" s="1579"/>
      <c r="K34" s="1579"/>
      <c r="L34" s="1579"/>
      <c r="M34" s="1579"/>
      <c r="N34" s="1579"/>
      <c r="O34" s="1579"/>
      <c r="P34" s="1579"/>
      <c r="Q34" s="1580"/>
      <c r="R34" s="736" t="s">
        <v>1807</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1807</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1715</v>
      </c>
      <c r="C41" s="5"/>
      <c r="D41" s="5"/>
      <c r="E41" s="855"/>
      <c r="F41" s="855"/>
      <c r="G41" s="855"/>
      <c r="H41" s="855"/>
      <c r="K41" s="855"/>
      <c r="L41" s="855"/>
      <c r="M41" s="855"/>
      <c r="O41" s="181" t="s">
        <v>2740</v>
      </c>
      <c r="P41" s="1116"/>
      <c r="Q41" s="1117"/>
    </row>
    <row r="42" spans="1:31" ht="3" customHeight="1"/>
    <row r="43" spans="1:31" ht="11.45" customHeight="1">
      <c r="A43" s="189"/>
      <c r="C43" s="190" t="s">
        <v>108</v>
      </c>
      <c r="D43" s="190"/>
      <c r="E43" s="190"/>
      <c r="F43" s="190"/>
      <c r="G43" s="190"/>
      <c r="H43" s="190"/>
      <c r="J43" s="1581" t="str">
        <f>'Part I-Project Information'!$H$65</f>
        <v>HFOP</v>
      </c>
      <c r="K43" s="1582"/>
      <c r="L43" s="1583"/>
      <c r="M43" s="855"/>
      <c r="N43" s="855"/>
      <c r="P43" s="1574" t="s">
        <v>3984</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578"/>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3792</v>
      </c>
      <c r="C47" s="154"/>
      <c r="D47" s="855"/>
      <c r="E47" s="855"/>
      <c r="F47" s="855"/>
      <c r="G47" s="855"/>
      <c r="H47" s="855"/>
      <c r="I47" s="855"/>
      <c r="J47" s="855"/>
      <c r="K47" s="855"/>
      <c r="L47" s="855"/>
      <c r="M47" s="855"/>
      <c r="O47" s="181" t="s">
        <v>2740</v>
      </c>
      <c r="P47" s="1116"/>
      <c r="Q47" s="1117"/>
    </row>
    <row r="48" spans="1:31" ht="3" customHeight="1"/>
    <row r="49" spans="1:31" ht="12.6" customHeight="1">
      <c r="B49" s="192" t="s">
        <v>2863</v>
      </c>
      <c r="C49" s="1160" t="s">
        <v>374</v>
      </c>
      <c r="D49" s="1160"/>
      <c r="E49" s="1160"/>
      <c r="F49" s="1160"/>
      <c r="G49" s="1160"/>
      <c r="H49" s="1160"/>
      <c r="I49" s="1160"/>
      <c r="J49" s="1160"/>
      <c r="K49" s="1160"/>
      <c r="L49" s="1160"/>
      <c r="M49" s="1160"/>
      <c r="O49" s="193"/>
      <c r="P49" s="1574" t="s">
        <v>4025</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2591</v>
      </c>
      <c r="D51" s="38" t="s">
        <v>819</v>
      </c>
      <c r="E51" s="850"/>
      <c r="F51" s="850"/>
      <c r="G51" s="850"/>
      <c r="H51" s="40"/>
      <c r="I51" s="50"/>
      <c r="J51" s="50"/>
      <c r="K51" s="50"/>
      <c r="L51" s="40"/>
      <c r="M51" s="40"/>
      <c r="O51" s="79" t="s">
        <v>2591</v>
      </c>
      <c r="P51" s="1574" t="s">
        <v>3984</v>
      </c>
      <c r="Q51" s="232"/>
    </row>
    <row r="52" spans="1:31" ht="10.9" customHeight="1">
      <c r="A52" s="194"/>
      <c r="B52" s="50"/>
      <c r="C52" s="79" t="s">
        <v>2592</v>
      </c>
      <c r="D52" s="38" t="s">
        <v>2670</v>
      </c>
      <c r="E52" s="850"/>
      <c r="F52" s="850"/>
      <c r="G52" s="850"/>
      <c r="H52" s="40"/>
      <c r="I52" s="50"/>
      <c r="J52" s="50"/>
      <c r="O52" s="79" t="s">
        <v>2592</v>
      </c>
      <c r="P52" s="1574" t="s">
        <v>3984</v>
      </c>
      <c r="Q52" s="232"/>
    </row>
    <row r="53" spans="1:31" ht="10.9" customHeight="1">
      <c r="A53" s="194"/>
      <c r="B53" s="50"/>
      <c r="C53" s="79" t="s">
        <v>2593</v>
      </c>
      <c r="D53" s="38" t="s">
        <v>375</v>
      </c>
      <c r="E53" s="850"/>
      <c r="J53" s="79"/>
      <c r="K53" s="79" t="s">
        <v>2593</v>
      </c>
      <c r="L53" s="1584"/>
      <c r="M53" s="1585"/>
      <c r="N53" s="1585"/>
      <c r="O53" s="1585"/>
      <c r="P53" s="1586"/>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578" t="s">
        <v>4026</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3793</v>
      </c>
      <c r="C59" s="856"/>
      <c r="D59" s="855"/>
      <c r="E59" s="855"/>
      <c r="F59" s="855"/>
      <c r="G59" s="855"/>
      <c r="H59" s="855"/>
      <c r="I59" s="855"/>
      <c r="J59" s="855"/>
      <c r="K59" s="855"/>
      <c r="O59" s="181" t="s">
        <v>2740</v>
      </c>
      <c r="P59" s="1116"/>
      <c r="Q59" s="1117"/>
    </row>
    <row r="60" spans="1:31" ht="3" customHeight="1"/>
    <row r="61" spans="1:31" ht="12" customHeight="1">
      <c r="B61" s="55" t="s">
        <v>2863</v>
      </c>
      <c r="C61" s="195" t="s">
        <v>3463</v>
      </c>
      <c r="D61" s="183"/>
      <c r="E61" s="183"/>
      <c r="F61" s="183"/>
      <c r="G61" s="183"/>
      <c r="H61" s="183"/>
      <c r="I61" s="50"/>
      <c r="J61" s="50"/>
      <c r="K61" s="50"/>
      <c r="L61" s="803" t="s">
        <v>2863</v>
      </c>
      <c r="M61" s="1584" t="s">
        <v>4048</v>
      </c>
      <c r="N61" s="1585"/>
      <c r="O61" s="1585"/>
      <c r="P61" s="1587"/>
      <c r="Q61" s="232"/>
    </row>
    <row r="62" spans="1:31" ht="12" customHeight="1">
      <c r="B62" s="55" t="s">
        <v>2866</v>
      </c>
      <c r="C62" s="62" t="s">
        <v>2919</v>
      </c>
      <c r="D62" s="183"/>
      <c r="E62" s="183"/>
      <c r="F62" s="183"/>
      <c r="L62" s="803" t="s">
        <v>2866</v>
      </c>
      <c r="M62" s="1584" t="s">
        <v>4049</v>
      </c>
      <c r="N62" s="1585"/>
      <c r="O62" s="1585"/>
      <c r="P62" s="1587"/>
      <c r="Q62" s="232"/>
    </row>
    <row r="63" spans="1:31" ht="12" customHeight="1">
      <c r="B63" s="55" t="s">
        <v>1146</v>
      </c>
      <c r="C63" s="62" t="s">
        <v>3464</v>
      </c>
      <c r="D63" s="183"/>
      <c r="E63" s="183"/>
      <c r="F63" s="183"/>
      <c r="L63" s="803" t="s">
        <v>1146</v>
      </c>
      <c r="M63" s="1584" t="s">
        <v>4050</v>
      </c>
      <c r="N63" s="1585"/>
      <c r="O63" s="1585"/>
      <c r="P63" s="1587"/>
      <c r="Q63" s="352"/>
    </row>
    <row r="64" spans="1:31" ht="12" customHeight="1">
      <c r="B64" s="55" t="s">
        <v>3005</v>
      </c>
      <c r="C64" s="62" t="s">
        <v>3465</v>
      </c>
      <c r="D64" s="183"/>
      <c r="E64" s="183"/>
      <c r="F64" s="183"/>
      <c r="L64" s="803" t="s">
        <v>3005</v>
      </c>
      <c r="M64" s="1588">
        <v>0.23669999999999999</v>
      </c>
      <c r="N64" s="1585"/>
      <c r="O64" s="1585"/>
      <c r="P64" s="1587"/>
      <c r="Q64" s="232"/>
    </row>
    <row r="65" spans="1:31" ht="22.15" customHeight="1">
      <c r="B65" s="192" t="s">
        <v>2589</v>
      </c>
      <c r="C65" s="1125" t="s">
        <v>3870</v>
      </c>
      <c r="D65" s="1125"/>
      <c r="E65" s="1125"/>
      <c r="F65" s="1125"/>
      <c r="G65" s="1125"/>
      <c r="H65" s="1125"/>
      <c r="I65" s="1125"/>
      <c r="J65" s="1125"/>
      <c r="K65" s="1125"/>
      <c r="L65" s="1125"/>
      <c r="M65" s="850"/>
      <c r="O65" s="803" t="s">
        <v>2589</v>
      </c>
      <c r="P65" s="1574" t="s">
        <v>3983</v>
      </c>
      <c r="Q65" s="232"/>
    </row>
    <row r="66" spans="1:31" ht="12" customHeight="1">
      <c r="B66" s="55"/>
      <c r="C66" s="62"/>
      <c r="D66" s="823" t="s">
        <v>3352</v>
      </c>
      <c r="E66" s="38" t="s">
        <v>875</v>
      </c>
      <c r="F66" s="38"/>
      <c r="H66" s="62"/>
      <c r="I66" s="823" t="s">
        <v>3352</v>
      </c>
      <c r="J66" s="38" t="s">
        <v>875</v>
      </c>
      <c r="K66" s="38"/>
      <c r="M66" s="62"/>
      <c r="N66" s="823" t="s">
        <v>3352</v>
      </c>
      <c r="O66" s="38" t="s">
        <v>875</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2590</v>
      </c>
      <c r="C69" s="62" t="s">
        <v>0</v>
      </c>
      <c r="D69" s="183"/>
      <c r="E69" s="183"/>
      <c r="F69" s="183"/>
      <c r="G69" s="183"/>
      <c r="H69" s="183"/>
      <c r="I69" s="50"/>
      <c r="J69" s="50"/>
      <c r="K69" s="183"/>
      <c r="L69" s="850"/>
      <c r="M69" s="850"/>
      <c r="O69" s="803" t="s">
        <v>2590</v>
      </c>
      <c r="P69" s="1591" t="s">
        <v>3984</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578" t="s">
        <v>4051</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3794</v>
      </c>
      <c r="C74" s="856"/>
      <c r="D74" s="855"/>
      <c r="E74" s="855"/>
      <c r="F74" s="855"/>
      <c r="G74" s="855"/>
      <c r="H74" s="855"/>
      <c r="I74" s="855"/>
      <c r="J74" s="855"/>
      <c r="K74" s="855"/>
      <c r="L74" s="855"/>
      <c r="M74" s="855"/>
      <c r="O74" s="181" t="s">
        <v>2740</v>
      </c>
      <c r="P74" s="1116"/>
      <c r="Q74" s="1117"/>
    </row>
    <row r="75" spans="1:31" ht="3" customHeight="1"/>
    <row r="76" spans="1:31" ht="12" customHeight="1">
      <c r="B76" s="55" t="s">
        <v>2863</v>
      </c>
      <c r="C76" s="62" t="s">
        <v>685</v>
      </c>
      <c r="D76" s="62"/>
      <c r="E76" s="62"/>
      <c r="F76" s="62"/>
      <c r="G76" s="62"/>
      <c r="H76" s="62"/>
      <c r="I76" s="62"/>
      <c r="J76" s="62"/>
      <c r="K76" s="62"/>
      <c r="L76" s="62"/>
      <c r="M76" s="62"/>
      <c r="O76" s="803" t="s">
        <v>2863</v>
      </c>
      <c r="P76" s="1574" t="s">
        <v>3983</v>
      </c>
      <c r="Q76" s="232"/>
    </row>
    <row r="77" spans="1:31" ht="12" customHeight="1">
      <c r="B77" s="55" t="s">
        <v>2866</v>
      </c>
      <c r="C77" s="62" t="s">
        <v>1872</v>
      </c>
      <c r="D77" s="62"/>
      <c r="E77" s="62"/>
      <c r="F77" s="62"/>
      <c r="G77" s="62"/>
      <c r="H77" s="62"/>
      <c r="I77" s="62"/>
      <c r="J77" s="62"/>
      <c r="K77" s="62"/>
      <c r="L77" s="38"/>
      <c r="M77" s="38"/>
      <c r="O77" s="803" t="s">
        <v>2866</v>
      </c>
      <c r="P77" s="1574" t="s">
        <v>3983</v>
      </c>
      <c r="Q77" s="232"/>
    </row>
    <row r="78" spans="1:31" ht="12" customHeight="1">
      <c r="A78" s="182"/>
      <c r="B78" s="44"/>
      <c r="D78" s="47" t="s">
        <v>791</v>
      </c>
      <c r="E78" s="50"/>
      <c r="F78" s="50"/>
      <c r="G78" s="50"/>
      <c r="H78" s="50"/>
      <c r="I78" s="50"/>
      <c r="K78" s="47" t="s">
        <v>792</v>
      </c>
      <c r="M78" s="1592"/>
      <c r="N78" s="1593"/>
      <c r="O78" s="1593"/>
      <c r="P78" s="1594"/>
      <c r="Q78" s="232"/>
    </row>
    <row r="79" spans="1:31" ht="22.9" customHeight="1">
      <c r="A79" s="194"/>
      <c r="B79" s="180"/>
      <c r="C79" s="201" t="s">
        <v>2591</v>
      </c>
      <c r="D79" s="1096" t="s">
        <v>639</v>
      </c>
      <c r="E79" s="1595"/>
      <c r="F79" s="1595"/>
      <c r="G79" s="1595"/>
      <c r="H79" s="1595"/>
      <c r="I79" s="1595"/>
      <c r="J79" s="1595"/>
      <c r="K79" s="1595"/>
      <c r="L79" s="1595"/>
      <c r="M79" s="1595"/>
      <c r="N79" s="1595"/>
      <c r="O79" s="201" t="s">
        <v>2591</v>
      </c>
      <c r="P79" s="1574"/>
      <c r="Q79" s="232"/>
    </row>
    <row r="80" spans="1:31" ht="12" customHeight="1">
      <c r="A80" s="194"/>
      <c r="B80" s="180"/>
      <c r="C80" s="79" t="s">
        <v>2592</v>
      </c>
      <c r="D80" s="62" t="s">
        <v>171</v>
      </c>
      <c r="E80" s="62"/>
      <c r="F80" s="62"/>
      <c r="G80" s="62"/>
      <c r="H80" s="62"/>
      <c r="I80" s="62"/>
      <c r="J80" s="62"/>
      <c r="K80" s="62"/>
      <c r="L80" s="62"/>
      <c r="M80" s="62"/>
      <c r="O80" s="79" t="s">
        <v>2592</v>
      </c>
      <c r="P80" s="1574"/>
      <c r="Q80" s="232"/>
    </row>
    <row r="81" spans="1:32" s="182" customFormat="1" ht="24.75" customHeight="1">
      <c r="A81" s="194"/>
      <c r="B81" s="711"/>
      <c r="C81" s="201" t="s">
        <v>2593</v>
      </c>
      <c r="D81" s="1125" t="s">
        <v>3945</v>
      </c>
      <c r="E81" s="1125"/>
      <c r="F81" s="1125"/>
      <c r="G81" s="1125"/>
      <c r="H81" s="1125"/>
      <c r="I81" s="1125"/>
      <c r="J81" s="1125"/>
      <c r="K81" s="1125"/>
      <c r="L81" s="1125"/>
      <c r="M81" s="1125"/>
      <c r="N81" s="1125"/>
      <c r="O81" s="201" t="s">
        <v>2593</v>
      </c>
      <c r="P81" s="1596"/>
      <c r="Q81" s="354"/>
      <c r="AE81" s="806"/>
      <c r="AF81" s="806"/>
    </row>
    <row r="82" spans="1:32" ht="12" customHeight="1">
      <c r="B82" s="55" t="s">
        <v>1146</v>
      </c>
      <c r="C82" s="62" t="s">
        <v>173</v>
      </c>
      <c r="D82" s="62"/>
      <c r="E82" s="62"/>
      <c r="F82" s="62"/>
      <c r="G82" s="62"/>
      <c r="H82" s="62"/>
      <c r="I82" s="62"/>
      <c r="J82" s="62"/>
      <c r="K82" s="62"/>
      <c r="L82" s="62"/>
      <c r="M82" s="62"/>
      <c r="O82" s="803" t="s">
        <v>1146</v>
      </c>
      <c r="P82" s="1574" t="s">
        <v>3983</v>
      </c>
      <c r="Q82" s="232"/>
    </row>
    <row r="83" spans="1:32" ht="12" customHeight="1">
      <c r="B83" s="55" t="s">
        <v>3005</v>
      </c>
      <c r="C83" s="62" t="s">
        <v>2010</v>
      </c>
      <c r="D83" s="62"/>
      <c r="E83" s="62"/>
      <c r="G83" s="62"/>
      <c r="I83" s="62"/>
      <c r="K83" s="62"/>
      <c r="L83" s="38"/>
      <c r="M83" s="38"/>
      <c r="N83" s="38"/>
      <c r="O83" s="38"/>
      <c r="P83" s="38"/>
      <c r="Q83" s="38"/>
    </row>
    <row r="84" spans="1:32" ht="12" customHeight="1">
      <c r="B84" s="55"/>
      <c r="C84" s="79" t="s">
        <v>2591</v>
      </c>
      <c r="D84" s="62" t="s">
        <v>2011</v>
      </c>
      <c r="E84" s="62"/>
      <c r="F84" s="62"/>
      <c r="G84" s="62"/>
      <c r="H84" s="62"/>
      <c r="I84" s="62"/>
      <c r="J84" s="62"/>
      <c r="K84" s="62"/>
      <c r="L84" s="38"/>
      <c r="M84" s="38"/>
      <c r="O84" s="79" t="s">
        <v>2591</v>
      </c>
      <c r="P84" s="1574" t="s">
        <v>3984</v>
      </c>
      <c r="Q84" s="232"/>
    </row>
    <row r="85" spans="1:32" ht="12" customHeight="1">
      <c r="B85" s="55"/>
      <c r="C85" s="79" t="s">
        <v>2592</v>
      </c>
      <c r="D85" s="62" t="s">
        <v>2012</v>
      </c>
      <c r="E85" s="62"/>
      <c r="F85" s="62"/>
      <c r="G85" s="62"/>
      <c r="H85" s="62"/>
      <c r="I85" s="62"/>
      <c r="J85" s="62"/>
      <c r="K85" s="62"/>
      <c r="L85" s="38"/>
      <c r="M85" s="38"/>
      <c r="O85" s="79" t="s">
        <v>2592</v>
      </c>
      <c r="P85" s="1574" t="s">
        <v>3983</v>
      </c>
      <c r="Q85" s="232"/>
    </row>
    <row r="86" spans="1:32" ht="12" customHeight="1">
      <c r="B86" s="55"/>
      <c r="C86" s="79" t="s">
        <v>2593</v>
      </c>
      <c r="D86" s="62" t="s">
        <v>2013</v>
      </c>
      <c r="E86" s="62"/>
      <c r="F86" s="62"/>
      <c r="G86" s="62"/>
      <c r="H86" s="62"/>
      <c r="I86" s="62"/>
      <c r="J86" s="62"/>
      <c r="K86" s="62"/>
      <c r="L86" s="38"/>
      <c r="M86" s="38"/>
      <c r="O86" s="79" t="s">
        <v>2593</v>
      </c>
      <c r="P86" s="1574" t="s">
        <v>3983</v>
      </c>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578"/>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3795</v>
      </c>
      <c r="C92" s="48"/>
      <c r="D92" s="855"/>
      <c r="E92" s="855"/>
      <c r="F92" s="855"/>
      <c r="G92" s="855"/>
      <c r="H92" s="855"/>
      <c r="I92" s="855"/>
      <c r="J92" s="855"/>
      <c r="K92" s="855"/>
      <c r="L92" s="855"/>
      <c r="M92" s="855"/>
      <c r="O92" s="181" t="s">
        <v>2740</v>
      </c>
      <c r="P92" s="1116"/>
      <c r="Q92" s="1117"/>
    </row>
    <row r="93" spans="1:32" ht="6.6" customHeight="1"/>
    <row r="94" spans="1:32" ht="12" customHeight="1">
      <c r="B94" s="55" t="s">
        <v>2863</v>
      </c>
      <c r="C94" s="62" t="s">
        <v>3937</v>
      </c>
      <c r="D94" s="183"/>
      <c r="E94" s="183"/>
      <c r="F94" s="183"/>
      <c r="G94" s="183"/>
      <c r="H94" s="183"/>
      <c r="I94" s="50"/>
      <c r="J94" s="50"/>
      <c r="K94" s="50"/>
      <c r="L94" s="803" t="s">
        <v>2863</v>
      </c>
      <c r="M94" s="1584" t="s">
        <v>4027</v>
      </c>
      <c r="N94" s="1585"/>
      <c r="O94" s="1585"/>
      <c r="P94" s="1586"/>
      <c r="Q94" s="232"/>
    </row>
    <row r="95" spans="1:32" ht="12" customHeight="1">
      <c r="B95" s="55" t="s">
        <v>2866</v>
      </c>
      <c r="C95" s="62" t="s">
        <v>2142</v>
      </c>
      <c r="D95" s="183"/>
      <c r="E95" s="183"/>
      <c r="F95" s="183"/>
      <c r="G95" s="183"/>
      <c r="H95" s="183"/>
      <c r="I95" s="50"/>
      <c r="J95" s="50"/>
      <c r="K95" s="183"/>
      <c r="L95" s="183"/>
      <c r="M95" s="850"/>
      <c r="O95" s="803" t="s">
        <v>2866</v>
      </c>
      <c r="P95" s="1574" t="s">
        <v>3983</v>
      </c>
      <c r="Q95" s="352"/>
    </row>
    <row r="96" spans="1:32" ht="12" customHeight="1">
      <c r="B96" s="55" t="s">
        <v>1146</v>
      </c>
      <c r="C96" s="62" t="s">
        <v>187</v>
      </c>
      <c r="D96" s="183"/>
      <c r="E96" s="183"/>
      <c r="F96" s="183"/>
      <c r="G96" s="183"/>
      <c r="H96" s="183"/>
      <c r="I96" s="50"/>
      <c r="J96" s="50"/>
      <c r="K96" s="183"/>
      <c r="L96" s="850"/>
      <c r="M96" s="850"/>
      <c r="O96" s="803" t="s">
        <v>1146</v>
      </c>
      <c r="P96" s="1574" t="s">
        <v>3984</v>
      </c>
      <c r="Q96" s="232"/>
    </row>
    <row r="97" spans="2:17" ht="12" customHeight="1">
      <c r="B97" s="55"/>
      <c r="C97" s="78" t="s">
        <v>2591</v>
      </c>
      <c r="D97" s="62" t="s">
        <v>3938</v>
      </c>
      <c r="E97" s="183"/>
      <c r="F97" s="183"/>
      <c r="G97" s="183"/>
      <c r="H97" s="183"/>
      <c r="I97" s="50"/>
      <c r="J97" s="50"/>
      <c r="K97" s="183"/>
      <c r="L97" s="79" t="s">
        <v>2591</v>
      </c>
      <c r="M97" s="1584" t="s">
        <v>4027</v>
      </c>
      <c r="N97" s="1585"/>
      <c r="O97" s="1585"/>
      <c r="P97" s="1586"/>
      <c r="Q97" s="352"/>
    </row>
    <row r="98" spans="2:17" ht="12" customHeight="1">
      <c r="B98" s="189"/>
      <c r="C98" s="79" t="s">
        <v>2592</v>
      </c>
      <c r="D98" s="44" t="s">
        <v>3645</v>
      </c>
      <c r="E98" s="50"/>
      <c r="F98" s="50"/>
      <c r="G98" s="50"/>
      <c r="H98" s="62"/>
      <c r="I98" s="50"/>
      <c r="J98" s="50"/>
      <c r="K98" s="183"/>
      <c r="L98" s="850"/>
      <c r="M98" s="850"/>
      <c r="O98" s="803" t="s">
        <v>2592</v>
      </c>
      <c r="P98" s="1591">
        <v>70.7</v>
      </c>
      <c r="Q98" s="352"/>
    </row>
    <row r="99" spans="2:17" ht="12" customHeight="1">
      <c r="B99" s="189"/>
      <c r="C99" s="803" t="s">
        <v>2593</v>
      </c>
      <c r="D99" s="62" t="s">
        <v>1954</v>
      </c>
      <c r="E99" s="50"/>
      <c r="F99" s="50"/>
      <c r="G99" s="50"/>
      <c r="H99" s="62"/>
      <c r="I99" s="50"/>
      <c r="J99" s="50"/>
      <c r="K99" s="183"/>
      <c r="L99" s="850"/>
      <c r="M99" s="850"/>
      <c r="N99" s="850"/>
      <c r="O99" s="850"/>
    </row>
    <row r="100" spans="2:17" ht="11.45" customHeight="1">
      <c r="B100" s="851"/>
      <c r="C100" s="79"/>
      <c r="D100" s="1597" t="s">
        <v>4070</v>
      </c>
      <c r="E100" s="1598"/>
      <c r="F100" s="1598"/>
      <c r="G100" s="1598"/>
      <c r="H100" s="1598"/>
      <c r="I100" s="1598"/>
      <c r="J100" s="1598"/>
      <c r="K100" s="1598"/>
      <c r="L100" s="1598"/>
      <c r="M100" s="1598"/>
      <c r="N100" s="1598"/>
      <c r="O100" s="1599"/>
      <c r="P100" s="855"/>
      <c r="Q100" s="851"/>
    </row>
    <row r="101" spans="2:17" ht="12" customHeight="1">
      <c r="B101" s="55" t="s">
        <v>3005</v>
      </c>
      <c r="C101" s="62" t="s">
        <v>1816</v>
      </c>
      <c r="D101" s="183"/>
      <c r="E101" s="183"/>
      <c r="F101" s="183"/>
      <c r="G101" s="183"/>
      <c r="H101" s="183"/>
      <c r="I101" s="50"/>
      <c r="J101" s="50"/>
      <c r="K101" s="183"/>
      <c r="L101" s="850"/>
      <c r="M101" s="850"/>
      <c r="N101" s="850"/>
      <c r="O101" s="803" t="s">
        <v>3005</v>
      </c>
    </row>
    <row r="102" spans="2:17" ht="12" customHeight="1">
      <c r="B102" s="55"/>
      <c r="C102" s="79" t="s">
        <v>2591</v>
      </c>
      <c r="D102" s="62" t="s">
        <v>185</v>
      </c>
      <c r="E102" s="183"/>
      <c r="F102" s="183"/>
      <c r="G102" s="183"/>
      <c r="H102" s="183"/>
      <c r="I102" s="50"/>
      <c r="J102" s="50"/>
      <c r="K102" s="183"/>
      <c r="L102" s="850"/>
      <c r="M102" s="850"/>
      <c r="O102" s="79" t="s">
        <v>2591</v>
      </c>
      <c r="P102" s="1574" t="s">
        <v>3983</v>
      </c>
      <c r="Q102" s="232"/>
    </row>
    <row r="103" spans="2:17" ht="12" customHeight="1">
      <c r="B103" s="55"/>
      <c r="C103" s="79" t="s">
        <v>2592</v>
      </c>
      <c r="D103" s="62" t="s">
        <v>1817</v>
      </c>
      <c r="E103" s="183"/>
      <c r="F103" s="183"/>
      <c r="G103" s="183"/>
      <c r="H103" s="50"/>
      <c r="I103" s="50"/>
      <c r="J103" s="50"/>
      <c r="K103" s="183"/>
      <c r="L103" s="850"/>
      <c r="M103" s="850"/>
      <c r="O103" s="79" t="s">
        <v>2592</v>
      </c>
      <c r="P103" s="1591" t="s">
        <v>3983</v>
      </c>
      <c r="Q103" s="352"/>
    </row>
    <row r="104" spans="2:17" ht="12" customHeight="1">
      <c r="B104" s="55"/>
      <c r="C104" s="79"/>
      <c r="D104" s="62" t="s">
        <v>3765</v>
      </c>
      <c r="E104" s="728" t="s">
        <v>3420</v>
      </c>
      <c r="F104" s="62" t="s">
        <v>3766</v>
      </c>
      <c r="G104" s="50"/>
      <c r="H104" s="62"/>
      <c r="I104" s="50"/>
      <c r="J104" s="50"/>
      <c r="K104" s="183"/>
      <c r="L104" s="850"/>
      <c r="M104" s="850"/>
      <c r="O104" s="728" t="s">
        <v>3420</v>
      </c>
      <c r="P104" s="1600"/>
      <c r="Q104" s="448"/>
    </row>
    <row r="105" spans="2:17" ht="12" customHeight="1">
      <c r="B105" s="55"/>
      <c r="C105" s="79"/>
      <c r="E105" s="728" t="s">
        <v>3421</v>
      </c>
      <c r="F105" s="62" t="s">
        <v>3767</v>
      </c>
      <c r="G105" s="50"/>
      <c r="H105" s="62"/>
      <c r="I105" s="50"/>
      <c r="J105" s="50"/>
      <c r="K105" s="183"/>
      <c r="L105" s="850"/>
      <c r="M105" s="850"/>
      <c r="O105" s="728" t="s">
        <v>3421</v>
      </c>
      <c r="P105" s="1591"/>
      <c r="Q105" s="352"/>
    </row>
    <row r="106" spans="2:17" ht="12" customHeight="1">
      <c r="B106" s="55"/>
      <c r="C106" s="79"/>
      <c r="E106" s="728" t="s">
        <v>3422</v>
      </c>
      <c r="F106" s="62" t="s">
        <v>3768</v>
      </c>
      <c r="G106" s="50"/>
      <c r="H106" s="62"/>
      <c r="I106" s="50"/>
      <c r="J106" s="50"/>
      <c r="K106" s="183"/>
      <c r="L106" s="850"/>
      <c r="M106" s="850"/>
      <c r="O106" s="728" t="s">
        <v>3422</v>
      </c>
      <c r="P106" s="1591"/>
      <c r="Q106" s="352"/>
    </row>
    <row r="107" spans="2:17" ht="12" customHeight="1">
      <c r="B107" s="55"/>
      <c r="C107" s="79" t="s">
        <v>2593</v>
      </c>
      <c r="D107" s="62" t="s">
        <v>1818</v>
      </c>
      <c r="E107" s="183"/>
      <c r="F107" s="183"/>
      <c r="G107" s="183"/>
      <c r="H107" s="62"/>
      <c r="I107" s="50"/>
      <c r="J107" s="50"/>
      <c r="K107" s="183"/>
      <c r="L107" s="850"/>
      <c r="M107" s="850"/>
      <c r="O107" s="79" t="s">
        <v>2593</v>
      </c>
      <c r="P107" s="1574" t="s">
        <v>3983</v>
      </c>
      <c r="Q107" s="232"/>
    </row>
    <row r="108" spans="2:17" ht="12" customHeight="1">
      <c r="B108" s="55"/>
      <c r="C108" s="79"/>
      <c r="D108" s="62" t="s">
        <v>3765</v>
      </c>
      <c r="E108" s="728" t="s">
        <v>3420</v>
      </c>
      <c r="F108" s="62" t="s">
        <v>3769</v>
      </c>
      <c r="G108" s="50"/>
      <c r="H108" s="62"/>
      <c r="I108" s="50"/>
      <c r="J108" s="50"/>
      <c r="K108" s="183"/>
      <c r="L108" s="850"/>
      <c r="O108" s="728" t="s">
        <v>3420</v>
      </c>
      <c r="P108" s="1600"/>
      <c r="Q108" s="353"/>
    </row>
    <row r="109" spans="2:17" ht="12" customHeight="1">
      <c r="B109" s="55"/>
      <c r="C109" s="79"/>
      <c r="E109" s="728" t="s">
        <v>3421</v>
      </c>
      <c r="F109" s="62" t="s">
        <v>3770</v>
      </c>
      <c r="G109" s="50"/>
      <c r="H109" s="62"/>
      <c r="I109" s="50"/>
      <c r="J109" s="50"/>
      <c r="K109" s="183"/>
      <c r="L109" s="850"/>
      <c r="O109" s="728" t="s">
        <v>3421</v>
      </c>
      <c r="P109" s="1591"/>
      <c r="Q109" s="352"/>
    </row>
    <row r="110" spans="2:17" ht="12" customHeight="1">
      <c r="B110" s="55"/>
      <c r="C110" s="79"/>
      <c r="E110" s="728" t="s">
        <v>3422</v>
      </c>
      <c r="F110" s="62" t="s">
        <v>3768</v>
      </c>
      <c r="G110" s="50"/>
      <c r="H110" s="62"/>
      <c r="I110" s="50"/>
      <c r="J110" s="50"/>
      <c r="K110" s="183"/>
      <c r="L110" s="850"/>
      <c r="O110" s="728" t="s">
        <v>3422</v>
      </c>
      <c r="P110" s="1591"/>
      <c r="Q110" s="352"/>
    </row>
    <row r="111" spans="2:17" ht="12" customHeight="1">
      <c r="B111" s="44"/>
      <c r="C111" s="79" t="s">
        <v>3332</v>
      </c>
      <c r="D111" s="62" t="s">
        <v>3771</v>
      </c>
      <c r="E111" s="183"/>
      <c r="F111" s="183"/>
      <c r="G111" s="183"/>
      <c r="H111" s="183"/>
      <c r="I111" s="50"/>
      <c r="J111" s="50"/>
      <c r="K111" s="183"/>
      <c r="L111" s="850"/>
      <c r="M111" s="850"/>
      <c r="O111" s="79" t="s">
        <v>3332</v>
      </c>
      <c r="P111" s="1574" t="s">
        <v>3983</v>
      </c>
      <c r="Q111" s="232"/>
    </row>
    <row r="112" spans="2:17" ht="12" customHeight="1">
      <c r="B112" s="55" t="s">
        <v>2589</v>
      </c>
      <c r="C112" s="196" t="s">
        <v>3397</v>
      </c>
      <c r="D112" s="183"/>
      <c r="E112" s="183"/>
      <c r="F112" s="183"/>
      <c r="G112" s="183"/>
      <c r="H112" s="183"/>
      <c r="I112" s="50"/>
      <c r="J112" s="50"/>
      <c r="K112" s="183"/>
      <c r="L112" s="850"/>
      <c r="M112" s="850"/>
      <c r="N112" s="850"/>
      <c r="O112" s="850"/>
      <c r="P112" s="850"/>
      <c r="Q112" s="850"/>
    </row>
    <row r="113" spans="1:31" ht="12" customHeight="1">
      <c r="B113" s="55"/>
      <c r="C113" s="79" t="s">
        <v>2591</v>
      </c>
      <c r="D113" s="62" t="s">
        <v>3398</v>
      </c>
      <c r="E113" s="183"/>
      <c r="F113" s="1574" t="s">
        <v>3983</v>
      </c>
      <c r="G113" s="232"/>
      <c r="H113" s="79" t="s">
        <v>3332</v>
      </c>
      <c r="I113" s="62" t="s">
        <v>2157</v>
      </c>
      <c r="J113" s="1574" t="s">
        <v>3983</v>
      </c>
      <c r="K113" s="232"/>
      <c r="L113" s="803" t="s">
        <v>107</v>
      </c>
      <c r="M113" s="62" t="s">
        <v>2158</v>
      </c>
      <c r="O113" s="1574" t="s">
        <v>3983</v>
      </c>
      <c r="P113" s="232"/>
    </row>
    <row r="114" spans="1:31" ht="12" customHeight="1">
      <c r="B114" s="44"/>
      <c r="C114" s="79" t="s">
        <v>2592</v>
      </c>
      <c r="D114" s="62" t="s">
        <v>3503</v>
      </c>
      <c r="E114" s="183"/>
      <c r="F114" s="1574" t="s">
        <v>3983</v>
      </c>
      <c r="G114" s="232"/>
      <c r="H114" s="79" t="s">
        <v>2154</v>
      </c>
      <c r="I114" s="62" t="s">
        <v>3773</v>
      </c>
      <c r="J114" s="1601" t="s">
        <v>3983</v>
      </c>
      <c r="K114" s="663"/>
      <c r="L114" s="803" t="s">
        <v>744</v>
      </c>
      <c r="M114" s="65" t="s">
        <v>3774</v>
      </c>
      <c r="O114" s="1601" t="s">
        <v>3983</v>
      </c>
      <c r="P114" s="663"/>
    </row>
    <row r="115" spans="1:31" ht="12" customHeight="1">
      <c r="B115" s="44"/>
      <c r="C115" s="79" t="s">
        <v>2593</v>
      </c>
      <c r="D115" s="62" t="s">
        <v>3772</v>
      </c>
      <c r="E115" s="183"/>
      <c r="F115" s="1574" t="s">
        <v>3983</v>
      </c>
      <c r="G115" s="232"/>
      <c r="H115" s="79" t="s">
        <v>2155</v>
      </c>
      <c r="I115" s="62" t="s">
        <v>2156</v>
      </c>
      <c r="J115" s="1601" t="s">
        <v>3983</v>
      </c>
      <c r="K115" s="663"/>
      <c r="L115" s="803" t="s">
        <v>745</v>
      </c>
      <c r="M115" s="65" t="s">
        <v>3775</v>
      </c>
      <c r="O115" s="1601" t="s">
        <v>3983</v>
      </c>
      <c r="P115" s="663"/>
    </row>
    <row r="116" spans="1:31" ht="12" customHeight="1">
      <c r="B116" s="44"/>
      <c r="C116" s="803" t="s">
        <v>746</v>
      </c>
      <c r="D116" s="62" t="s">
        <v>3776</v>
      </c>
      <c r="E116" s="183"/>
      <c r="F116" s="183"/>
      <c r="G116" s="183"/>
      <c r="H116" s="183"/>
      <c r="J116" s="1584"/>
      <c r="K116" s="1585"/>
      <c r="L116" s="1585"/>
      <c r="M116" s="1585"/>
      <c r="N116" s="1585"/>
      <c r="O116" s="1585"/>
      <c r="P116" s="1586"/>
      <c r="Q116" s="232"/>
    </row>
    <row r="117" spans="1:31" ht="12" customHeight="1">
      <c r="B117" s="55" t="s">
        <v>2590</v>
      </c>
      <c r="C117" s="62" t="s">
        <v>1852</v>
      </c>
      <c r="D117" s="183"/>
      <c r="E117" s="183"/>
      <c r="F117" s="183"/>
      <c r="G117" s="183"/>
      <c r="H117" s="183"/>
      <c r="I117" s="50"/>
      <c r="J117" s="50"/>
      <c r="K117" s="183"/>
      <c r="L117" s="183"/>
      <c r="M117" s="850"/>
      <c r="O117" s="803" t="s">
        <v>2590</v>
      </c>
      <c r="P117" s="1574" t="s">
        <v>1470</v>
      </c>
      <c r="Q117" s="232"/>
    </row>
    <row r="118" spans="1:31" ht="12" customHeight="1">
      <c r="A118" s="194"/>
      <c r="B118" s="50"/>
      <c r="C118" s="79" t="s">
        <v>2591</v>
      </c>
      <c r="D118" s="62" t="s">
        <v>996</v>
      </c>
      <c r="E118" s="183"/>
      <c r="F118" s="183"/>
      <c r="G118" s="183"/>
      <c r="H118" s="183"/>
      <c r="O118" s="79" t="s">
        <v>2591</v>
      </c>
      <c r="P118" s="1574" t="s">
        <v>3983</v>
      </c>
      <c r="Q118" s="232"/>
    </row>
    <row r="119" spans="1:31" ht="12" customHeight="1">
      <c r="A119" s="194"/>
      <c r="B119" s="180"/>
      <c r="C119" s="79" t="s">
        <v>2592</v>
      </c>
      <c r="D119" s="62" t="s">
        <v>682</v>
      </c>
      <c r="E119" s="62"/>
      <c r="F119" s="62"/>
      <c r="G119" s="62"/>
      <c r="H119" s="62"/>
      <c r="I119" s="50"/>
      <c r="J119" s="50"/>
      <c r="K119" s="62"/>
      <c r="L119" s="62"/>
      <c r="M119" s="62"/>
      <c r="O119" s="79" t="s">
        <v>2592</v>
      </c>
      <c r="P119" s="1574" t="s">
        <v>3984</v>
      </c>
      <c r="Q119" s="232"/>
    </row>
    <row r="120" spans="1:31" ht="12" customHeight="1">
      <c r="A120" s="194"/>
      <c r="B120" s="180"/>
      <c r="C120" s="79" t="s">
        <v>2593</v>
      </c>
      <c r="D120" s="62" t="s">
        <v>952</v>
      </c>
      <c r="E120" s="62"/>
      <c r="F120" s="62"/>
      <c r="G120" s="62"/>
      <c r="H120" s="62"/>
      <c r="I120" s="50"/>
      <c r="J120" s="50"/>
      <c r="K120" s="62"/>
      <c r="L120" s="62"/>
      <c r="M120" s="62"/>
      <c r="O120" s="79" t="s">
        <v>2593</v>
      </c>
      <c r="P120" s="1574" t="s">
        <v>3984</v>
      </c>
      <c r="Q120" s="232"/>
    </row>
    <row r="121" spans="1:31" ht="12" customHeight="1">
      <c r="B121" s="55" t="s">
        <v>2826</v>
      </c>
      <c r="C121" s="62" t="s">
        <v>2608</v>
      </c>
      <c r="D121" s="183"/>
      <c r="E121" s="183"/>
      <c r="F121" s="183"/>
      <c r="G121" s="183"/>
      <c r="H121" s="183"/>
      <c r="I121" s="50"/>
      <c r="J121" s="50"/>
      <c r="K121" s="183"/>
      <c r="L121" s="183"/>
      <c r="M121" s="850"/>
      <c r="O121" s="803" t="s">
        <v>2826</v>
      </c>
      <c r="P121" s="1574" t="s">
        <v>1470</v>
      </c>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12" customHeight="1">
      <c r="A124" s="1578"/>
      <c r="B124" s="1579"/>
      <c r="C124" s="1579"/>
      <c r="D124" s="1579"/>
      <c r="E124" s="1579"/>
      <c r="F124" s="1579"/>
      <c r="G124" s="1579"/>
      <c r="H124" s="1579"/>
      <c r="I124" s="1579"/>
      <c r="J124" s="1579"/>
      <c r="K124" s="1579"/>
      <c r="L124" s="1579"/>
      <c r="M124" s="1579"/>
      <c r="N124" s="1579"/>
      <c r="O124" s="1579"/>
      <c r="P124" s="1579"/>
      <c r="Q124" s="1580"/>
      <c r="R124" s="736" t="s">
        <v>1807</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1807</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3796</v>
      </c>
      <c r="C128" s="856"/>
      <c r="D128" s="855"/>
      <c r="E128" s="855"/>
      <c r="F128" s="855"/>
      <c r="G128" s="855"/>
      <c r="H128" s="855"/>
      <c r="I128" s="855"/>
      <c r="J128" s="855"/>
      <c r="K128" s="855"/>
      <c r="O128" s="181" t="s">
        <v>2740</v>
      </c>
      <c r="P128" s="1116"/>
      <c r="Q128" s="1117"/>
    </row>
    <row r="129" spans="1:31" ht="10.9" customHeight="1">
      <c r="B129" s="55" t="s">
        <v>2863</v>
      </c>
      <c r="C129" s="62" t="s">
        <v>3777</v>
      </c>
      <c r="D129" s="62"/>
      <c r="E129" s="62"/>
      <c r="F129" s="62"/>
      <c r="G129" s="62"/>
      <c r="H129" s="62"/>
      <c r="N129" s="62"/>
      <c r="O129" s="803" t="s">
        <v>2863</v>
      </c>
      <c r="P129" s="1574" t="s">
        <v>3984</v>
      </c>
      <c r="Q129" s="232"/>
    </row>
    <row r="130" spans="1:31" ht="12" customHeight="1">
      <c r="A130" s="189"/>
      <c r="B130" s="55" t="s">
        <v>2866</v>
      </c>
      <c r="C130" s="190" t="s">
        <v>186</v>
      </c>
      <c r="D130" s="190"/>
      <c r="E130" s="190"/>
      <c r="F130" s="190"/>
      <c r="G130" s="190"/>
      <c r="H130" s="190"/>
      <c r="M130" s="803" t="s">
        <v>2866</v>
      </c>
      <c r="N130" s="1602" t="s">
        <v>4028</v>
      </c>
      <c r="O130" s="1603"/>
      <c r="P130" s="1147"/>
      <c r="Q130" s="1148"/>
    </row>
    <row r="131" spans="1:31" ht="12" customHeight="1">
      <c r="A131" s="189"/>
      <c r="B131" s="55" t="s">
        <v>1146</v>
      </c>
      <c r="C131" s="190" t="s">
        <v>953</v>
      </c>
      <c r="D131" s="190"/>
      <c r="E131" s="190"/>
      <c r="F131" s="190"/>
      <c r="G131" s="190"/>
      <c r="H131" s="190"/>
      <c r="J131" s="803" t="s">
        <v>1146</v>
      </c>
      <c r="K131" s="1604" t="s">
        <v>4069</v>
      </c>
      <c r="L131" s="1605"/>
      <c r="M131" s="1605"/>
      <c r="N131" s="1605"/>
      <c r="O131" s="1605"/>
      <c r="P131" s="1606"/>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11.45" customHeight="1">
      <c r="A133" s="1578"/>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3797</v>
      </c>
      <c r="C137" s="856"/>
      <c r="D137" s="855"/>
      <c r="E137" s="855"/>
      <c r="F137" s="855"/>
      <c r="G137" s="855"/>
      <c r="H137" s="855"/>
      <c r="I137" s="855"/>
      <c r="J137" s="855"/>
      <c r="K137" s="855"/>
      <c r="L137" s="855"/>
      <c r="M137" s="855"/>
      <c r="O137" s="181" t="s">
        <v>2740</v>
      </c>
      <c r="P137" s="1116"/>
      <c r="Q137" s="1117"/>
    </row>
    <row r="138" spans="1:31" ht="12" customHeight="1">
      <c r="B138" s="192" t="s">
        <v>2863</v>
      </c>
      <c r="C138" s="190" t="s">
        <v>104</v>
      </c>
      <c r="D138" s="190"/>
      <c r="E138" s="190"/>
      <c r="F138" s="190"/>
      <c r="G138" s="190"/>
      <c r="H138" s="190"/>
      <c r="I138" s="190"/>
      <c r="J138" s="190"/>
      <c r="K138" s="190"/>
      <c r="L138" s="197"/>
      <c r="M138" s="197"/>
      <c r="N138" s="197"/>
      <c r="O138" s="219" t="s">
        <v>2863</v>
      </c>
      <c r="P138" s="1574" t="s">
        <v>3984</v>
      </c>
      <c r="Q138" s="232"/>
    </row>
    <row r="139" spans="1:31" ht="22.15" customHeight="1">
      <c r="B139" s="192" t="s">
        <v>2866</v>
      </c>
      <c r="C139" s="1125" t="s">
        <v>3519</v>
      </c>
      <c r="D139" s="1125"/>
      <c r="E139" s="1125"/>
      <c r="F139" s="1125"/>
      <c r="G139" s="1125"/>
      <c r="H139" s="1125"/>
      <c r="I139" s="1125"/>
      <c r="J139" s="1125"/>
      <c r="K139" s="1125"/>
      <c r="L139" s="1125"/>
      <c r="M139" s="1125"/>
      <c r="N139" s="1125"/>
      <c r="O139" s="219" t="s">
        <v>2866</v>
      </c>
      <c r="P139" s="1574"/>
      <c r="Q139" s="232"/>
    </row>
    <row r="140" spans="1:31" ht="21.75" customHeight="1">
      <c r="B140" s="192" t="s">
        <v>1146</v>
      </c>
      <c r="C140" s="1125" t="s">
        <v>3779</v>
      </c>
      <c r="D140" s="1125"/>
      <c r="E140" s="1125"/>
      <c r="F140" s="1125"/>
      <c r="G140" s="1125"/>
      <c r="H140" s="1125"/>
      <c r="I140" s="1125"/>
      <c r="J140" s="1125"/>
      <c r="K140" s="1125"/>
      <c r="L140" s="1125"/>
      <c r="M140" s="1125"/>
      <c r="N140" s="1125"/>
      <c r="O140" s="219" t="s">
        <v>1146</v>
      </c>
      <c r="P140" s="1574"/>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11.45" customHeight="1">
      <c r="A142" s="1578"/>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3798</v>
      </c>
      <c r="C146" s="1167"/>
      <c r="D146" s="1167"/>
      <c r="O146" s="181" t="s">
        <v>2740</v>
      </c>
      <c r="P146" s="1116"/>
      <c r="Q146" s="1117"/>
    </row>
    <row r="147" spans="1:32" ht="12" customHeight="1">
      <c r="B147" s="192" t="s">
        <v>2863</v>
      </c>
      <c r="C147" s="197" t="s">
        <v>654</v>
      </c>
      <c r="D147" s="197"/>
      <c r="E147" s="197"/>
      <c r="F147" s="197"/>
      <c r="G147" s="197"/>
      <c r="H147" s="197"/>
      <c r="I147" s="197"/>
      <c r="J147" s="197"/>
      <c r="K147" s="197"/>
      <c r="L147" s="197"/>
      <c r="M147" s="197"/>
      <c r="O147" s="219" t="s">
        <v>2863</v>
      </c>
      <c r="P147" s="1574" t="s">
        <v>3984</v>
      </c>
      <c r="Q147" s="232"/>
    </row>
    <row r="148" spans="1:32" ht="12" customHeight="1">
      <c r="B148" s="192" t="s">
        <v>2866</v>
      </c>
      <c r="C148" s="197" t="s">
        <v>3780</v>
      </c>
      <c r="D148" s="197"/>
      <c r="E148" s="197"/>
      <c r="F148" s="197"/>
      <c r="G148" s="197"/>
      <c r="H148" s="197"/>
      <c r="I148" s="197"/>
      <c r="J148" s="197"/>
      <c r="K148" s="197"/>
      <c r="L148" s="197"/>
      <c r="M148" s="197"/>
      <c r="O148" s="219" t="s">
        <v>2866</v>
      </c>
      <c r="P148" s="1574" t="s">
        <v>3984</v>
      </c>
      <c r="Q148" s="232"/>
    </row>
    <row r="149" spans="1:32" ht="12" customHeight="1">
      <c r="B149" s="192" t="s">
        <v>1146</v>
      </c>
      <c r="C149" s="197" t="s">
        <v>3781</v>
      </c>
      <c r="D149" s="197"/>
      <c r="E149" s="197"/>
      <c r="F149" s="197"/>
      <c r="G149" s="197"/>
      <c r="H149" s="197"/>
      <c r="I149" s="197"/>
      <c r="J149" s="197"/>
      <c r="K149" s="197"/>
      <c r="L149" s="197"/>
      <c r="M149" s="197"/>
      <c r="O149" s="219" t="s">
        <v>1146</v>
      </c>
      <c r="P149" s="1574" t="s">
        <v>3984</v>
      </c>
      <c r="Q149" s="232"/>
    </row>
    <row r="150" spans="1:32" ht="12" customHeight="1">
      <c r="B150" s="192"/>
      <c r="C150" s="197" t="s">
        <v>3765</v>
      </c>
      <c r="D150" s="197"/>
      <c r="E150" s="728" t="s">
        <v>2591</v>
      </c>
      <c r="F150" s="197" t="s">
        <v>3782</v>
      </c>
      <c r="G150" s="197"/>
      <c r="H150" s="197"/>
      <c r="I150" s="197"/>
      <c r="J150" s="197"/>
      <c r="K150" s="197"/>
      <c r="L150" s="197"/>
      <c r="M150" s="197"/>
      <c r="O150" s="728" t="s">
        <v>2591</v>
      </c>
      <c r="P150" s="1574" t="s">
        <v>3984</v>
      </c>
      <c r="Q150" s="232"/>
    </row>
    <row r="151" spans="1:32" ht="12" customHeight="1">
      <c r="B151" s="192"/>
      <c r="C151" s="197"/>
      <c r="D151" s="197"/>
      <c r="E151" s="728" t="s">
        <v>2592</v>
      </c>
      <c r="F151" s="197" t="s">
        <v>3783</v>
      </c>
      <c r="G151" s="197"/>
      <c r="H151" s="197"/>
      <c r="I151" s="197"/>
      <c r="J151" s="197"/>
      <c r="K151" s="197"/>
      <c r="L151" s="197"/>
      <c r="M151" s="197"/>
      <c r="O151" s="728" t="s">
        <v>2592</v>
      </c>
      <c r="P151" s="1574" t="s">
        <v>3984</v>
      </c>
      <c r="Q151" s="232"/>
    </row>
    <row r="152" spans="1:32" s="182" customFormat="1" ht="21.75" customHeight="1">
      <c r="B152" s="192"/>
      <c r="C152" s="197"/>
      <c r="D152" s="197"/>
      <c r="E152" s="219" t="s">
        <v>2593</v>
      </c>
      <c r="F152" s="1125" t="s">
        <v>3784</v>
      </c>
      <c r="G152" s="1125"/>
      <c r="H152" s="1125"/>
      <c r="I152" s="1125"/>
      <c r="J152" s="1125"/>
      <c r="K152" s="1125"/>
      <c r="L152" s="1125"/>
      <c r="M152" s="1125"/>
      <c r="N152" s="1125"/>
      <c r="O152" s="219" t="s">
        <v>2593</v>
      </c>
      <c r="P152" s="1596" t="s">
        <v>3984</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74" t="s">
        <v>3984</v>
      </c>
      <c r="Q153" s="232"/>
    </row>
    <row r="154" spans="1:32" s="182" customFormat="1" ht="21.75" customHeight="1">
      <c r="B154" s="192"/>
      <c r="C154" s="197"/>
      <c r="D154" s="197"/>
      <c r="E154" s="219" t="s">
        <v>2154</v>
      </c>
      <c r="F154" s="1125" t="s">
        <v>3786</v>
      </c>
      <c r="G154" s="1125"/>
      <c r="H154" s="1125"/>
      <c r="I154" s="1125"/>
      <c r="J154" s="1125"/>
      <c r="K154" s="1125"/>
      <c r="L154" s="1125"/>
      <c r="M154" s="1125"/>
      <c r="N154" s="1125"/>
      <c r="O154" s="219" t="s">
        <v>2154</v>
      </c>
      <c r="P154" s="1596"/>
      <c r="Q154" s="354"/>
      <c r="AE154" s="806"/>
      <c r="AF154" s="806"/>
    </row>
    <row r="155" spans="1:32" ht="21.75" customHeight="1">
      <c r="B155" s="192" t="s">
        <v>3005</v>
      </c>
      <c r="C155" s="1125" t="s">
        <v>3787</v>
      </c>
      <c r="D155" s="1125"/>
      <c r="E155" s="1125"/>
      <c r="F155" s="1125"/>
      <c r="G155" s="1125"/>
      <c r="H155" s="1125"/>
      <c r="I155" s="1125"/>
      <c r="J155" s="1125"/>
      <c r="K155" s="1125"/>
      <c r="L155" s="1125"/>
      <c r="M155" s="1125"/>
      <c r="N155" s="1125"/>
      <c r="O155" s="219" t="s">
        <v>3005</v>
      </c>
      <c r="P155" s="1574" t="s">
        <v>3984</v>
      </c>
      <c r="Q155" s="232"/>
    </row>
    <row r="156" spans="1:32" ht="12" customHeight="1">
      <c r="B156" s="192" t="s">
        <v>2589</v>
      </c>
      <c r="C156" s="197" t="s">
        <v>3353</v>
      </c>
      <c r="D156" s="197"/>
      <c r="E156" s="197"/>
      <c r="F156" s="197"/>
      <c r="G156" s="197"/>
      <c r="H156" s="197"/>
      <c r="I156" s="197"/>
      <c r="J156" s="197"/>
      <c r="K156" s="197"/>
      <c r="L156" s="197"/>
      <c r="M156" s="197"/>
      <c r="O156" s="219" t="s">
        <v>2589</v>
      </c>
      <c r="P156" s="1574" t="s">
        <v>3984</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11.45" customHeight="1">
      <c r="A158" s="1578"/>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3799</v>
      </c>
      <c r="C162" s="856"/>
      <c r="D162" s="855"/>
      <c r="E162" s="198"/>
      <c r="F162" s="198"/>
      <c r="G162" s="855"/>
      <c r="J162" s="1145"/>
      <c r="K162" s="1145"/>
      <c r="L162" s="1145"/>
      <c r="M162" s="1145"/>
      <c r="N162" s="1145"/>
      <c r="O162" s="181" t="s">
        <v>2740</v>
      </c>
      <c r="P162" s="1116"/>
      <c r="Q162" s="1117"/>
    </row>
    <row r="163" spans="1:31" ht="12" customHeight="1">
      <c r="A163" s="189"/>
      <c r="B163" s="55" t="s">
        <v>2863</v>
      </c>
      <c r="C163" s="1125" t="s">
        <v>105</v>
      </c>
      <c r="D163" s="1125"/>
      <c r="E163" s="1125"/>
      <c r="F163" s="1125"/>
      <c r="G163" s="1125"/>
      <c r="H163" s="79" t="s">
        <v>2591</v>
      </c>
      <c r="I163" s="62" t="s">
        <v>188</v>
      </c>
      <c r="J163" s="1584" t="s">
        <v>4066</v>
      </c>
      <c r="K163" s="1585"/>
      <c r="L163" s="1585"/>
      <c r="M163" s="1585"/>
      <c r="N163" s="1586"/>
      <c r="O163" s="79" t="s">
        <v>2591</v>
      </c>
      <c r="P163" s="1574" t="s">
        <v>3984</v>
      </c>
      <c r="Q163" s="232"/>
    </row>
    <row r="164" spans="1:31" ht="12" customHeight="1">
      <c r="A164" s="189"/>
      <c r="B164" s="180"/>
      <c r="C164" s="143"/>
      <c r="D164" s="143"/>
      <c r="E164" s="143"/>
      <c r="F164" s="143"/>
      <c r="H164" s="79" t="s">
        <v>2592</v>
      </c>
      <c r="I164" s="62" t="s">
        <v>2205</v>
      </c>
      <c r="J164" s="1584" t="s">
        <v>4029</v>
      </c>
      <c r="K164" s="1585"/>
      <c r="L164" s="1585"/>
      <c r="M164" s="1585"/>
      <c r="N164" s="1586"/>
      <c r="O164" s="79" t="s">
        <v>2592</v>
      </c>
      <c r="P164" s="1574" t="s">
        <v>3984</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578"/>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3800</v>
      </c>
      <c r="C170" s="5"/>
      <c r="D170" s="115"/>
      <c r="E170" s="115"/>
      <c r="F170" s="115"/>
      <c r="G170" s="855"/>
      <c r="H170" s="855"/>
      <c r="I170" s="855"/>
      <c r="J170" s="855"/>
      <c r="K170" s="855"/>
      <c r="L170" s="855"/>
      <c r="M170" s="855"/>
      <c r="O170" s="181" t="s">
        <v>2740</v>
      </c>
      <c r="P170" s="1116"/>
      <c r="Q170" s="1117"/>
    </row>
    <row r="171" spans="1:31" ht="4.1500000000000004" customHeight="1"/>
    <row r="172" spans="1:31" ht="11.45" customHeight="1">
      <c r="B172" s="192" t="s">
        <v>2863</v>
      </c>
      <c r="C172" s="635" t="s">
        <v>2591</v>
      </c>
      <c r="D172" s="634" t="s">
        <v>747</v>
      </c>
      <c r="E172" s="634"/>
      <c r="F172" s="634"/>
      <c r="G172" s="634"/>
      <c r="H172" s="634"/>
      <c r="I172" s="634"/>
      <c r="J172" s="634"/>
      <c r="K172" s="634"/>
      <c r="L172" s="634"/>
      <c r="M172" s="634"/>
      <c r="N172" s="634"/>
      <c r="O172" s="219" t="s">
        <v>2082</v>
      </c>
      <c r="P172" s="1574" t="s">
        <v>3983</v>
      </c>
      <c r="Q172" s="232"/>
    </row>
    <row r="173" spans="1:31" ht="11.45" customHeight="1">
      <c r="B173" s="192"/>
      <c r="C173" s="635" t="s">
        <v>2592</v>
      </c>
      <c r="D173" s="634" t="s">
        <v>2059</v>
      </c>
      <c r="E173" s="634"/>
      <c r="F173" s="634"/>
      <c r="G173" s="634"/>
      <c r="H173" s="634"/>
      <c r="I173" s="634"/>
      <c r="J173" s="634"/>
      <c r="K173" s="634"/>
      <c r="L173" s="634"/>
      <c r="M173" s="634"/>
      <c r="N173" s="634"/>
      <c r="O173" s="219" t="s">
        <v>2592</v>
      </c>
      <c r="P173" s="1574"/>
      <c r="Q173" s="232"/>
    </row>
    <row r="174" spans="1:31" ht="11.45" customHeight="1">
      <c r="A174" s="189"/>
      <c r="B174" s="192" t="s">
        <v>2866</v>
      </c>
      <c r="C174" s="1125" t="s">
        <v>2721</v>
      </c>
      <c r="D174" s="1125"/>
      <c r="E174" s="1125"/>
      <c r="F174" s="1125"/>
      <c r="G174" s="1125"/>
      <c r="H174" s="79" t="s">
        <v>2591</v>
      </c>
      <c r="I174" s="62" t="s">
        <v>895</v>
      </c>
      <c r="J174" s="1584" t="s">
        <v>4055</v>
      </c>
      <c r="K174" s="1585"/>
      <c r="L174" s="1585"/>
      <c r="M174" s="1585"/>
      <c r="N174" s="1586"/>
      <c r="O174" s="79" t="s">
        <v>2031</v>
      </c>
      <c r="P174" s="1574" t="s">
        <v>3984</v>
      </c>
      <c r="Q174" s="232"/>
    </row>
    <row r="175" spans="1:31" ht="11.45" customHeight="1">
      <c r="A175" s="189"/>
      <c r="B175" s="861"/>
      <c r="C175" s="1125"/>
      <c r="D175" s="1125"/>
      <c r="E175" s="1125"/>
      <c r="F175" s="1125"/>
      <c r="G175" s="1125"/>
      <c r="H175" s="79" t="s">
        <v>2592</v>
      </c>
      <c r="I175" s="62" t="s">
        <v>125</v>
      </c>
      <c r="J175" s="1584" t="s">
        <v>4055</v>
      </c>
      <c r="K175" s="1585"/>
      <c r="L175" s="1585"/>
      <c r="M175" s="1585"/>
      <c r="N175" s="1586"/>
      <c r="O175" s="79" t="s">
        <v>2592</v>
      </c>
      <c r="P175" s="1574" t="s">
        <v>3984</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11.45" customHeight="1">
      <c r="A177" s="1578"/>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3801</v>
      </c>
      <c r="C181" s="5"/>
      <c r="D181" s="115"/>
      <c r="E181" s="115"/>
      <c r="F181" s="115"/>
      <c r="G181" s="115"/>
      <c r="H181" s="855"/>
      <c r="I181" s="855"/>
      <c r="J181" s="855"/>
      <c r="K181" s="855"/>
      <c r="L181" s="855"/>
      <c r="M181" s="855"/>
      <c r="O181" s="181" t="s">
        <v>2740</v>
      </c>
      <c r="P181" s="1116"/>
      <c r="Q181" s="1117"/>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4" t="s">
        <v>3984</v>
      </c>
      <c r="Q183" s="232"/>
    </row>
    <row r="184" spans="1:32" ht="11.45" customHeight="1">
      <c r="B184" s="55" t="s">
        <v>2866</v>
      </c>
      <c r="C184" s="62" t="s">
        <v>176</v>
      </c>
      <c r="D184" s="62"/>
      <c r="E184" s="62"/>
      <c r="F184" s="62"/>
      <c r="G184" s="62"/>
      <c r="H184" s="62"/>
      <c r="I184" s="50"/>
      <c r="J184" s="50"/>
      <c r="K184" s="50"/>
      <c r="L184" s="190"/>
      <c r="M184" s="190"/>
      <c r="O184" s="219" t="s">
        <v>2866</v>
      </c>
      <c r="P184" s="1574" t="s">
        <v>3984</v>
      </c>
      <c r="Q184" s="232"/>
    </row>
    <row r="185" spans="1:32" s="199" customFormat="1" ht="11.45" customHeight="1">
      <c r="B185" s="55" t="s">
        <v>1146</v>
      </c>
      <c r="C185" s="62" t="s">
        <v>177</v>
      </c>
      <c r="D185" s="62"/>
      <c r="E185" s="62"/>
      <c r="F185" s="62"/>
      <c r="G185" s="62"/>
      <c r="H185" s="62"/>
      <c r="I185" s="126"/>
      <c r="J185" s="126"/>
      <c r="K185" s="126"/>
      <c r="L185" s="197"/>
      <c r="M185" s="197"/>
      <c r="N185" s="43"/>
      <c r="O185" s="219" t="s">
        <v>1146</v>
      </c>
      <c r="P185" s="1574" t="s">
        <v>3984</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4" t="s">
        <v>3983</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13.15" customHeight="1">
      <c r="A188" s="1578" t="s">
        <v>4030</v>
      </c>
      <c r="B188" s="1579"/>
      <c r="C188" s="1579"/>
      <c r="D188" s="1579"/>
      <c r="E188" s="1579"/>
      <c r="F188" s="1579"/>
      <c r="G188" s="1579"/>
      <c r="H188" s="1579"/>
      <c r="I188" s="1579"/>
      <c r="J188" s="1579"/>
      <c r="K188" s="1579"/>
      <c r="L188" s="1579"/>
      <c r="M188" s="1579"/>
      <c r="N188" s="1579"/>
      <c r="O188" s="1579"/>
      <c r="P188" s="1579"/>
      <c r="Q188" s="1580"/>
      <c r="R188" s="737" t="s">
        <v>1807</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3802</v>
      </c>
      <c r="C193" s="154"/>
      <c r="D193" s="855"/>
      <c r="E193" s="855"/>
      <c r="F193" s="855"/>
      <c r="G193" s="855"/>
      <c r="H193" s="855"/>
      <c r="I193" s="855"/>
      <c r="J193" s="855"/>
      <c r="K193" s="855"/>
      <c r="L193" s="855"/>
      <c r="M193" s="855"/>
      <c r="O193" s="181" t="s">
        <v>2740</v>
      </c>
      <c r="P193" s="1116"/>
      <c r="Q193" s="1117"/>
    </row>
    <row r="194" spans="1:32" s="31" customFormat="1" ht="11.45" customHeight="1">
      <c r="B194" s="195" t="s">
        <v>1717</v>
      </c>
      <c r="N194" s="166"/>
      <c r="P194" s="1574" t="s">
        <v>3983</v>
      </c>
      <c r="Q194" s="232"/>
      <c r="AE194" s="160"/>
      <c r="AF194" s="160"/>
    </row>
    <row r="195" spans="1:32" ht="12" customHeight="1">
      <c r="B195" s="55" t="s">
        <v>2863</v>
      </c>
      <c r="C195" s="115" t="s">
        <v>1951</v>
      </c>
      <c r="D195" s="50"/>
      <c r="E195" s="50"/>
      <c r="F195" s="50"/>
      <c r="G195" s="50"/>
      <c r="H195" s="50"/>
      <c r="I195" s="50"/>
      <c r="J195" s="50"/>
      <c r="K195" s="50"/>
      <c r="L195" s="50"/>
      <c r="M195" s="50"/>
    </row>
    <row r="196" spans="1:32" ht="11.45" customHeight="1">
      <c r="B196" s="55"/>
      <c r="C196" s="79" t="s">
        <v>2591</v>
      </c>
      <c r="D196" s="62" t="s">
        <v>2810</v>
      </c>
      <c r="E196" s="62"/>
      <c r="F196" s="62"/>
      <c r="G196" s="62"/>
      <c r="H196" s="62"/>
      <c r="I196" s="50"/>
      <c r="J196" s="50"/>
      <c r="K196" s="50"/>
      <c r="L196" s="79" t="s">
        <v>2082</v>
      </c>
      <c r="M196" s="1584" t="s">
        <v>4031</v>
      </c>
      <c r="N196" s="1585"/>
      <c r="O196" s="1586"/>
      <c r="P196" s="1574" t="s">
        <v>4025</v>
      </c>
      <c r="Q196" s="232"/>
    </row>
    <row r="197" spans="1:32" ht="11.45" customHeight="1">
      <c r="B197" s="55"/>
      <c r="C197" s="79" t="s">
        <v>2592</v>
      </c>
      <c r="D197" s="38" t="s">
        <v>180</v>
      </c>
      <c r="E197" s="38"/>
      <c r="F197" s="38"/>
      <c r="G197" s="38"/>
      <c r="H197" s="38"/>
      <c r="I197" s="50"/>
      <c r="J197" s="50"/>
      <c r="K197" s="50"/>
      <c r="L197" s="79" t="s">
        <v>2083</v>
      </c>
      <c r="M197" s="1584" t="s">
        <v>4032</v>
      </c>
      <c r="N197" s="1585"/>
      <c r="O197" s="1586"/>
      <c r="P197" s="1574" t="s">
        <v>4025</v>
      </c>
      <c r="Q197" s="232"/>
    </row>
    <row r="198" spans="1:32" ht="11.45" customHeight="1">
      <c r="B198" s="55"/>
      <c r="C198" s="79" t="s">
        <v>2593</v>
      </c>
      <c r="D198" s="38" t="s">
        <v>797</v>
      </c>
      <c r="E198" s="38"/>
      <c r="F198" s="38"/>
      <c r="G198" s="38"/>
      <c r="H198" s="38"/>
      <c r="I198" s="50"/>
      <c r="J198" s="50"/>
      <c r="K198" s="50"/>
      <c r="L198" s="79" t="s">
        <v>2084</v>
      </c>
      <c r="M198" s="1607" t="s">
        <v>4033</v>
      </c>
      <c r="N198" s="1608"/>
      <c r="O198" s="1609"/>
      <c r="P198" s="1574" t="s">
        <v>4025</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74" t="s">
        <v>4025</v>
      </c>
      <c r="Q200" s="232"/>
    </row>
    <row r="201" spans="1:32" ht="10.9" customHeight="1">
      <c r="B201" s="55"/>
      <c r="C201" s="62" t="s">
        <v>3520</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1255</v>
      </c>
      <c r="J202" s="445" t="s">
        <v>1256</v>
      </c>
      <c r="L202" s="62" t="s">
        <v>2</v>
      </c>
      <c r="M202" s="50"/>
      <c r="N202" s="50"/>
      <c r="O202" s="444"/>
      <c r="P202" s="446" t="s">
        <v>1255</v>
      </c>
      <c r="Q202" s="445" t="s">
        <v>1256</v>
      </c>
    </row>
    <row r="203" spans="1:32" s="51" customFormat="1" ht="11.45" customHeight="1">
      <c r="A203" s="126"/>
      <c r="B203" s="61"/>
      <c r="C203" s="79" t="s">
        <v>2591</v>
      </c>
      <c r="D203" s="1610" t="s">
        <v>4034</v>
      </c>
      <c r="E203" s="1611"/>
      <c r="F203" s="1611"/>
      <c r="G203" s="1611"/>
      <c r="H203" s="1612"/>
      <c r="I203" s="447"/>
      <c r="J203" s="292"/>
      <c r="K203" s="79" t="s">
        <v>2593</v>
      </c>
      <c r="L203" s="1610"/>
      <c r="M203" s="1611"/>
      <c r="N203" s="1611"/>
      <c r="O203" s="1612"/>
      <c r="P203" s="355"/>
      <c r="Q203" s="292"/>
      <c r="AE203" s="64"/>
      <c r="AF203" s="64"/>
    </row>
    <row r="204" spans="1:32" s="51" customFormat="1" ht="11.45" customHeight="1">
      <c r="A204" s="126"/>
      <c r="B204" s="61"/>
      <c r="C204" s="79" t="s">
        <v>2592</v>
      </c>
      <c r="D204" s="1613" t="s">
        <v>2487</v>
      </c>
      <c r="E204" s="1614"/>
      <c r="F204" s="1614"/>
      <c r="G204" s="1614"/>
      <c r="H204" s="1615"/>
      <c r="I204" s="652"/>
      <c r="J204" s="293"/>
      <c r="K204" s="79" t="s">
        <v>3332</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1146</v>
      </c>
      <c r="C206" s="296" t="s">
        <v>1952</v>
      </c>
      <c r="D206" s="62"/>
      <c r="E206" s="62"/>
      <c r="F206" s="62"/>
      <c r="G206" s="62"/>
      <c r="H206" s="62"/>
      <c r="I206" s="62"/>
      <c r="J206" s="62"/>
      <c r="K206" s="50"/>
      <c r="L206" s="62"/>
      <c r="M206" s="62"/>
      <c r="O206" s="803" t="s">
        <v>1146</v>
      </c>
      <c r="P206" s="1574" t="s">
        <v>4025</v>
      </c>
      <c r="Q206" s="232"/>
    </row>
    <row r="207" spans="1:32" ht="11.45" customHeight="1">
      <c r="B207" s="55"/>
      <c r="C207" s="79" t="s">
        <v>2591</v>
      </c>
      <c r="D207" s="62" t="s">
        <v>189</v>
      </c>
      <c r="E207" s="62"/>
      <c r="F207" s="62"/>
      <c r="G207" s="62"/>
      <c r="H207" s="62"/>
      <c r="I207" s="50"/>
      <c r="J207" s="40"/>
      <c r="K207" s="50"/>
      <c r="L207" s="40"/>
      <c r="M207" s="40"/>
      <c r="O207" s="79" t="s">
        <v>2591</v>
      </c>
      <c r="P207" s="1574" t="s">
        <v>3984</v>
      </c>
      <c r="Q207" s="232"/>
    </row>
    <row r="208" spans="1:32" ht="11.45" customHeight="1">
      <c r="C208" s="79" t="s">
        <v>2592</v>
      </c>
      <c r="D208" s="38" t="s">
        <v>2491</v>
      </c>
      <c r="E208" s="38"/>
      <c r="F208" s="38"/>
      <c r="G208" s="38"/>
      <c r="H208" s="38"/>
      <c r="I208" s="50"/>
      <c r="J208" s="40"/>
      <c r="K208" s="50"/>
      <c r="L208" s="40"/>
      <c r="M208" s="40"/>
      <c r="O208" s="79" t="s">
        <v>2592</v>
      </c>
      <c r="P208" s="1574" t="s">
        <v>3984</v>
      </c>
      <c r="Q208" s="232"/>
    </row>
    <row r="209" spans="1:31" ht="11.45" customHeight="1">
      <c r="C209" s="79" t="s">
        <v>2593</v>
      </c>
      <c r="D209" s="38" t="s">
        <v>2108</v>
      </c>
      <c r="E209" s="38"/>
      <c r="F209" s="38"/>
      <c r="G209" s="38"/>
      <c r="H209" s="38"/>
      <c r="I209" s="50"/>
      <c r="J209" s="40"/>
      <c r="K209" s="50"/>
      <c r="L209" s="40"/>
      <c r="M209" s="40"/>
      <c r="O209" s="79" t="s">
        <v>2593</v>
      </c>
      <c r="P209" s="1574" t="s">
        <v>3984</v>
      </c>
      <c r="Q209" s="232"/>
    </row>
    <row r="210" spans="1:31" ht="11.45" customHeight="1">
      <c r="B210" s="55"/>
      <c r="C210" s="79" t="s">
        <v>3332</v>
      </c>
      <c r="D210" s="38" t="s">
        <v>190</v>
      </c>
      <c r="E210" s="38"/>
      <c r="F210" s="38"/>
      <c r="G210" s="38"/>
      <c r="H210" s="38"/>
      <c r="I210" s="50"/>
      <c r="J210" s="40"/>
      <c r="K210" s="50"/>
      <c r="L210" s="40"/>
      <c r="M210" s="40"/>
      <c r="O210" s="79" t="s">
        <v>3332</v>
      </c>
      <c r="P210" s="1574" t="s">
        <v>3984</v>
      </c>
      <c r="Q210" s="232"/>
    </row>
    <row r="211" spans="1:31" ht="11.45" customHeight="1">
      <c r="B211" s="55"/>
      <c r="C211" s="79" t="s">
        <v>2154</v>
      </c>
      <c r="D211" s="62" t="s">
        <v>1257</v>
      </c>
      <c r="E211" s="62"/>
      <c r="F211" s="62"/>
      <c r="G211" s="62"/>
      <c r="H211" s="62"/>
      <c r="I211" s="50"/>
      <c r="J211" s="40"/>
      <c r="K211" s="50"/>
      <c r="L211" s="40"/>
      <c r="M211" s="40"/>
      <c r="O211" s="79" t="s">
        <v>1258</v>
      </c>
      <c r="P211" s="1574" t="s">
        <v>3984</v>
      </c>
      <c r="Q211" s="232"/>
    </row>
    <row r="212" spans="1:31" ht="11.45" customHeight="1">
      <c r="B212" s="55"/>
      <c r="C212" s="79"/>
      <c r="D212" s="62" t="s">
        <v>2085</v>
      </c>
      <c r="E212" s="62"/>
      <c r="F212" s="62"/>
      <c r="G212" s="62"/>
      <c r="H212" s="62"/>
      <c r="I212" s="50"/>
      <c r="J212" s="40"/>
      <c r="K212" s="50"/>
      <c r="L212" s="40"/>
      <c r="M212" s="40"/>
      <c r="O212" s="79" t="s">
        <v>1259</v>
      </c>
      <c r="P212" s="1574"/>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74" t="s">
        <v>4025</v>
      </c>
      <c r="Q214" s="232"/>
    </row>
    <row r="215" spans="1:31" ht="11.45" customHeight="1">
      <c r="B215" s="55"/>
      <c r="C215" s="79" t="s">
        <v>2591</v>
      </c>
      <c r="D215" s="47" t="s">
        <v>1808</v>
      </c>
      <c r="E215" s="50"/>
      <c r="F215" s="50"/>
      <c r="G215" s="47"/>
      <c r="H215" s="38"/>
      <c r="I215" s="50"/>
      <c r="J215" s="38"/>
      <c r="K215" s="50"/>
      <c r="L215" s="38"/>
      <c r="M215" s="38"/>
      <c r="O215" s="79" t="s">
        <v>2591</v>
      </c>
      <c r="P215" s="1574" t="s">
        <v>3984</v>
      </c>
      <c r="Q215" s="232"/>
    </row>
    <row r="216" spans="1:31" ht="11.45" customHeight="1">
      <c r="B216" s="55"/>
      <c r="C216" s="79" t="s">
        <v>2592</v>
      </c>
      <c r="D216" s="47" t="s">
        <v>181</v>
      </c>
      <c r="E216" s="50"/>
      <c r="F216" s="50"/>
      <c r="G216" s="38"/>
      <c r="H216" s="38"/>
      <c r="I216" s="50"/>
      <c r="J216" s="38"/>
      <c r="K216" s="50"/>
      <c r="L216" s="38"/>
      <c r="M216" s="38"/>
      <c r="O216" s="79" t="s">
        <v>2592</v>
      </c>
      <c r="P216" s="1574" t="s">
        <v>3984</v>
      </c>
      <c r="Q216" s="232"/>
    </row>
    <row r="217" spans="1:31" ht="11.45" customHeight="1">
      <c r="B217" s="55"/>
      <c r="C217" s="79" t="s">
        <v>2593</v>
      </c>
      <c r="D217" s="38" t="s">
        <v>2469</v>
      </c>
      <c r="E217" s="50"/>
      <c r="F217" s="50"/>
      <c r="G217" s="38"/>
      <c r="H217" s="38"/>
      <c r="I217" s="50"/>
      <c r="J217" s="38"/>
      <c r="K217" s="50"/>
      <c r="L217" s="38"/>
      <c r="M217" s="38"/>
      <c r="O217" s="79" t="s">
        <v>3341</v>
      </c>
      <c r="P217" s="1574" t="s">
        <v>3984</v>
      </c>
      <c r="Q217" s="232"/>
    </row>
    <row r="218" spans="1:31" ht="11.45" customHeight="1">
      <c r="B218" s="44"/>
      <c r="C218" s="50"/>
      <c r="D218" s="38" t="s">
        <v>1853</v>
      </c>
      <c r="E218" s="50"/>
      <c r="F218" s="50"/>
      <c r="G218" s="38"/>
      <c r="H218" s="38"/>
      <c r="I218" s="50"/>
      <c r="J218" s="38"/>
      <c r="K218" s="50"/>
      <c r="L218" s="38"/>
      <c r="M218" s="38"/>
      <c r="O218" s="79" t="s">
        <v>3342</v>
      </c>
      <c r="P218" s="1574"/>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578"/>
      <c r="B220" s="1579"/>
      <c r="C220" s="1579"/>
      <c r="D220" s="1579"/>
      <c r="E220" s="1579"/>
      <c r="F220" s="1579"/>
      <c r="G220" s="1579"/>
      <c r="H220" s="1579"/>
      <c r="I220" s="1579"/>
      <c r="J220" s="1579"/>
      <c r="K220" s="1579"/>
      <c r="L220" s="1579"/>
      <c r="M220" s="1579"/>
      <c r="N220" s="1579"/>
      <c r="O220" s="1579"/>
      <c r="P220" s="1579"/>
      <c r="Q220" s="1580"/>
      <c r="R220" s="736" t="s">
        <v>1807</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3803</v>
      </c>
      <c r="C224" s="5"/>
      <c r="D224" s="115"/>
      <c r="E224" s="115"/>
      <c r="F224" s="115"/>
      <c r="G224" s="115"/>
      <c r="H224" s="855"/>
      <c r="I224" s="855"/>
      <c r="J224" s="855"/>
      <c r="K224" s="855"/>
      <c r="L224" s="855"/>
      <c r="M224" s="855"/>
      <c r="O224" s="181" t="s">
        <v>2740</v>
      </c>
      <c r="P224" s="1116"/>
      <c r="Q224" s="1117"/>
    </row>
    <row r="225" spans="1:32" ht="4.9000000000000004" customHeight="1"/>
    <row r="226" spans="1:32" ht="11.45" customHeight="1">
      <c r="B226" s="55" t="s">
        <v>2863</v>
      </c>
      <c r="C226" s="62" t="s">
        <v>1824</v>
      </c>
      <c r="D226" s="50"/>
      <c r="E226" s="62"/>
      <c r="F226" s="62"/>
      <c r="G226" s="62"/>
      <c r="H226" s="62"/>
      <c r="I226" s="50"/>
      <c r="J226" s="50"/>
      <c r="K226" s="50"/>
      <c r="L226" s="803" t="s">
        <v>2863</v>
      </c>
      <c r="M226" s="1584" t="s">
        <v>2627</v>
      </c>
      <c r="N226" s="1585"/>
      <c r="O226" s="1586"/>
      <c r="P226" s="1149" t="s">
        <v>2627</v>
      </c>
      <c r="Q226" s="1150"/>
    </row>
    <row r="227" spans="1:32" ht="11.45" customHeight="1">
      <c r="B227" s="55" t="s">
        <v>2866</v>
      </c>
      <c r="C227" s="62" t="s">
        <v>1796</v>
      </c>
      <c r="D227" s="62"/>
      <c r="E227" s="62"/>
      <c r="F227" s="62"/>
      <c r="G227" s="62"/>
      <c r="H227" s="62"/>
      <c r="I227" s="50"/>
      <c r="J227" s="50"/>
      <c r="K227" s="50"/>
      <c r="L227" s="803" t="s">
        <v>2866</v>
      </c>
      <c r="M227" s="1616"/>
      <c r="N227" s="1617"/>
      <c r="O227" s="1618"/>
      <c r="P227" s="1130"/>
      <c r="Q227" s="1131"/>
    </row>
    <row r="228" spans="1:32" s="199" customFormat="1" ht="11.45" customHeight="1">
      <c r="B228" s="55" t="s">
        <v>1146</v>
      </c>
      <c r="C228" s="62" t="s">
        <v>2824</v>
      </c>
      <c r="D228" s="62"/>
      <c r="E228" s="62"/>
      <c r="F228" s="62"/>
      <c r="G228" s="62"/>
      <c r="H228" s="62"/>
      <c r="I228" s="126"/>
      <c r="J228" s="126"/>
      <c r="K228" s="126"/>
      <c r="L228" s="803" t="s">
        <v>1146</v>
      </c>
      <c r="M228" s="1584"/>
      <c r="N228" s="1585"/>
      <c r="O228" s="1586"/>
      <c r="P228" s="1149"/>
      <c r="Q228" s="1150"/>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74"/>
      <c r="Q229" s="232"/>
      <c r="AE229" s="807"/>
      <c r="AF229" s="807"/>
    </row>
    <row r="230" spans="1:32" s="199" customFormat="1" ht="22.15" customHeight="1">
      <c r="B230" s="192" t="s">
        <v>2589</v>
      </c>
      <c r="C230" s="1125" t="s">
        <v>1840</v>
      </c>
      <c r="D230" s="1125"/>
      <c r="E230" s="1125"/>
      <c r="F230" s="1125"/>
      <c r="G230" s="1125"/>
      <c r="H230" s="1125"/>
      <c r="I230" s="1125"/>
      <c r="J230" s="1125"/>
      <c r="K230" s="1125"/>
      <c r="L230" s="1125"/>
      <c r="M230" s="1125"/>
      <c r="N230" s="1125"/>
      <c r="O230" s="219" t="s">
        <v>2589</v>
      </c>
      <c r="P230" s="1574"/>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578"/>
      <c r="B232" s="1579"/>
      <c r="C232" s="1579"/>
      <c r="D232" s="1579"/>
      <c r="E232" s="1579"/>
      <c r="F232" s="1579"/>
      <c r="G232" s="1579"/>
      <c r="H232" s="1579"/>
      <c r="I232" s="1579"/>
      <c r="J232" s="1579"/>
      <c r="K232" s="1579"/>
      <c r="L232" s="1579"/>
      <c r="M232" s="1579"/>
      <c r="N232" s="1579"/>
      <c r="O232" s="1579"/>
      <c r="P232" s="1579"/>
      <c r="Q232" s="1580"/>
      <c r="R232" s="736" t="s">
        <v>1807</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3804</v>
      </c>
      <c r="C236" s="5"/>
      <c r="D236" s="115"/>
      <c r="E236" s="115"/>
      <c r="F236" s="115"/>
      <c r="G236" s="115"/>
      <c r="H236" s="855"/>
      <c r="I236" s="855"/>
      <c r="J236" s="855"/>
      <c r="K236" s="855"/>
      <c r="L236" s="855"/>
      <c r="M236" s="855"/>
      <c r="O236" s="181" t="s">
        <v>2740</v>
      </c>
      <c r="P236" s="1116"/>
      <c r="Q236" s="1117"/>
    </row>
    <row r="237" spans="1:32" ht="3" customHeight="1"/>
    <row r="238" spans="1:32" s="661" customFormat="1" ht="11.25" customHeight="1">
      <c r="B238" s="192" t="s">
        <v>2863</v>
      </c>
      <c r="C238" s="1125" t="s">
        <v>3847</v>
      </c>
      <c r="D238" s="1125"/>
      <c r="E238" s="1125"/>
      <c r="F238" s="1125"/>
      <c r="G238" s="1125"/>
      <c r="H238" s="1125"/>
      <c r="I238" s="1125"/>
      <c r="J238" s="1125"/>
      <c r="K238" s="1125"/>
      <c r="L238" s="1125"/>
      <c r="M238" s="1125"/>
      <c r="N238" s="1125"/>
      <c r="O238" s="219" t="s">
        <v>2863</v>
      </c>
      <c r="P238" s="1596" t="s">
        <v>3984</v>
      </c>
      <c r="Q238" s="354"/>
      <c r="AE238" s="808"/>
      <c r="AF238" s="808"/>
    </row>
    <row r="239" spans="1:32" s="199" customFormat="1" ht="11.45" customHeight="1">
      <c r="B239" s="55" t="s">
        <v>2866</v>
      </c>
      <c r="C239" s="62" t="s">
        <v>1978</v>
      </c>
      <c r="D239" s="62"/>
      <c r="E239" s="62"/>
      <c r="F239" s="62"/>
      <c r="G239" s="62"/>
      <c r="H239" s="62"/>
      <c r="I239" s="62"/>
      <c r="J239" s="62"/>
      <c r="K239" s="62"/>
      <c r="L239" s="62"/>
      <c r="M239" s="62"/>
      <c r="O239" s="803" t="s">
        <v>2866</v>
      </c>
      <c r="P239" s="1574" t="s">
        <v>3984</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1807</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3805</v>
      </c>
      <c r="C245" s="856"/>
      <c r="D245" s="855"/>
      <c r="E245" s="855"/>
      <c r="F245" s="855"/>
      <c r="G245" s="855"/>
      <c r="H245" s="855"/>
      <c r="I245" s="855"/>
      <c r="J245" s="855"/>
      <c r="K245" s="855"/>
      <c r="L245" s="855"/>
      <c r="M245" s="855"/>
      <c r="O245" s="181" t="s">
        <v>2740</v>
      </c>
      <c r="P245" s="1116"/>
      <c r="Q245" s="1117"/>
    </row>
    <row r="246" spans="1:32" ht="3" customHeight="1"/>
    <row r="247" spans="1:32" s="661" customFormat="1" ht="24" customHeight="1">
      <c r="B247" s="192" t="s">
        <v>2863</v>
      </c>
      <c r="C247" s="1121" t="s">
        <v>3891</v>
      </c>
      <c r="D247" s="1006"/>
      <c r="E247" s="1006"/>
      <c r="F247" s="1006"/>
      <c r="G247" s="1006"/>
      <c r="H247" s="1006"/>
      <c r="I247" s="1006"/>
      <c r="J247" s="1006"/>
      <c r="K247" s="1006"/>
      <c r="L247" s="1006"/>
      <c r="M247" s="1006"/>
      <c r="N247" s="1006"/>
      <c r="O247" s="219" t="s">
        <v>2863</v>
      </c>
      <c r="P247" s="1574" t="s">
        <v>4025</v>
      </c>
      <c r="Q247" s="232"/>
      <c r="AE247" s="808"/>
      <c r="AF247" s="808"/>
    </row>
    <row r="248" spans="1:32" s="661" customFormat="1" ht="24" customHeight="1">
      <c r="B248" s="192" t="s">
        <v>2866</v>
      </c>
      <c r="C248" s="1121" t="s">
        <v>3892</v>
      </c>
      <c r="D248" s="1006"/>
      <c r="E248" s="1006"/>
      <c r="F248" s="1006"/>
      <c r="G248" s="1006"/>
      <c r="H248" s="1006"/>
      <c r="I248" s="1006"/>
      <c r="J248" s="1006"/>
      <c r="K248" s="1006"/>
      <c r="L248" s="1006"/>
      <c r="M248" s="1006"/>
      <c r="N248" s="1006"/>
      <c r="O248" s="219" t="s">
        <v>2866</v>
      </c>
      <c r="P248" s="1574" t="s">
        <v>4025</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1807</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3806</v>
      </c>
      <c r="C254" s="200"/>
      <c r="D254" s="857"/>
      <c r="E254" s="855"/>
      <c r="F254" s="855"/>
      <c r="G254" s="855"/>
      <c r="H254" s="855"/>
      <c r="I254" s="855"/>
      <c r="J254" s="855"/>
      <c r="K254" s="855"/>
      <c r="L254" s="855"/>
      <c r="M254" s="855"/>
      <c r="O254" s="181" t="s">
        <v>2740</v>
      </c>
      <c r="P254" s="1116"/>
      <c r="Q254" s="1117"/>
    </row>
    <row r="255" spans="1:32" s="199" customFormat="1" ht="46.5" customHeight="1">
      <c r="B255" s="192" t="s">
        <v>2863</v>
      </c>
      <c r="C255" s="1121" t="s">
        <v>3834</v>
      </c>
      <c r="D255" s="1121"/>
      <c r="E255" s="1121"/>
      <c r="F255" s="1121"/>
      <c r="G255" s="1121"/>
      <c r="H255" s="1121"/>
      <c r="I255" s="1121"/>
      <c r="J255" s="1121"/>
      <c r="K255" s="1121"/>
      <c r="L255" s="1121"/>
      <c r="M255" s="1121"/>
      <c r="N255" s="1121"/>
      <c r="O255" s="219" t="s">
        <v>2863</v>
      </c>
      <c r="P255" s="1596" t="s">
        <v>3984</v>
      </c>
      <c r="Q255" s="232"/>
      <c r="AE255" s="807"/>
      <c r="AF255" s="807"/>
    </row>
    <row r="256" spans="1:32" s="126" customFormat="1">
      <c r="B256" s="55" t="s">
        <v>2866</v>
      </c>
      <c r="C256" s="1096" t="s">
        <v>3835</v>
      </c>
      <c r="D256" s="1096"/>
      <c r="E256" s="1096"/>
      <c r="F256" s="1096"/>
      <c r="G256" s="1096"/>
      <c r="H256" s="1096"/>
      <c r="I256" s="1096"/>
      <c r="J256" s="1096"/>
      <c r="K256" s="1096"/>
      <c r="L256" s="1096"/>
      <c r="M256" s="1096"/>
      <c r="N256" s="1096"/>
      <c r="O256" s="803" t="s">
        <v>2866</v>
      </c>
      <c r="P256" s="1574" t="s">
        <v>3984</v>
      </c>
      <c r="Q256" s="232"/>
      <c r="AE256" s="809"/>
      <c r="AF256" s="809"/>
    </row>
    <row r="257" spans="1:256" s="661" customFormat="1" ht="22.9" customHeight="1">
      <c r="B257" s="192" t="s">
        <v>1146</v>
      </c>
      <c r="C257" s="1121" t="s">
        <v>2709</v>
      </c>
      <c r="D257" s="1006"/>
      <c r="E257" s="1006"/>
      <c r="F257" s="1006"/>
      <c r="G257" s="1006"/>
      <c r="H257" s="1006"/>
      <c r="I257" s="1006"/>
      <c r="J257" s="1006"/>
      <c r="K257" s="1006"/>
      <c r="L257" s="1006"/>
      <c r="M257" s="1006"/>
      <c r="N257" s="1006"/>
      <c r="O257" s="219" t="s">
        <v>1146</v>
      </c>
      <c r="P257" s="1596" t="s">
        <v>3984</v>
      </c>
      <c r="Q257" s="354"/>
      <c r="AE257" s="808"/>
      <c r="AF257" s="808"/>
    </row>
    <row r="258" spans="1:256" s="199" customFormat="1" ht="12" customHeight="1">
      <c r="B258" s="55" t="s">
        <v>3005</v>
      </c>
      <c r="C258" s="38" t="s">
        <v>2710</v>
      </c>
      <c r="D258" s="732"/>
      <c r="E258" s="732"/>
      <c r="F258" s="732"/>
      <c r="G258" s="732"/>
      <c r="H258" s="732"/>
      <c r="I258" s="732"/>
      <c r="J258" s="732"/>
      <c r="K258" s="732"/>
      <c r="L258" s="732"/>
      <c r="M258" s="732"/>
      <c r="N258" s="731"/>
      <c r="O258" s="803" t="s">
        <v>3005</v>
      </c>
      <c r="P258" s="1574" t="s">
        <v>3984</v>
      </c>
      <c r="Q258" s="232"/>
      <c r="AE258" s="807"/>
      <c r="AF258" s="807"/>
    </row>
    <row r="259" spans="1:256" s="661" customFormat="1" ht="24.75" customHeight="1">
      <c r="B259" s="192" t="s">
        <v>2589</v>
      </c>
      <c r="C259" s="1121" t="s">
        <v>3848</v>
      </c>
      <c r="D259" s="1006"/>
      <c r="E259" s="1006"/>
      <c r="F259" s="1006"/>
      <c r="G259" s="1006"/>
      <c r="H259" s="1006"/>
      <c r="I259" s="1006"/>
      <c r="J259" s="1006"/>
      <c r="K259" s="1006"/>
      <c r="L259" s="1006"/>
      <c r="M259" s="1006"/>
      <c r="N259" s="1006"/>
      <c r="O259" s="219" t="s">
        <v>2589</v>
      </c>
      <c r="P259" s="1596" t="s">
        <v>3984</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1807</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3807</v>
      </c>
      <c r="C264" s="11"/>
      <c r="D264" s="11"/>
      <c r="E264" s="11"/>
      <c r="F264" s="11"/>
      <c r="G264" s="11"/>
      <c r="H264" s="855"/>
      <c r="I264" s="855"/>
      <c r="J264" s="855"/>
      <c r="K264" s="855"/>
      <c r="L264" s="855"/>
      <c r="M264" s="855"/>
      <c r="O264" s="181" t="s">
        <v>2740</v>
      </c>
      <c r="P264" s="1118"/>
      <c r="Q264" s="1119"/>
    </row>
    <row r="265" spans="1:256" ht="11.45" customHeight="1">
      <c r="B265" s="195" t="s">
        <v>3165</v>
      </c>
      <c r="P265" s="1574" t="s">
        <v>3983</v>
      </c>
      <c r="Q265" s="232"/>
    </row>
    <row r="266" spans="1:256" ht="12" customHeight="1">
      <c r="B266" s="197" t="s">
        <v>3113</v>
      </c>
      <c r="C266" s="197"/>
      <c r="D266" s="197"/>
      <c r="E266" s="197"/>
      <c r="F266" s="197"/>
      <c r="G266" s="197"/>
      <c r="H266" s="197"/>
      <c r="I266" s="197"/>
      <c r="J266" s="197"/>
      <c r="K266" s="197"/>
      <c r="L266" s="197"/>
      <c r="P266" s="1574" t="s">
        <v>3984</v>
      </c>
      <c r="Q266" s="232"/>
    </row>
    <row r="267" spans="1:256" ht="11.45" customHeight="1">
      <c r="B267" s="192" t="s">
        <v>2863</v>
      </c>
      <c r="C267" s="259" t="s">
        <v>634</v>
      </c>
      <c r="D267" s="38"/>
      <c r="E267" s="38"/>
      <c r="F267" s="38"/>
      <c r="G267" s="38"/>
      <c r="H267" s="38"/>
      <c r="I267" s="38"/>
      <c r="J267" s="38"/>
      <c r="K267" s="38"/>
      <c r="L267" s="38"/>
      <c r="M267" s="38"/>
      <c r="N267" s="219"/>
    </row>
    <row r="268" spans="1:256" ht="33.6" customHeight="1">
      <c r="A268" s="194"/>
      <c r="C268" s="1121" t="s">
        <v>3939</v>
      </c>
      <c r="D268" s="1121"/>
      <c r="E268" s="1121"/>
      <c r="F268" s="1121"/>
      <c r="G268" s="1121"/>
      <c r="H268" s="1121"/>
      <c r="I268" s="1121"/>
      <c r="J268" s="1121"/>
      <c r="K268" s="1121"/>
      <c r="L268" s="1121"/>
      <c r="M268" s="1121"/>
      <c r="N268" s="1121"/>
      <c r="O268" s="219" t="s">
        <v>2863</v>
      </c>
      <c r="P268" s="1596"/>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1" t="s">
        <v>635</v>
      </c>
      <c r="D270" s="1161"/>
      <c r="E270" s="1161"/>
      <c r="F270" s="1161"/>
      <c r="G270" s="1161"/>
      <c r="H270" s="1161"/>
      <c r="I270" s="1161"/>
      <c r="J270" s="1161"/>
      <c r="K270" s="1161"/>
      <c r="L270" s="1161"/>
      <c r="M270" s="1161"/>
      <c r="O270" s="219" t="s">
        <v>2866</v>
      </c>
      <c r="P270" s="851"/>
      <c r="Q270" s="60"/>
    </row>
    <row r="271" spans="1:256" ht="23.25" customHeight="1">
      <c r="A271" s="194"/>
      <c r="C271" s="294" t="s">
        <v>2591</v>
      </c>
      <c r="D271" s="295" t="s">
        <v>1648</v>
      </c>
      <c r="E271" s="182"/>
      <c r="F271" s="182"/>
      <c r="G271" s="1619" t="s">
        <v>2028</v>
      </c>
      <c r="H271" s="1620"/>
      <c r="I271" s="1620"/>
      <c r="J271" s="1620"/>
      <c r="K271" s="1620"/>
      <c r="L271" s="1620"/>
      <c r="M271" s="1620"/>
      <c r="N271" s="1621"/>
      <c r="O271" s="298" t="s">
        <v>2591</v>
      </c>
      <c r="P271" s="1596" t="s">
        <v>3984</v>
      </c>
      <c r="Q271" s="354"/>
    </row>
    <row r="272" spans="1:256" ht="23.25" customHeight="1">
      <c r="A272" s="194"/>
      <c r="C272" s="294" t="s">
        <v>2592</v>
      </c>
      <c r="D272" s="1110" t="s">
        <v>1649</v>
      </c>
      <c r="E272" s="1111"/>
      <c r="F272" s="1112"/>
      <c r="G272" s="1578" t="s">
        <v>3788</v>
      </c>
      <c r="H272" s="1446"/>
      <c r="I272" s="1446"/>
      <c r="J272" s="1446"/>
      <c r="K272" s="1446"/>
      <c r="L272" s="1446"/>
      <c r="M272" s="1446"/>
      <c r="N272" s="1447"/>
      <c r="O272" s="298" t="s">
        <v>2592</v>
      </c>
      <c r="P272" s="1596" t="s">
        <v>3984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1146</v>
      </c>
      <c r="C274" s="1120" t="s">
        <v>3836</v>
      </c>
      <c r="D274" s="1120"/>
      <c r="E274" s="1120"/>
      <c r="F274" s="1120"/>
      <c r="G274" s="1120"/>
      <c r="H274" s="1120"/>
      <c r="I274" s="1120"/>
      <c r="J274" s="1120"/>
      <c r="K274" s="1120"/>
      <c r="L274" s="1120"/>
      <c r="M274" s="1120"/>
      <c r="N274" s="1120"/>
      <c r="O274" s="219" t="s">
        <v>1146</v>
      </c>
      <c r="P274" s="851"/>
      <c r="Q274" s="60"/>
      <c r="AE274" s="806"/>
      <c r="AF274" s="806"/>
    </row>
    <row r="275" spans="1:256" s="182" customFormat="1" ht="11.25" customHeight="1">
      <c r="A275" s="194"/>
      <c r="C275" s="294" t="s">
        <v>2591</v>
      </c>
      <c r="D275" s="1622"/>
      <c r="E275" s="1623"/>
      <c r="F275" s="1623"/>
      <c r="G275" s="1623"/>
      <c r="H275" s="1623"/>
      <c r="I275" s="1623"/>
      <c r="J275" s="1623"/>
      <c r="K275" s="1623"/>
      <c r="L275" s="1623"/>
      <c r="M275" s="1623"/>
      <c r="N275" s="1624"/>
      <c r="O275" s="298" t="s">
        <v>2591</v>
      </c>
      <c r="P275" s="1596" t="s">
        <v>3983</v>
      </c>
      <c r="Q275" s="354"/>
      <c r="AE275" s="806"/>
      <c r="AF275" s="806"/>
    </row>
    <row r="276" spans="1:256" s="182" customFormat="1" ht="11.25" customHeight="1">
      <c r="A276" s="194"/>
      <c r="C276" s="294" t="s">
        <v>2592</v>
      </c>
      <c r="D276" s="1622"/>
      <c r="E276" s="1623"/>
      <c r="F276" s="1623"/>
      <c r="G276" s="1623"/>
      <c r="H276" s="1623"/>
      <c r="I276" s="1623"/>
      <c r="J276" s="1623"/>
      <c r="K276" s="1623"/>
      <c r="L276" s="1623"/>
      <c r="M276" s="1623"/>
      <c r="N276" s="1624"/>
      <c r="O276" s="298" t="s">
        <v>2592</v>
      </c>
      <c r="P276" s="1596" t="s">
        <v>3983</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1807</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3808</v>
      </c>
      <c r="C283" s="856"/>
      <c r="D283" s="855"/>
      <c r="E283" s="855"/>
      <c r="F283" s="855"/>
      <c r="G283" s="855"/>
      <c r="H283" s="855"/>
      <c r="O283" s="181" t="s">
        <v>2740</v>
      </c>
      <c r="P283" s="1116"/>
      <c r="Q283" s="1117"/>
    </row>
    <row r="284" spans="1:256" ht="3" customHeight="1"/>
    <row r="285" spans="1:256" ht="11.45" customHeight="1">
      <c r="B285" s="195" t="s">
        <v>3285</v>
      </c>
      <c r="P285" s="1574" t="s">
        <v>3983</v>
      </c>
      <c r="Q285" s="232"/>
    </row>
    <row r="286" spans="1:256" ht="11.45" customHeight="1">
      <c r="B286" s="195" t="s">
        <v>3286</v>
      </c>
      <c r="P286" s="1574" t="s">
        <v>3984</v>
      </c>
      <c r="Q286" s="232"/>
    </row>
    <row r="287" spans="1:256" ht="11.45" customHeight="1">
      <c r="B287" s="195" t="s">
        <v>851</v>
      </c>
      <c r="L287" s="1625"/>
      <c r="M287" s="1626"/>
      <c r="N287" s="1626"/>
      <c r="O287" s="1627"/>
    </row>
    <row r="288" spans="1:256" ht="11.45" customHeight="1">
      <c r="B288" s="653" t="s">
        <v>3287</v>
      </c>
      <c r="L288" s="1113"/>
      <c r="M288" s="1114"/>
      <c r="N288" s="1114"/>
      <c r="O288" s="1115"/>
    </row>
    <row r="289" spans="1:31" ht="11.25" customHeight="1">
      <c r="B289" s="191" t="s">
        <v>2738</v>
      </c>
      <c r="D289" s="191"/>
      <c r="E289" s="191"/>
      <c r="F289" s="191"/>
      <c r="G289" s="191"/>
      <c r="H289" s="48"/>
      <c r="I289" s="180"/>
      <c r="J289" s="180"/>
      <c r="K289" s="180"/>
      <c r="L289" s="851"/>
      <c r="M289" s="851"/>
      <c r="N289" s="851"/>
      <c r="O289" s="851"/>
      <c r="P289" s="851"/>
      <c r="Q289" s="60"/>
    </row>
    <row r="290" spans="1:31" ht="24.75" customHeight="1">
      <c r="A290" s="1578" t="s">
        <v>4065</v>
      </c>
      <c r="B290" s="1579"/>
      <c r="C290" s="1579"/>
      <c r="D290" s="1579"/>
      <c r="E290" s="1579"/>
      <c r="F290" s="1579"/>
      <c r="G290" s="1579"/>
      <c r="H290" s="1579"/>
      <c r="I290" s="1579"/>
      <c r="J290" s="1579"/>
      <c r="K290" s="1579"/>
      <c r="L290" s="1579"/>
      <c r="M290" s="1579"/>
      <c r="N290" s="1579"/>
      <c r="O290" s="1579"/>
      <c r="P290" s="1579"/>
      <c r="Q290" s="1580"/>
      <c r="R290" s="736" t="s">
        <v>1807</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3809</v>
      </c>
      <c r="C294" s="5"/>
      <c r="D294" s="115"/>
      <c r="E294" s="855"/>
      <c r="F294" s="855"/>
      <c r="G294" s="855"/>
      <c r="H294" s="855"/>
      <c r="I294" s="855"/>
      <c r="J294" s="855"/>
      <c r="K294" s="855"/>
      <c r="L294" s="855"/>
      <c r="M294" s="855"/>
      <c r="O294" s="181" t="s">
        <v>2740</v>
      </c>
      <c r="P294" s="1116"/>
      <c r="Q294" s="1117"/>
    </row>
    <row r="295" spans="1:31" ht="3" customHeight="1"/>
    <row r="296" spans="1:31" ht="22.15" customHeight="1">
      <c r="B296" s="192" t="s">
        <v>2863</v>
      </c>
      <c r="C296" s="1125" t="s">
        <v>3837</v>
      </c>
      <c r="D296" s="1125"/>
      <c r="E296" s="1125"/>
      <c r="F296" s="1125"/>
      <c r="G296" s="1125"/>
      <c r="H296" s="1125"/>
      <c r="I296" s="1125"/>
      <c r="J296" s="1125"/>
      <c r="K296" s="1125"/>
      <c r="L296" s="1125"/>
      <c r="M296" s="1125"/>
      <c r="N296" s="1125"/>
      <c r="O296" s="219" t="s">
        <v>2863</v>
      </c>
      <c r="P296" s="1574" t="s">
        <v>3984</v>
      </c>
      <c r="Q296" s="232"/>
    </row>
    <row r="297" spans="1:31" ht="11.45" customHeight="1">
      <c r="B297" s="192" t="s">
        <v>2866</v>
      </c>
      <c r="C297" s="1125" t="s">
        <v>3893</v>
      </c>
      <c r="D297" s="1125"/>
      <c r="E297" s="1125"/>
      <c r="F297" s="1125"/>
      <c r="G297" s="1125"/>
      <c r="H297" s="1125"/>
      <c r="I297" s="1125"/>
      <c r="J297" s="1125"/>
      <c r="K297" s="1125"/>
      <c r="L297" s="1125"/>
      <c r="M297" s="1125"/>
      <c r="N297" s="1125"/>
      <c r="O297" s="219" t="s">
        <v>2866</v>
      </c>
      <c r="P297" s="1574" t="s">
        <v>3984</v>
      </c>
      <c r="Q297" s="232"/>
    </row>
    <row r="298" spans="1:31" ht="11.45" customHeight="1">
      <c r="B298" s="192" t="s">
        <v>1146</v>
      </c>
      <c r="C298" s="197" t="s">
        <v>3838</v>
      </c>
      <c r="D298" s="197"/>
      <c r="E298" s="197"/>
      <c r="F298" s="197"/>
      <c r="G298" s="197"/>
      <c r="H298" s="197"/>
      <c r="I298" s="197"/>
      <c r="J298" s="197"/>
      <c r="K298" s="197"/>
      <c r="L298" s="197"/>
      <c r="M298" s="197"/>
      <c r="O298" s="219" t="s">
        <v>1146</v>
      </c>
      <c r="P298" s="1574" t="s">
        <v>3984</v>
      </c>
      <c r="Q298" s="232"/>
    </row>
    <row r="299" spans="1:31" ht="22.15" customHeight="1">
      <c r="B299" s="192" t="s">
        <v>3005</v>
      </c>
      <c r="C299" s="1125" t="s">
        <v>3872</v>
      </c>
      <c r="D299" s="1125"/>
      <c r="E299" s="1125"/>
      <c r="F299" s="1125"/>
      <c r="G299" s="1125"/>
      <c r="H299" s="1125"/>
      <c r="I299" s="1125"/>
      <c r="J299" s="1125"/>
      <c r="K299" s="1125"/>
      <c r="L299" s="1125"/>
      <c r="M299" s="1125"/>
      <c r="N299" s="1125"/>
      <c r="O299" s="219" t="s">
        <v>3005</v>
      </c>
      <c r="P299" s="1574" t="s">
        <v>3984</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11.45" customHeight="1">
      <c r="A301" s="1578"/>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3879</v>
      </c>
      <c r="C305" s="5"/>
      <c r="D305" s="5"/>
      <c r="E305" s="5"/>
      <c r="F305" s="5"/>
      <c r="G305" s="5"/>
      <c r="H305" s="855"/>
      <c r="I305" s="855"/>
      <c r="J305" s="855"/>
      <c r="K305" s="855"/>
      <c r="L305" s="855"/>
      <c r="M305" s="855"/>
      <c r="O305" s="181" t="s">
        <v>2740</v>
      </c>
      <c r="P305" s="1116"/>
      <c r="Q305" s="1117"/>
    </row>
    <row r="306" spans="1:32" ht="12" customHeight="1">
      <c r="B306" s="55" t="s">
        <v>2863</v>
      </c>
      <c r="C306" s="161" t="s">
        <v>3874</v>
      </c>
      <c r="D306" s="861"/>
      <c r="E306" s="861"/>
      <c r="F306" s="861"/>
      <c r="G306" s="861"/>
      <c r="H306" s="861"/>
      <c r="I306" s="50"/>
      <c r="J306" s="803" t="s">
        <v>2863</v>
      </c>
      <c r="K306" s="1604" t="s">
        <v>4069</v>
      </c>
      <c r="L306" s="1605"/>
      <c r="M306" s="1605"/>
      <c r="N306" s="1605"/>
      <c r="O306" s="1605"/>
      <c r="P306" s="1606"/>
      <c r="Q306" s="232"/>
    </row>
    <row r="307" spans="1:32" ht="22.5" customHeight="1">
      <c r="B307" s="192" t="s">
        <v>2866</v>
      </c>
      <c r="C307" s="1096" t="s">
        <v>3873</v>
      </c>
      <c r="D307" s="1096"/>
      <c r="E307" s="1096"/>
      <c r="F307" s="1096"/>
      <c r="G307" s="1096"/>
      <c r="H307" s="1096"/>
      <c r="I307" s="1096"/>
      <c r="J307" s="1096"/>
      <c r="K307" s="1096"/>
      <c r="L307" s="1096"/>
      <c r="M307" s="1096"/>
      <c r="N307" s="1096"/>
      <c r="O307" s="219" t="s">
        <v>2866</v>
      </c>
      <c r="P307" s="1596" t="s">
        <v>3984</v>
      </c>
      <c r="Q307" s="232"/>
    </row>
    <row r="308" spans="1:32" ht="11.45" customHeight="1">
      <c r="B308" s="55" t="s">
        <v>1146</v>
      </c>
      <c r="C308" s="62" t="s">
        <v>3875</v>
      </c>
      <c r="D308" s="62"/>
      <c r="E308" s="62"/>
      <c r="F308" s="62"/>
      <c r="G308" s="62"/>
      <c r="H308" s="62"/>
      <c r="I308" s="62"/>
      <c r="J308" s="62"/>
      <c r="K308" s="62"/>
      <c r="L308" s="38"/>
      <c r="M308" s="38"/>
      <c r="O308" s="803" t="s">
        <v>1146</v>
      </c>
      <c r="P308" s="1574" t="s">
        <v>3984</v>
      </c>
      <c r="Q308" s="232"/>
    </row>
    <row r="309" spans="1:32" ht="11.45" customHeight="1">
      <c r="B309" s="55" t="s">
        <v>3005</v>
      </c>
      <c r="C309" s="62" t="s">
        <v>3876</v>
      </c>
      <c r="D309" s="62"/>
      <c r="E309" s="62"/>
      <c r="F309" s="62"/>
      <c r="G309" s="62"/>
      <c r="H309" s="62"/>
      <c r="I309" s="62"/>
      <c r="J309" s="62"/>
      <c r="K309" s="62"/>
      <c r="L309" s="62"/>
      <c r="M309" s="62"/>
      <c r="O309" s="803" t="s">
        <v>3005</v>
      </c>
      <c r="P309" s="1574" t="s">
        <v>3984</v>
      </c>
      <c r="Q309" s="232"/>
    </row>
    <row r="310" spans="1:32" s="182" customFormat="1" ht="11.45" customHeight="1">
      <c r="B310" s="192" t="s">
        <v>2589</v>
      </c>
      <c r="C310" s="1125" t="s">
        <v>3881</v>
      </c>
      <c r="D310" s="1125"/>
      <c r="E310" s="1125"/>
      <c r="F310" s="1125"/>
      <c r="G310" s="1125"/>
      <c r="H310" s="1125"/>
      <c r="I310" s="1125"/>
      <c r="J310" s="1125"/>
      <c r="K310" s="1125"/>
      <c r="L310" s="1125"/>
      <c r="M310" s="1125"/>
      <c r="N310" s="1125"/>
      <c r="O310" s="219" t="s">
        <v>2589</v>
      </c>
      <c r="P310" s="1596" t="s">
        <v>3984</v>
      </c>
      <c r="Q310" s="354"/>
      <c r="AE310" s="806"/>
      <c r="AF310" s="806"/>
    </row>
    <row r="311" spans="1:32" s="182" customFormat="1" ht="11.45" customHeight="1">
      <c r="B311" s="192" t="s">
        <v>2590</v>
      </c>
      <c r="C311" s="1125" t="s">
        <v>3894</v>
      </c>
      <c r="D311" s="1125"/>
      <c r="E311" s="1125"/>
      <c r="F311" s="1125"/>
      <c r="G311" s="1125"/>
      <c r="H311" s="1125"/>
      <c r="I311" s="1125"/>
      <c r="J311" s="1125"/>
      <c r="K311" s="1125"/>
      <c r="L311" s="1125"/>
      <c r="M311" s="1125"/>
      <c r="N311" s="1125"/>
      <c r="O311" s="219" t="s">
        <v>2590</v>
      </c>
      <c r="P311" s="1596" t="s">
        <v>3984</v>
      </c>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74" t="s">
        <v>3983</v>
      </c>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11.45" customHeight="1">
      <c r="A314" s="1578"/>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3934</v>
      </c>
      <c r="C318" s="5"/>
      <c r="D318" s="5"/>
      <c r="E318" s="5"/>
      <c r="F318" s="5"/>
      <c r="G318" s="5"/>
      <c r="H318" s="855"/>
      <c r="I318" s="855"/>
      <c r="J318" s="855"/>
      <c r="O318" s="181" t="s">
        <v>2740</v>
      </c>
      <c r="P318" s="1116"/>
      <c r="Q318" s="1117"/>
    </row>
    <row r="319" spans="1:32" ht="13.9" customHeight="1">
      <c r="A319" s="856"/>
      <c r="B319" s="149" t="s">
        <v>3815</v>
      </c>
      <c r="C319" s="5"/>
      <c r="D319" s="5"/>
      <c r="E319" s="5"/>
      <c r="F319" s="5"/>
      <c r="G319" s="5"/>
      <c r="H319" s="855"/>
      <c r="I319" s="855"/>
      <c r="J319" s="855"/>
    </row>
    <row r="320" spans="1:32" ht="11.45" customHeight="1">
      <c r="B320" s="55" t="s">
        <v>2863</v>
      </c>
      <c r="C320" s="653" t="s">
        <v>3818</v>
      </c>
      <c r="D320" s="65"/>
      <c r="E320" s="861"/>
      <c r="F320" s="861"/>
      <c r="G320" s="861"/>
      <c r="H320" s="861"/>
      <c r="I320" s="50"/>
      <c r="O320" s="803" t="s">
        <v>2863</v>
      </c>
    </row>
    <row r="321" spans="2:32" s="182" customFormat="1" ht="21.75" customHeight="1">
      <c r="B321" s="192"/>
      <c r="C321" s="201" t="s">
        <v>2591</v>
      </c>
      <c r="D321" s="1171" t="s">
        <v>3816</v>
      </c>
      <c r="E321" s="1171"/>
      <c r="F321" s="1171"/>
      <c r="G321" s="1171"/>
      <c r="H321" s="1171"/>
      <c r="I321" s="1171"/>
      <c r="J321" s="1171"/>
      <c r="K321" s="1171"/>
      <c r="L321" s="1171"/>
      <c r="M321" s="1171"/>
      <c r="N321" s="1171"/>
      <c r="O321" s="201" t="s">
        <v>2591</v>
      </c>
      <c r="P321" s="1596" t="s">
        <v>3983</v>
      </c>
      <c r="Q321" s="354"/>
      <c r="AE321" s="806"/>
      <c r="AF321" s="806"/>
    </row>
    <row r="322" spans="2:32" s="182" customFormat="1" ht="21.75" customHeight="1">
      <c r="C322" s="201" t="s">
        <v>2592</v>
      </c>
      <c r="D322" s="1121" t="s">
        <v>3817</v>
      </c>
      <c r="E322" s="1121"/>
      <c r="F322" s="1121"/>
      <c r="G322" s="1121"/>
      <c r="H322" s="1121"/>
      <c r="I322" s="1121"/>
      <c r="J322" s="1121"/>
      <c r="K322" s="1121"/>
      <c r="L322" s="1121"/>
      <c r="M322" s="1121"/>
      <c r="N322" s="1121"/>
      <c r="O322" s="201" t="s">
        <v>2592</v>
      </c>
      <c r="P322" s="1596"/>
      <c r="Q322" s="354"/>
      <c r="AE322" s="806"/>
      <c r="AF322" s="806"/>
    </row>
    <row r="323" spans="2:32" s="182" customFormat="1" ht="21.75" customHeight="1">
      <c r="B323" s="192"/>
      <c r="C323" s="201" t="s">
        <v>2593</v>
      </c>
      <c r="D323" s="1121" t="s">
        <v>3820</v>
      </c>
      <c r="E323" s="1121"/>
      <c r="F323" s="1121"/>
      <c r="G323" s="1121"/>
      <c r="H323" s="1121"/>
      <c r="I323" s="1121"/>
      <c r="J323" s="1121"/>
      <c r="K323" s="1121"/>
      <c r="L323" s="1121"/>
      <c r="M323" s="1121"/>
      <c r="N323" s="1121"/>
      <c r="O323" s="201" t="s">
        <v>2593</v>
      </c>
      <c r="P323" s="1596"/>
      <c r="Q323" s="354"/>
      <c r="AE323" s="806"/>
      <c r="AF323" s="806"/>
    </row>
    <row r="324" spans="2:32" s="182" customFormat="1" ht="22.15" customHeight="1">
      <c r="B324" s="192"/>
      <c r="C324" s="201" t="s">
        <v>3332</v>
      </c>
      <c r="D324" s="1121" t="s">
        <v>3821</v>
      </c>
      <c r="E324" s="1121"/>
      <c r="F324" s="1121"/>
      <c r="G324" s="1121"/>
      <c r="H324" s="1121"/>
      <c r="I324" s="1121"/>
      <c r="J324" s="1121"/>
      <c r="K324" s="1121"/>
      <c r="L324" s="1121"/>
      <c r="M324" s="1121"/>
      <c r="N324" s="1121"/>
      <c r="O324" s="201" t="s">
        <v>3332</v>
      </c>
      <c r="P324" s="1596"/>
      <c r="Q324" s="354"/>
      <c r="AE324" s="806"/>
      <c r="AF324" s="806"/>
    </row>
    <row r="325" spans="2:32" s="182" customFormat="1" ht="21.75" customHeight="1">
      <c r="B325" s="192"/>
      <c r="C325" s="201" t="s">
        <v>2154</v>
      </c>
      <c r="D325" s="1121" t="s">
        <v>3822</v>
      </c>
      <c r="E325" s="1121"/>
      <c r="F325" s="1121"/>
      <c r="G325" s="1121"/>
      <c r="H325" s="1121"/>
      <c r="I325" s="1121"/>
      <c r="J325" s="1121"/>
      <c r="K325" s="1121"/>
      <c r="L325" s="1121"/>
      <c r="M325" s="1121"/>
      <c r="N325" s="1121"/>
      <c r="O325" s="201" t="s">
        <v>2154</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2591</v>
      </c>
      <c r="D328" s="699" t="s">
        <v>3823</v>
      </c>
      <c r="E328" s="699"/>
      <c r="F328" s="699"/>
      <c r="G328" s="699"/>
      <c r="H328" s="699"/>
      <c r="I328" s="699"/>
      <c r="J328" s="699"/>
      <c r="K328" s="699"/>
      <c r="L328" s="699"/>
      <c r="M328" s="699"/>
      <c r="N328" s="729"/>
      <c r="P328" s="79" t="s">
        <v>2591</v>
      </c>
      <c r="Q328" s="232"/>
    </row>
    <row r="329" spans="2:32" ht="11.25" customHeight="1">
      <c r="B329" s="55"/>
      <c r="C329" s="79" t="s">
        <v>2592</v>
      </c>
      <c r="D329" s="184" t="s">
        <v>3824</v>
      </c>
      <c r="E329" s="184"/>
      <c r="F329" s="184"/>
      <c r="G329" s="184"/>
      <c r="H329" s="184"/>
      <c r="I329" s="44"/>
      <c r="J329" s="729"/>
      <c r="K329" s="729"/>
      <c r="L329" s="729"/>
      <c r="M329" s="729"/>
      <c r="N329" s="729"/>
      <c r="P329" s="79" t="s">
        <v>2592</v>
      </c>
      <c r="Q329" s="232"/>
    </row>
    <row r="330" spans="2:32" ht="11.25" customHeight="1">
      <c r="B330" s="55"/>
      <c r="C330" s="79" t="s">
        <v>2593</v>
      </c>
      <c r="D330" s="62" t="s">
        <v>3825</v>
      </c>
      <c r="E330" s="62"/>
      <c r="F330" s="62"/>
      <c r="G330" s="62"/>
      <c r="H330" s="62"/>
      <c r="I330" s="62"/>
      <c r="J330" s="62"/>
      <c r="K330" s="62"/>
      <c r="L330" s="38"/>
      <c r="M330" s="38"/>
      <c r="N330" s="729"/>
      <c r="P330" s="79" t="s">
        <v>2593</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2154</v>
      </c>
      <c r="D332" s="62" t="s">
        <v>3827</v>
      </c>
      <c r="E332" s="62"/>
      <c r="F332" s="62"/>
      <c r="G332" s="62"/>
      <c r="H332" s="62"/>
      <c r="I332" s="62"/>
      <c r="J332" s="62"/>
      <c r="K332" s="62"/>
      <c r="L332" s="62"/>
      <c r="M332" s="62"/>
      <c r="N332" s="62"/>
      <c r="P332" s="79" t="s">
        <v>2154</v>
      </c>
      <c r="Q332" s="232"/>
    </row>
    <row r="333" spans="2:32" ht="11.25" customHeight="1">
      <c r="B333" s="192"/>
      <c r="C333" s="803" t="s">
        <v>2155</v>
      </c>
      <c r="D333" s="190" t="s">
        <v>3828</v>
      </c>
      <c r="E333" s="190"/>
      <c r="F333" s="190"/>
      <c r="G333" s="190"/>
      <c r="H333" s="190"/>
      <c r="I333" s="190"/>
      <c r="J333" s="190"/>
      <c r="K333" s="190"/>
      <c r="L333" s="190"/>
      <c r="M333" s="190"/>
      <c r="N333" s="190"/>
      <c r="P333" s="803" t="s">
        <v>2155</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744</v>
      </c>
      <c r="D335" s="699" t="s">
        <v>3830</v>
      </c>
      <c r="E335" s="699"/>
      <c r="F335" s="699"/>
      <c r="G335" s="699"/>
      <c r="H335" s="699"/>
      <c r="I335" s="699"/>
      <c r="J335" s="699"/>
      <c r="K335" s="699"/>
      <c r="L335" s="699"/>
      <c r="M335" s="699"/>
      <c r="N335" s="729"/>
      <c r="P335" s="803" t="s">
        <v>744</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578" t="s">
        <v>4035</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3895</v>
      </c>
      <c r="C341" s="5"/>
      <c r="D341" s="5"/>
      <c r="E341" s="5"/>
      <c r="F341" s="5"/>
      <c r="G341" s="5"/>
      <c r="H341" s="855"/>
      <c r="I341" s="855"/>
      <c r="J341" s="855"/>
      <c r="O341" s="181" t="s">
        <v>2740</v>
      </c>
      <c r="P341" s="1116"/>
      <c r="Q341" s="1117"/>
    </row>
    <row r="342" spans="1:31" ht="11.45" customHeight="1">
      <c r="B342" s="55" t="s">
        <v>2863</v>
      </c>
      <c r="C342" s="161" t="s">
        <v>1544</v>
      </c>
      <c r="E342" s="1584"/>
      <c r="F342" s="1585"/>
      <c r="G342" s="1585"/>
      <c r="H342" s="1585"/>
      <c r="I342" s="1586"/>
      <c r="J342" s="1168" t="s">
        <v>3833</v>
      </c>
      <c r="K342" s="1169"/>
      <c r="L342" s="1170"/>
      <c r="M342" s="1584"/>
      <c r="N342" s="1585"/>
      <c r="O342" s="1585"/>
      <c r="P342" s="1585"/>
      <c r="Q342" s="1586"/>
    </row>
    <row r="343" spans="1:31" ht="11.45" customHeight="1">
      <c r="B343" s="55" t="s">
        <v>2866</v>
      </c>
      <c r="C343" s="62" t="s">
        <v>2594</v>
      </c>
      <c r="D343" s="62"/>
      <c r="E343" s="62"/>
      <c r="F343" s="62"/>
      <c r="G343" s="62"/>
      <c r="H343" s="62"/>
      <c r="I343" s="62"/>
      <c r="J343" s="62"/>
      <c r="K343" s="62"/>
      <c r="L343" s="38"/>
      <c r="M343" s="38"/>
      <c r="O343" s="803" t="s">
        <v>2866</v>
      </c>
      <c r="P343" s="1574"/>
      <c r="Q343" s="232"/>
    </row>
    <row r="344" spans="1:31" ht="11.45" customHeight="1">
      <c r="B344" s="55" t="s">
        <v>1146</v>
      </c>
      <c r="C344" s="62" t="s">
        <v>2009</v>
      </c>
      <c r="D344" s="62"/>
      <c r="E344" s="62"/>
      <c r="F344" s="62"/>
      <c r="G344" s="62"/>
      <c r="H344" s="62"/>
      <c r="I344" s="62"/>
      <c r="J344" s="62"/>
      <c r="K344" s="62"/>
      <c r="L344" s="62"/>
      <c r="M344" s="62"/>
      <c r="O344" s="803" t="s">
        <v>1146</v>
      </c>
      <c r="P344" s="1574"/>
      <c r="Q344" s="232"/>
    </row>
    <row r="345" spans="1:31" ht="11.45" customHeight="1">
      <c r="B345" s="55" t="s">
        <v>3005</v>
      </c>
      <c r="C345" s="62" t="s">
        <v>3878</v>
      </c>
      <c r="D345" s="62"/>
      <c r="E345" s="62"/>
      <c r="F345" s="62"/>
      <c r="G345" s="62"/>
      <c r="H345" s="62"/>
      <c r="I345" s="62"/>
      <c r="J345" s="62"/>
      <c r="K345" s="62"/>
      <c r="L345" s="62"/>
      <c r="M345" s="62"/>
      <c r="O345" s="803" t="s">
        <v>3005</v>
      </c>
      <c r="P345" s="1574"/>
      <c r="Q345" s="232"/>
    </row>
    <row r="346" spans="1:31" ht="21.75" customHeight="1">
      <c r="B346" s="192" t="s">
        <v>2589</v>
      </c>
      <c r="C346" s="1125" t="s">
        <v>597</v>
      </c>
      <c r="D346" s="1125"/>
      <c r="E346" s="1125"/>
      <c r="F346" s="1125"/>
      <c r="G346" s="1125"/>
      <c r="H346" s="1125"/>
      <c r="I346" s="1125"/>
      <c r="J346" s="1125"/>
      <c r="K346" s="1125"/>
      <c r="L346" s="1125"/>
      <c r="M346" s="1125"/>
      <c r="N346" s="1125"/>
      <c r="O346" s="219" t="s">
        <v>2589</v>
      </c>
      <c r="P346" s="1574"/>
      <c r="Q346" s="232"/>
    </row>
    <row r="347" spans="1:31" ht="21.75" customHeight="1">
      <c r="B347" s="192" t="s">
        <v>2590</v>
      </c>
      <c r="C347" s="1096" t="s">
        <v>212</v>
      </c>
      <c r="D347" s="1096"/>
      <c r="E347" s="1096"/>
      <c r="F347" s="1096"/>
      <c r="G347" s="1096"/>
      <c r="H347" s="1096"/>
      <c r="I347" s="1096"/>
      <c r="J347" s="1096"/>
      <c r="K347" s="1096"/>
      <c r="L347" s="1096"/>
      <c r="M347" s="1096"/>
      <c r="N347" s="1096"/>
      <c r="O347" s="219" t="s">
        <v>2590</v>
      </c>
      <c r="P347" s="1596"/>
      <c r="Q347" s="232"/>
    </row>
    <row r="348" spans="1:31" ht="11.45" customHeight="1">
      <c r="B348" s="55" t="s">
        <v>2826</v>
      </c>
      <c r="C348" s="38" t="s">
        <v>793</v>
      </c>
      <c r="D348" s="203"/>
      <c r="E348" s="203"/>
      <c r="F348" s="203"/>
      <c r="G348" s="203"/>
      <c r="H348" s="203"/>
      <c r="I348" s="203"/>
      <c r="J348" s="203"/>
      <c r="K348" s="203"/>
      <c r="L348" s="203"/>
      <c r="M348" s="203"/>
      <c r="O348" s="803" t="s">
        <v>2826</v>
      </c>
      <c r="P348" s="1574"/>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578" t="s">
        <v>4036</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3831</v>
      </c>
      <c r="C354" s="5"/>
      <c r="D354" s="115"/>
      <c r="E354" s="855"/>
      <c r="F354" s="855"/>
      <c r="G354" s="855"/>
      <c r="H354" s="855"/>
      <c r="I354" s="855"/>
      <c r="J354" s="855"/>
      <c r="K354" s="855"/>
      <c r="L354" s="855"/>
      <c r="M354" s="855"/>
      <c r="O354" s="181" t="s">
        <v>2740</v>
      </c>
      <c r="P354" s="1116"/>
      <c r="Q354" s="1117"/>
    </row>
    <row r="355" spans="1:32" s="2" customFormat="1" ht="23.45" customHeight="1">
      <c r="B355" s="192" t="s">
        <v>2863</v>
      </c>
      <c r="C355" s="1125" t="s">
        <v>184</v>
      </c>
      <c r="D355" s="1125"/>
      <c r="E355" s="1125"/>
      <c r="F355" s="1125"/>
      <c r="G355" s="1125"/>
      <c r="H355" s="1125"/>
      <c r="I355" s="1125"/>
      <c r="J355" s="1125"/>
      <c r="K355" s="1125"/>
      <c r="L355" s="1125"/>
      <c r="M355" s="219" t="s">
        <v>2863</v>
      </c>
      <c r="N355" s="1628" t="s">
        <v>4037</v>
      </c>
      <c r="O355" s="1629"/>
      <c r="P355" s="1172" t="s">
        <v>2627</v>
      </c>
      <c r="Q355" s="1173"/>
      <c r="AE355" s="6"/>
      <c r="AF355" s="6"/>
    </row>
    <row r="356" spans="1:32" s="2" customFormat="1" ht="12" customHeight="1">
      <c r="B356" s="55" t="s">
        <v>2866</v>
      </c>
      <c r="C356" s="158" t="s">
        <v>1</v>
      </c>
      <c r="D356" s="203"/>
      <c r="E356" s="203"/>
      <c r="G356" s="803" t="s">
        <v>2866</v>
      </c>
      <c r="H356" s="1630">
        <v>13113140307</v>
      </c>
      <c r="I356" s="1631"/>
      <c r="J356" s="1631"/>
      <c r="K356" s="1631"/>
      <c r="L356" s="1631"/>
      <c r="M356" s="1631"/>
      <c r="N356" s="1631"/>
      <c r="O356" s="1631"/>
      <c r="P356" s="1632"/>
      <c r="Q356" s="232"/>
      <c r="AE356" s="6"/>
      <c r="AF356" s="6"/>
    </row>
    <row r="357" spans="1:32" s="2" customFormat="1" ht="12" customHeight="1">
      <c r="B357" s="55" t="s">
        <v>1146</v>
      </c>
      <c r="C357" s="38" t="s">
        <v>1990</v>
      </c>
      <c r="D357" s="12"/>
      <c r="E357" s="12"/>
      <c r="F357" s="12"/>
      <c r="G357" s="8"/>
      <c r="H357" s="8"/>
      <c r="I357" s="38"/>
      <c r="K357" s="8"/>
      <c r="L357" s="8"/>
      <c r="M357" s="8"/>
      <c r="O357" s="803" t="s">
        <v>1146</v>
      </c>
      <c r="P357" s="1574" t="s">
        <v>3983</v>
      </c>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578"/>
      <c r="B359" s="1579"/>
      <c r="C359" s="1579"/>
      <c r="D359" s="1579"/>
      <c r="E359" s="1579"/>
      <c r="F359" s="1579"/>
      <c r="G359" s="1579"/>
      <c r="H359" s="1579"/>
      <c r="I359" s="1579"/>
      <c r="J359" s="1579"/>
      <c r="K359" s="1579"/>
      <c r="L359" s="1579"/>
      <c r="M359" s="1579"/>
      <c r="N359" s="1579"/>
      <c r="O359" s="1579"/>
      <c r="P359" s="1579"/>
      <c r="Q359" s="1580"/>
      <c r="R359" s="737" t="s">
        <v>1807</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3810</v>
      </c>
      <c r="C364" s="5"/>
      <c r="D364" s="5"/>
      <c r="E364" s="855"/>
      <c r="G364" s="190" t="s">
        <v>977</v>
      </c>
      <c r="H364" s="855"/>
      <c r="I364" s="855"/>
      <c r="J364" s="855"/>
      <c r="K364" s="855"/>
      <c r="L364" s="855"/>
      <c r="M364" s="855"/>
      <c r="O364" s="181" t="s">
        <v>2740</v>
      </c>
      <c r="P364" s="1116"/>
      <c r="Q364" s="1163"/>
    </row>
    <row r="365" spans="1:32" ht="12" customHeight="1">
      <c r="A365" s="194"/>
      <c r="B365" s="55" t="s">
        <v>2863</v>
      </c>
      <c r="C365" s="62" t="s">
        <v>3839</v>
      </c>
      <c r="D365" s="727"/>
      <c r="E365" s="727"/>
      <c r="H365" s="190"/>
      <c r="O365" s="803" t="s">
        <v>2863</v>
      </c>
      <c r="P365" s="1574" t="s">
        <v>3983</v>
      </c>
      <c r="Q365" s="232"/>
    </row>
    <row r="366" spans="1:32" ht="12" customHeight="1">
      <c r="A366" s="194"/>
      <c r="B366" s="55" t="s">
        <v>2866</v>
      </c>
      <c r="C366" s="62" t="s">
        <v>3840</v>
      </c>
      <c r="D366" s="727"/>
      <c r="E366" s="727"/>
      <c r="O366" s="803" t="s">
        <v>2866</v>
      </c>
      <c r="P366" s="1574" t="s">
        <v>3983</v>
      </c>
      <c r="Q366" s="232"/>
    </row>
    <row r="367" spans="1:32" ht="12" customHeight="1">
      <c r="A367" s="194"/>
      <c r="B367" s="55" t="s">
        <v>1146</v>
      </c>
      <c r="C367" s="62" t="s">
        <v>3896</v>
      </c>
      <c r="D367" s="727"/>
      <c r="E367" s="727"/>
      <c r="O367" s="803" t="s">
        <v>1146</v>
      </c>
      <c r="P367" s="1574" t="s">
        <v>3984</v>
      </c>
      <c r="Q367" s="232"/>
    </row>
    <row r="368" spans="1:32" ht="12" customHeight="1">
      <c r="A368" s="194"/>
      <c r="B368" s="55" t="s">
        <v>3005</v>
      </c>
      <c r="C368" s="62" t="s">
        <v>3832</v>
      </c>
      <c r="E368" s="190"/>
      <c r="O368" s="803" t="s">
        <v>3005</v>
      </c>
      <c r="P368" s="1574" t="s">
        <v>3983</v>
      </c>
      <c r="Q368" s="232"/>
    </row>
    <row r="369" spans="1:31" ht="12" customHeight="1">
      <c r="B369" s="55" t="s">
        <v>2589</v>
      </c>
      <c r="C369" s="62" t="s">
        <v>2968</v>
      </c>
      <c r="E369" s="190"/>
      <c r="G369" s="803" t="s">
        <v>2589</v>
      </c>
      <c r="H369" s="1597"/>
      <c r="I369" s="1598"/>
      <c r="J369" s="1598"/>
      <c r="K369" s="1598"/>
      <c r="L369" s="1598"/>
      <c r="M369" s="1598"/>
      <c r="N369" s="1598"/>
      <c r="O369" s="1599"/>
      <c r="P369" s="1574" t="s">
        <v>3983</v>
      </c>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578"/>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3811</v>
      </c>
      <c r="C375" s="1167"/>
      <c r="D375" s="1167"/>
      <c r="E375" s="1167"/>
      <c r="F375" s="1167"/>
      <c r="G375" s="1167"/>
      <c r="H375" s="855"/>
      <c r="I375" s="855"/>
      <c r="J375" s="855"/>
      <c r="K375" s="855"/>
      <c r="L375" s="855"/>
      <c r="M375" s="855"/>
      <c r="O375" s="181" t="s">
        <v>2740</v>
      </c>
      <c r="P375" s="1116"/>
      <c r="Q375" s="1163"/>
    </row>
    <row r="376" spans="1:31" ht="21.75" customHeight="1">
      <c r="A376" s="189"/>
      <c r="B376" s="192" t="s">
        <v>2863</v>
      </c>
      <c r="C376" s="1125" t="s">
        <v>838</v>
      </c>
      <c r="D376" s="1125"/>
      <c r="E376" s="1125"/>
      <c r="F376" s="1125"/>
      <c r="G376" s="1125"/>
      <c r="H376" s="1125"/>
      <c r="I376" s="1125"/>
      <c r="J376" s="1125"/>
      <c r="K376" s="1125"/>
      <c r="L376" s="1125"/>
      <c r="M376" s="1125"/>
      <c r="N376" s="1125"/>
      <c r="O376" s="219" t="s">
        <v>2863</v>
      </c>
      <c r="P376" s="1574" t="s">
        <v>4025</v>
      </c>
      <c r="Q376" s="232"/>
    </row>
    <row r="377" spans="1:31" ht="12" customHeight="1">
      <c r="A377" s="189"/>
      <c r="B377" s="55" t="s">
        <v>2866</v>
      </c>
      <c r="C377" s="197" t="s">
        <v>794</v>
      </c>
      <c r="D377" s="855"/>
      <c r="E377" s="855"/>
      <c r="F377" s="855"/>
      <c r="G377" s="855"/>
      <c r="H377" s="855"/>
      <c r="I377" s="855"/>
      <c r="J377" s="855"/>
      <c r="K377" s="855"/>
      <c r="L377" s="855"/>
      <c r="M377" s="855"/>
      <c r="O377" s="803" t="s">
        <v>2866</v>
      </c>
      <c r="P377" s="1574" t="s">
        <v>3984</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11.45" customHeight="1">
      <c r="A379" s="1578"/>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3812</v>
      </c>
      <c r="C381" s="5"/>
      <c r="D381" s="5"/>
      <c r="E381" s="5"/>
      <c r="F381" s="5"/>
      <c r="G381" s="5"/>
      <c r="H381" s="855"/>
      <c r="I381" s="855"/>
      <c r="J381" s="855"/>
      <c r="K381" s="855"/>
      <c r="L381" s="855"/>
      <c r="M381" s="855"/>
      <c r="O381" s="181" t="s">
        <v>2740</v>
      </c>
      <c r="P381" s="1116"/>
      <c r="Q381" s="1163"/>
    </row>
    <row r="382" spans="1:31" ht="12" customHeight="1">
      <c r="A382" s="50"/>
      <c r="B382" s="55" t="s">
        <v>2863</v>
      </c>
      <c r="C382" s="47" t="s">
        <v>1149</v>
      </c>
      <c r="D382" s="50"/>
      <c r="E382" s="50"/>
      <c r="F382" s="50"/>
      <c r="G382" s="50"/>
      <c r="H382" s="50"/>
      <c r="I382" s="50"/>
      <c r="J382" s="50"/>
      <c r="K382" s="50"/>
      <c r="L382" s="50"/>
      <c r="M382" s="50"/>
      <c r="N382" s="50"/>
      <c r="O382" s="803" t="s">
        <v>2863</v>
      </c>
      <c r="P382" s="1574" t="s">
        <v>3983</v>
      </c>
      <c r="Q382" s="232"/>
    </row>
    <row r="383" spans="1:31" ht="12" customHeight="1">
      <c r="A383" s="50"/>
      <c r="B383" s="55" t="s">
        <v>2866</v>
      </c>
      <c r="C383" s="47" t="s">
        <v>3102</v>
      </c>
      <c r="D383" s="50"/>
      <c r="E383" s="50"/>
      <c r="F383" s="50"/>
      <c r="G383" s="50"/>
      <c r="H383" s="50"/>
      <c r="I383" s="50"/>
      <c r="J383" s="50"/>
      <c r="K383" s="50"/>
      <c r="L383" s="50"/>
      <c r="M383" s="50"/>
      <c r="N383" s="50"/>
      <c r="O383" s="803" t="s">
        <v>2031</v>
      </c>
      <c r="P383" s="1574"/>
      <c r="Q383" s="232"/>
    </row>
    <row r="384" spans="1:31" ht="12" customHeight="1">
      <c r="A384" s="50"/>
      <c r="B384" s="55"/>
      <c r="C384" s="62" t="s">
        <v>2079</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2592</v>
      </c>
      <c r="P385" s="1574"/>
      <c r="Q385" s="232"/>
    </row>
    <row r="386" spans="1:32" ht="12" customHeight="1">
      <c r="A386" s="50"/>
      <c r="B386" s="55" t="s">
        <v>1146</v>
      </c>
      <c r="C386" s="1096" t="s">
        <v>3101</v>
      </c>
      <c r="D386" s="1096"/>
      <c r="E386" s="1096"/>
      <c r="F386" s="1096"/>
      <c r="G386" s="1096"/>
      <c r="H386" s="1096"/>
      <c r="I386" s="1096"/>
      <c r="J386" s="1096"/>
      <c r="K386" s="1096"/>
      <c r="L386" s="1096"/>
      <c r="M386" s="1096"/>
      <c r="N386" s="1096"/>
      <c r="O386" s="803" t="s">
        <v>1146</v>
      </c>
      <c r="P386" s="1574"/>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33"/>
      <c r="H388" s="662" t="s">
        <v>292</v>
      </c>
      <c r="J388" s="184" t="s">
        <v>3107</v>
      </c>
      <c r="K388" s="38"/>
      <c r="N388" s="1633"/>
      <c r="O388" s="662" t="s">
        <v>292</v>
      </c>
    </row>
    <row r="389" spans="1:32" ht="12" customHeight="1">
      <c r="A389" s="50"/>
      <c r="B389" s="55"/>
      <c r="C389" s="184" t="s">
        <v>3105</v>
      </c>
      <c r="D389" s="44"/>
      <c r="E389" s="50"/>
      <c r="F389" s="38"/>
      <c r="G389" s="1633"/>
      <c r="H389" s="662"/>
      <c r="J389" s="184" t="s">
        <v>3108</v>
      </c>
      <c r="K389" s="38"/>
      <c r="N389" s="1633"/>
      <c r="O389" s="662"/>
    </row>
    <row r="390" spans="1:32" ht="12" customHeight="1">
      <c r="A390" s="50"/>
      <c r="B390" s="55"/>
      <c r="C390" s="184" t="s">
        <v>3106</v>
      </c>
      <c r="D390" s="44"/>
      <c r="E390" s="50"/>
      <c r="F390" s="38"/>
      <c r="G390" s="1633"/>
      <c r="H390" s="662" t="s">
        <v>292</v>
      </c>
      <c r="K390" s="38"/>
      <c r="L390" s="38"/>
      <c r="M390" s="38"/>
      <c r="N390" s="50"/>
      <c r="O390" s="803"/>
    </row>
    <row r="391" spans="1:32" ht="12" customHeight="1">
      <c r="A391" s="50"/>
      <c r="B391" s="55" t="s">
        <v>2589</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74"/>
      <c r="H392" s="232"/>
      <c r="J392" s="697" t="s">
        <v>1706</v>
      </c>
      <c r="K392" s="38"/>
      <c r="N392" s="1574"/>
      <c r="O392" s="232"/>
    </row>
    <row r="393" spans="1:32" ht="12" customHeight="1">
      <c r="A393" s="50"/>
      <c r="B393" s="55"/>
      <c r="C393" s="697" t="s">
        <v>1705</v>
      </c>
      <c r="D393" s="38"/>
      <c r="E393" s="38"/>
      <c r="F393" s="38"/>
      <c r="G393" s="1574"/>
      <c r="H393" s="232"/>
      <c r="J393" s="697" t="s">
        <v>3167</v>
      </c>
      <c r="N393" s="1634"/>
      <c r="O393" s="1635"/>
      <c r="P393" s="1635"/>
      <c r="Q393" s="1636"/>
    </row>
    <row r="394" spans="1:32" ht="12" customHeight="1">
      <c r="B394" s="191" t="s">
        <v>2738</v>
      </c>
      <c r="D394" s="191"/>
      <c r="E394" s="191"/>
      <c r="F394" s="191"/>
      <c r="G394" s="191"/>
      <c r="H394" s="48"/>
      <c r="I394" s="180"/>
      <c r="J394" s="180"/>
      <c r="K394" s="180"/>
      <c r="P394" s="851"/>
      <c r="Q394" s="60"/>
    </row>
    <row r="395" spans="1:32" ht="12" customHeight="1">
      <c r="A395" s="1578"/>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3813</v>
      </c>
      <c r="C399" s="5"/>
      <c r="D399" s="115"/>
      <c r="E399" s="855"/>
      <c r="F399" s="855"/>
      <c r="G399" s="855"/>
      <c r="H399" s="855"/>
      <c r="O399" s="181" t="s">
        <v>2740</v>
      </c>
      <c r="P399" s="1116"/>
      <c r="Q399" s="1117"/>
    </row>
    <row r="400" spans="1:32" s="182" customFormat="1" ht="21.75" customHeight="1">
      <c r="B400" s="192" t="s">
        <v>2863</v>
      </c>
      <c r="C400" s="1162" t="s">
        <v>3882</v>
      </c>
      <c r="D400" s="1162"/>
      <c r="E400" s="1162"/>
      <c r="F400" s="1162"/>
      <c r="G400" s="1162"/>
      <c r="H400" s="1162"/>
      <c r="I400" s="1162"/>
      <c r="J400" s="1162"/>
      <c r="K400" s="1162"/>
      <c r="L400" s="1162"/>
      <c r="M400" s="1162"/>
      <c r="N400" s="1162"/>
      <c r="O400" s="219" t="s">
        <v>2863</v>
      </c>
      <c r="P400" s="1596" t="s">
        <v>4025</v>
      </c>
      <c r="Q400" s="354"/>
      <c r="AE400" s="806"/>
      <c r="AF400" s="806"/>
    </row>
    <row r="401" spans="1:32" s="182" customFormat="1" ht="12" customHeight="1">
      <c r="B401" s="192" t="s">
        <v>2866</v>
      </c>
      <c r="C401" s="1162" t="s">
        <v>3883</v>
      </c>
      <c r="D401" s="1162"/>
      <c r="E401" s="1162"/>
      <c r="F401" s="1162"/>
      <c r="G401" s="1162"/>
      <c r="H401" s="1162"/>
      <c r="I401" s="1162"/>
      <c r="J401" s="1162"/>
      <c r="K401" s="1162"/>
      <c r="L401" s="1162"/>
      <c r="M401" s="1162"/>
      <c r="N401" s="1162"/>
      <c r="O401" s="219" t="s">
        <v>2866</v>
      </c>
      <c r="P401" s="1596" t="s">
        <v>4025</v>
      </c>
      <c r="Q401" s="354"/>
      <c r="AE401" s="806"/>
      <c r="AF401" s="806"/>
    </row>
    <row r="402" spans="1:32" s="182" customFormat="1" ht="21.75" customHeight="1">
      <c r="B402" s="192" t="s">
        <v>1146</v>
      </c>
      <c r="C402" s="1162" t="s">
        <v>3884</v>
      </c>
      <c r="D402" s="1162"/>
      <c r="E402" s="1162"/>
      <c r="F402" s="1162"/>
      <c r="G402" s="1162"/>
      <c r="H402" s="1162"/>
      <c r="I402" s="1162"/>
      <c r="J402" s="1162"/>
      <c r="K402" s="1162"/>
      <c r="L402" s="1162"/>
      <c r="M402" s="1162"/>
      <c r="N402" s="1162"/>
      <c r="O402" s="219" t="s">
        <v>1146</v>
      </c>
      <c r="P402" s="1596" t="s">
        <v>4025</v>
      </c>
      <c r="Q402" s="354"/>
      <c r="AE402" s="806"/>
      <c r="AF402" s="806"/>
    </row>
    <row r="403" spans="1:32" s="182" customFormat="1" ht="33.75" customHeight="1">
      <c r="B403" s="192" t="s">
        <v>3005</v>
      </c>
      <c r="C403" s="1162" t="s">
        <v>3885</v>
      </c>
      <c r="D403" s="1162"/>
      <c r="E403" s="1162"/>
      <c r="F403" s="1162"/>
      <c r="G403" s="1162"/>
      <c r="H403" s="1162"/>
      <c r="I403" s="1162"/>
      <c r="J403" s="1162"/>
      <c r="K403" s="1162"/>
      <c r="L403" s="1162"/>
      <c r="M403" s="1162"/>
      <c r="N403" s="1162"/>
      <c r="O403" s="219" t="s">
        <v>3005</v>
      </c>
      <c r="P403" s="1596" t="s">
        <v>4025</v>
      </c>
      <c r="Q403" s="354"/>
      <c r="AE403" s="806"/>
      <c r="AF403" s="806"/>
    </row>
    <row r="404" spans="1:32" s="182" customFormat="1" ht="23.45" customHeight="1">
      <c r="B404" s="192" t="s">
        <v>2589</v>
      </c>
      <c r="C404" s="1162" t="s">
        <v>3886</v>
      </c>
      <c r="D404" s="1162"/>
      <c r="E404" s="1162"/>
      <c r="F404" s="1162"/>
      <c r="G404" s="1162"/>
      <c r="H404" s="1162"/>
      <c r="I404" s="1162"/>
      <c r="J404" s="1162"/>
      <c r="K404" s="1162"/>
      <c r="L404" s="1162"/>
      <c r="M404" s="1162"/>
      <c r="N404" s="1162"/>
      <c r="O404" s="219" t="s">
        <v>2589</v>
      </c>
      <c r="P404" s="1596" t="s">
        <v>4025</v>
      </c>
      <c r="Q404" s="354"/>
      <c r="AE404" s="806"/>
      <c r="AF404" s="806"/>
    </row>
    <row r="405" spans="1:32" s="182" customFormat="1" ht="21.75" customHeight="1">
      <c r="B405" s="192" t="s">
        <v>2590</v>
      </c>
      <c r="C405" s="1162" t="s">
        <v>3887</v>
      </c>
      <c r="D405" s="1162"/>
      <c r="E405" s="1162"/>
      <c r="F405" s="1162"/>
      <c r="G405" s="1162"/>
      <c r="H405" s="1162"/>
      <c r="I405" s="1162"/>
      <c r="J405" s="1162"/>
      <c r="K405" s="1162"/>
      <c r="L405" s="1162"/>
      <c r="M405" s="1162"/>
      <c r="N405" s="1162"/>
      <c r="O405" s="219" t="s">
        <v>2590</v>
      </c>
      <c r="P405" s="1596" t="s">
        <v>4025</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1807</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3814</v>
      </c>
      <c r="C411" s="5"/>
      <c r="D411" s="115"/>
      <c r="E411" s="855"/>
      <c r="F411" s="855"/>
      <c r="G411" s="855"/>
      <c r="H411" s="855"/>
      <c r="I411" s="855"/>
      <c r="J411" s="855"/>
      <c r="K411" s="855"/>
      <c r="L411" s="855"/>
      <c r="M411" s="855"/>
      <c r="O411" s="181" t="s">
        <v>2740</v>
      </c>
      <c r="P411" s="1116"/>
      <c r="Q411" s="1117"/>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11.45" customHeight="1">
      <c r="A413" s="1578"/>
      <c r="B413" s="1579"/>
      <c r="C413" s="1579"/>
      <c r="D413" s="1579"/>
      <c r="E413" s="1579"/>
      <c r="F413" s="1579"/>
      <c r="G413" s="1579"/>
      <c r="H413" s="1579"/>
      <c r="I413" s="1579"/>
      <c r="J413" s="1579"/>
      <c r="K413" s="1579"/>
      <c r="L413" s="1579"/>
      <c r="M413" s="1579"/>
      <c r="N413" s="1579"/>
      <c r="O413" s="1579"/>
      <c r="P413" s="1579"/>
      <c r="Q413" s="1580"/>
      <c r="R413" s="736" t="s">
        <v>1807</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2478</v>
      </c>
      <c r="D436" s="746"/>
      <c r="E436" s="746"/>
      <c r="F436" s="746"/>
      <c r="G436" s="746"/>
      <c r="H436" s="746"/>
      <c r="I436" s="746"/>
      <c r="J436" s="746" t="s">
        <v>1516</v>
      </c>
      <c r="K436" s="746"/>
      <c r="N436" s="704"/>
      <c r="O436" s="730"/>
      <c r="P436" s="730"/>
      <c r="AE436" s="721"/>
      <c r="AF436" s="721"/>
    </row>
    <row r="437" spans="1:32" s="697" customFormat="1" ht="11.25">
      <c r="C437" s="747" t="s">
        <v>2978</v>
      </c>
      <c r="D437" s="747"/>
      <c r="E437" s="747"/>
      <c r="F437" s="747"/>
      <c r="G437" s="747"/>
      <c r="H437" s="747"/>
      <c r="I437" s="747"/>
      <c r="J437" s="747" t="s">
        <v>2627</v>
      </c>
      <c r="K437" s="747"/>
      <c r="N437" s="704"/>
      <c r="O437" s="730"/>
      <c r="P437" s="730"/>
      <c r="AE437" s="721"/>
      <c r="AF437" s="721"/>
    </row>
    <row r="438" spans="1:32" s="697" customFormat="1" ht="11.25">
      <c r="C438" s="746" t="s">
        <v>3570</v>
      </c>
      <c r="D438" s="746"/>
      <c r="E438" s="746"/>
      <c r="F438" s="746"/>
      <c r="G438" s="746"/>
      <c r="H438" s="746"/>
      <c r="I438" s="746"/>
      <c r="J438" s="748" t="s">
        <v>2577</v>
      </c>
      <c r="K438" s="746"/>
      <c r="N438" s="704"/>
      <c r="O438" s="730"/>
      <c r="P438" s="730"/>
      <c r="AE438" s="721"/>
      <c r="AF438" s="721"/>
    </row>
    <row r="439" spans="1:32" s="697" customFormat="1" ht="11.25">
      <c r="C439" s="746" t="s">
        <v>2979</v>
      </c>
      <c r="D439" s="746"/>
      <c r="E439" s="746"/>
      <c r="F439" s="746"/>
      <c r="G439" s="746"/>
      <c r="H439" s="746"/>
      <c r="I439" s="746"/>
      <c r="J439" s="748" t="s">
        <v>275</v>
      </c>
      <c r="K439" s="746"/>
      <c r="N439" s="704"/>
      <c r="O439" s="730"/>
      <c r="P439" s="730"/>
      <c r="AE439" s="721"/>
      <c r="AF439" s="721"/>
    </row>
    <row r="440" spans="1:32" s="697" customFormat="1" ht="11.25">
      <c r="C440" s="746" t="s">
        <v>2980</v>
      </c>
      <c r="D440" s="746"/>
      <c r="E440" s="746"/>
      <c r="F440" s="746"/>
      <c r="G440" s="746"/>
      <c r="H440" s="746"/>
      <c r="I440" s="746"/>
      <c r="J440" s="747" t="s">
        <v>1710</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2490</v>
      </c>
      <c r="K442" s="746"/>
      <c r="N442" s="704"/>
      <c r="O442" s="730"/>
      <c r="P442" s="730"/>
      <c r="AE442" s="721"/>
      <c r="AF442" s="721"/>
    </row>
    <row r="443" spans="1:32" s="697" customFormat="1" ht="11.25">
      <c r="C443" s="749"/>
      <c r="D443" s="746"/>
      <c r="E443" s="746"/>
      <c r="F443" s="746"/>
      <c r="G443" s="746"/>
      <c r="H443" s="746"/>
      <c r="I443" s="746"/>
      <c r="J443" s="748" t="s">
        <v>1718</v>
      </c>
      <c r="K443" s="746"/>
      <c r="N443" s="704"/>
      <c r="O443" s="730"/>
      <c r="P443" s="730"/>
      <c r="AE443" s="721"/>
      <c r="AF443" s="721"/>
    </row>
    <row r="444" spans="1:32" s="697" customFormat="1" ht="11.25">
      <c r="C444" s="747" t="s">
        <v>2627</v>
      </c>
      <c r="D444" s="746"/>
      <c r="E444" s="746"/>
      <c r="F444" s="746"/>
      <c r="G444" s="746"/>
      <c r="H444" s="746"/>
      <c r="I444" s="746"/>
      <c r="J444" s="748" t="s">
        <v>2487</v>
      </c>
      <c r="K444" s="746"/>
      <c r="N444" s="704"/>
      <c r="O444" s="730"/>
      <c r="P444" s="730"/>
      <c r="AE444" s="721"/>
      <c r="AF444" s="721"/>
    </row>
    <row r="445" spans="1:32" s="697" customFormat="1" ht="11.25">
      <c r="C445" s="751" t="s">
        <v>1963</v>
      </c>
      <c r="D445" s="746"/>
      <c r="E445" s="746"/>
      <c r="F445" s="746"/>
      <c r="G445" s="746"/>
      <c r="H445" s="746"/>
      <c r="I445" s="746"/>
      <c r="J445" s="748" t="s">
        <v>2994</v>
      </c>
      <c r="K445" s="746"/>
      <c r="N445" s="704"/>
      <c r="O445" s="730"/>
      <c r="P445" s="730"/>
      <c r="AE445" s="721"/>
      <c r="AF445" s="721"/>
    </row>
    <row r="446" spans="1:32" s="697" customFormat="1" ht="11.25">
      <c r="C446" s="751" t="s">
        <v>1964</v>
      </c>
      <c r="D446" s="746"/>
      <c r="E446" s="746"/>
      <c r="F446" s="746"/>
      <c r="G446" s="746"/>
      <c r="H446" s="746"/>
      <c r="I446" s="746"/>
      <c r="J446" s="748" t="s">
        <v>2480</v>
      </c>
      <c r="K446" s="746"/>
      <c r="N446" s="704"/>
      <c r="O446" s="730"/>
      <c r="P446" s="730"/>
      <c r="AE446" s="721"/>
      <c r="AF446" s="721"/>
    </row>
    <row r="447" spans="1:32" s="697" customFormat="1" ht="11.25">
      <c r="C447" s="752" t="s">
        <v>3023</v>
      </c>
      <c r="D447" s="746"/>
      <c r="E447" s="746"/>
      <c r="F447" s="746"/>
      <c r="G447" s="746"/>
      <c r="H447" s="746"/>
      <c r="I447" s="746"/>
      <c r="J447" s="748" t="s">
        <v>1719</v>
      </c>
      <c r="K447" s="746"/>
      <c r="N447" s="704"/>
      <c r="O447" s="730"/>
      <c r="P447" s="730"/>
      <c r="AE447" s="721"/>
      <c r="AF447" s="721"/>
    </row>
    <row r="448" spans="1:32" s="697" customFormat="1" ht="11.25">
      <c r="C448" s="752" t="s">
        <v>1960</v>
      </c>
      <c r="D448" s="746"/>
      <c r="E448" s="746"/>
      <c r="F448" s="746"/>
      <c r="G448" s="746"/>
      <c r="H448" s="746"/>
      <c r="I448" s="746"/>
      <c r="J448" s="748" t="s">
        <v>837</v>
      </c>
      <c r="K448" s="746"/>
      <c r="N448" s="704"/>
      <c r="O448" s="730"/>
      <c r="P448" s="730"/>
      <c r="AE448" s="721"/>
      <c r="AF448" s="721"/>
    </row>
    <row r="449" spans="3:32" s="697" customFormat="1" ht="11.25">
      <c r="C449" s="752" t="s">
        <v>1961</v>
      </c>
      <c r="D449" s="746"/>
      <c r="E449" s="746"/>
      <c r="F449" s="746"/>
      <c r="G449" s="746"/>
      <c r="H449" s="746"/>
      <c r="I449" s="746"/>
      <c r="J449" s="748" t="s">
        <v>2486</v>
      </c>
      <c r="K449" s="746"/>
      <c r="N449" s="704"/>
      <c r="O449" s="730"/>
      <c r="P449" s="730"/>
      <c r="AE449" s="721"/>
      <c r="AF449" s="721"/>
    </row>
    <row r="450" spans="3:32" s="697" customFormat="1" ht="11.25">
      <c r="C450" s="751" t="s">
        <v>3018</v>
      </c>
      <c r="D450" s="746"/>
      <c r="E450" s="746"/>
      <c r="F450" s="746"/>
      <c r="G450" s="746"/>
      <c r="H450" s="746"/>
      <c r="I450" s="746"/>
      <c r="J450" s="748" t="s">
        <v>1712</v>
      </c>
      <c r="K450" s="746"/>
      <c r="N450" s="704"/>
      <c r="O450" s="730"/>
      <c r="P450" s="730"/>
      <c r="AE450" s="721"/>
      <c r="AF450" s="721"/>
    </row>
    <row r="451" spans="3:32" s="697" customFormat="1" ht="11.25">
      <c r="C451" s="751" t="s">
        <v>3019</v>
      </c>
      <c r="D451" s="746"/>
      <c r="E451" s="746"/>
      <c r="F451" s="746"/>
      <c r="G451" s="746"/>
      <c r="H451" s="746"/>
      <c r="I451" s="746"/>
      <c r="J451" s="748" t="s">
        <v>1711</v>
      </c>
      <c r="K451" s="747"/>
      <c r="N451" s="704"/>
      <c r="O451" s="730"/>
      <c r="P451" s="730"/>
      <c r="AE451" s="721"/>
      <c r="AF451" s="721"/>
    </row>
    <row r="452" spans="3:32" s="697" customFormat="1" ht="11.25">
      <c r="C452" s="751" t="s">
        <v>3020</v>
      </c>
      <c r="D452" s="747"/>
      <c r="E452" s="747"/>
      <c r="F452" s="747"/>
      <c r="G452" s="747"/>
      <c r="H452" s="747"/>
      <c r="I452" s="747"/>
      <c r="J452" s="748" t="s">
        <v>2578</v>
      </c>
      <c r="K452" s="747"/>
      <c r="N452" s="704"/>
      <c r="O452" s="730"/>
      <c r="P452" s="730"/>
      <c r="AE452" s="721"/>
      <c r="AF452" s="721"/>
    </row>
    <row r="453" spans="3:32" s="697" customFormat="1" ht="11.25">
      <c r="C453" s="751" t="s">
        <v>3021</v>
      </c>
      <c r="D453" s="747"/>
      <c r="E453" s="747"/>
      <c r="F453" s="747"/>
      <c r="G453" s="747"/>
      <c r="H453" s="747"/>
      <c r="I453" s="747"/>
      <c r="J453" s="748" t="s">
        <v>2489</v>
      </c>
      <c r="K453" s="747"/>
      <c r="N453" s="704"/>
      <c r="O453" s="730"/>
      <c r="P453" s="730"/>
      <c r="AE453" s="721"/>
      <c r="AF453" s="721"/>
    </row>
    <row r="454" spans="3:32" s="697" customFormat="1" ht="11.25">
      <c r="C454" s="751" t="s">
        <v>3022</v>
      </c>
      <c r="D454" s="747"/>
      <c r="E454" s="747"/>
      <c r="F454" s="747"/>
      <c r="G454" s="747"/>
      <c r="H454" s="747"/>
      <c r="I454" s="747"/>
      <c r="J454" s="748" t="s">
        <v>2481</v>
      </c>
      <c r="K454" s="747"/>
      <c r="N454" s="704"/>
      <c r="O454" s="730"/>
      <c r="P454" s="730"/>
      <c r="AE454" s="721"/>
      <c r="AF454" s="721"/>
    </row>
    <row r="455" spans="3:32" s="697" customFormat="1" ht="11.25">
      <c r="C455" s="751" t="s">
        <v>1962</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2194</v>
      </c>
      <c r="D458" s="746"/>
      <c r="E458" s="746"/>
      <c r="F458" s="746"/>
      <c r="G458" s="746"/>
      <c r="H458" s="746"/>
      <c r="I458" s="746"/>
      <c r="J458" s="746"/>
      <c r="K458" s="746"/>
      <c r="AE458" s="665"/>
      <c r="AF458" s="665"/>
    </row>
    <row r="459" spans="3:32" s="65" customFormat="1" ht="11.25">
      <c r="C459" s="746" t="s">
        <v>2627</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2479</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275</v>
      </c>
      <c r="D465" s="747"/>
      <c r="E465" s="747"/>
      <c r="F465" s="747"/>
      <c r="G465" s="747"/>
      <c r="H465" s="746"/>
      <c r="I465" s="747"/>
      <c r="J465" s="746"/>
      <c r="K465" s="747"/>
      <c r="L465" s="697"/>
      <c r="M465" s="697"/>
      <c r="AE465" s="665"/>
      <c r="AF465" s="665"/>
    </row>
    <row r="466" spans="3:32" s="65" customFormat="1" ht="11.25">
      <c r="C466" s="746" t="s">
        <v>2480</v>
      </c>
      <c r="D466" s="747"/>
      <c r="E466" s="747"/>
      <c r="F466" s="747"/>
      <c r="G466" s="747"/>
      <c r="H466" s="746"/>
      <c r="I466" s="747"/>
      <c r="J466" s="746"/>
      <c r="K466" s="747"/>
      <c r="L466" s="697"/>
      <c r="M466" s="697"/>
      <c r="AE466" s="665"/>
      <c r="AF466" s="665"/>
    </row>
    <row r="467" spans="3:32" s="65" customFormat="1" ht="11.25">
      <c r="C467" s="746" t="s">
        <v>2481</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2195</v>
      </c>
      <c r="D469" s="747"/>
      <c r="E469" s="747"/>
      <c r="F469" s="747"/>
      <c r="G469" s="747"/>
      <c r="H469" s="747"/>
      <c r="I469" s="747"/>
      <c r="J469" s="747"/>
      <c r="K469" s="747"/>
      <c r="L469" s="697"/>
      <c r="M469" s="697"/>
      <c r="AE469" s="665"/>
      <c r="AF469" s="665"/>
    </row>
    <row r="470" spans="3:32" s="65" customFormat="1" ht="11.25">
      <c r="C470" s="746" t="s">
        <v>2483</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2485</v>
      </c>
      <c r="D472" s="747"/>
      <c r="E472" s="747"/>
      <c r="F472" s="747"/>
      <c r="G472" s="747"/>
      <c r="H472" s="747"/>
      <c r="I472" s="747"/>
      <c r="J472" s="747"/>
      <c r="K472" s="747"/>
      <c r="L472" s="697"/>
      <c r="M472" s="697"/>
      <c r="N472" s="65" t="s">
        <v>3514</v>
      </c>
      <c r="AE472" s="665"/>
      <c r="AF472" s="665"/>
    </row>
    <row r="473" spans="3:32" s="65" customFormat="1" ht="11.25">
      <c r="C473" s="746" t="s">
        <v>2486</v>
      </c>
      <c r="D473" s="747"/>
      <c r="E473" s="747"/>
      <c r="F473" s="747"/>
      <c r="G473" s="747"/>
      <c r="H473" s="747"/>
      <c r="I473" s="747"/>
      <c r="J473" s="747"/>
      <c r="K473" s="747"/>
      <c r="L473" s="697"/>
      <c r="M473" s="697"/>
      <c r="AE473" s="665"/>
      <c r="AF473" s="665"/>
    </row>
    <row r="474" spans="3:32" s="65" customFormat="1" ht="11.25">
      <c r="C474" s="746" t="s">
        <v>2487</v>
      </c>
      <c r="D474" s="747"/>
      <c r="E474" s="747"/>
      <c r="F474" s="747"/>
      <c r="G474" s="747"/>
      <c r="H474" s="747"/>
      <c r="I474" s="747"/>
      <c r="J474" s="747"/>
      <c r="K474" s="747"/>
      <c r="L474" s="697"/>
      <c r="M474" s="697"/>
      <c r="AE474" s="665"/>
      <c r="AF474" s="665"/>
    </row>
    <row r="475" spans="3:32" s="65" customFormat="1" ht="11.25">
      <c r="C475" s="746" t="s">
        <v>837</v>
      </c>
      <c r="D475" s="747"/>
      <c r="E475" s="747"/>
      <c r="F475" s="747"/>
      <c r="G475" s="747"/>
      <c r="H475" s="747"/>
      <c r="I475" s="747"/>
      <c r="J475" s="747"/>
      <c r="K475" s="747"/>
      <c r="L475" s="697"/>
      <c r="M475" s="697"/>
      <c r="AE475" s="665"/>
      <c r="AF475" s="665"/>
    </row>
    <row r="476" spans="3:32" s="65" customFormat="1" ht="11.25">
      <c r="C476" s="746" t="s">
        <v>2488</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274</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2646</v>
      </c>
      <c r="D480" s="746"/>
      <c r="E480" s="746"/>
      <c r="F480" s="746"/>
      <c r="G480" s="746"/>
      <c r="H480" s="746"/>
      <c r="I480" s="746"/>
      <c r="J480" s="746"/>
      <c r="K480" s="746"/>
      <c r="AE480" s="665"/>
      <c r="AF480" s="665"/>
    </row>
    <row r="481" spans="3:32" s="65" customFormat="1" ht="11.25">
      <c r="C481" s="746" t="s">
        <v>1422</v>
      </c>
      <c r="D481" s="746"/>
      <c r="E481" s="746"/>
      <c r="F481" s="746"/>
      <c r="G481" s="746"/>
      <c r="H481" s="746"/>
      <c r="I481" s="746"/>
      <c r="J481" s="746"/>
      <c r="K481" s="746"/>
      <c r="AE481" s="665"/>
      <c r="AF481" s="665"/>
    </row>
    <row r="482" spans="3:32" s="65" customFormat="1" ht="11.25">
      <c r="C482" s="751" t="s">
        <v>2381</v>
      </c>
      <c r="D482" s="746"/>
      <c r="E482" s="746"/>
      <c r="F482" s="746"/>
      <c r="G482" s="746"/>
      <c r="H482" s="746"/>
      <c r="I482" s="746"/>
      <c r="J482" s="746"/>
      <c r="K482" s="746"/>
      <c r="AE482" s="665"/>
      <c r="AF482" s="665"/>
    </row>
    <row r="483" spans="3:32" s="65" customFormat="1" ht="11.25">
      <c r="C483" s="751" t="s">
        <v>1001</v>
      </c>
      <c r="D483" s="746"/>
      <c r="E483" s="746"/>
      <c r="F483" s="746"/>
      <c r="G483" s="746"/>
      <c r="H483" s="746"/>
      <c r="I483" s="746"/>
      <c r="J483" s="746"/>
      <c r="K483" s="746"/>
      <c r="L483" s="48"/>
      <c r="AE483" s="665"/>
      <c r="AF483" s="665"/>
    </row>
    <row r="484" spans="3:32" s="65" customFormat="1" ht="11.25">
      <c r="C484" s="751" t="s">
        <v>1002</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1442</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1953</v>
      </c>
      <c r="D496" s="746"/>
      <c r="E496" s="746"/>
      <c r="F496" s="746"/>
      <c r="G496" s="746"/>
      <c r="H496" s="746"/>
      <c r="I496" s="746"/>
      <c r="J496" s="746"/>
      <c r="K496" s="746"/>
      <c r="L496" s="48"/>
      <c r="AE496" s="665"/>
      <c r="AF496" s="665"/>
    </row>
    <row r="497" spans="3:32" s="65" customFormat="1" ht="11.25">
      <c r="C497" s="754" t="s">
        <v>2193</v>
      </c>
      <c r="D497" s="746"/>
      <c r="E497" s="746"/>
      <c r="F497" s="746"/>
      <c r="G497" s="746"/>
      <c r="H497" s="746"/>
      <c r="I497" s="746"/>
      <c r="J497" s="746"/>
      <c r="K497" s="755" t="s">
        <v>636</v>
      </c>
      <c r="L497" s="48"/>
      <c r="AE497" s="665"/>
      <c r="AF497" s="665"/>
    </row>
    <row r="498" spans="3:32" s="65" customFormat="1" ht="11.25">
      <c r="C498" s="754" t="s">
        <v>3843</v>
      </c>
      <c r="D498" s="746"/>
      <c r="E498" s="746"/>
      <c r="F498" s="746"/>
      <c r="G498" s="746"/>
      <c r="H498" s="746"/>
      <c r="I498" s="746"/>
      <c r="J498" s="746"/>
      <c r="K498" s="746" t="s">
        <v>1597</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1743</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310</v>
      </c>
      <c r="D502" s="746"/>
      <c r="E502" s="746"/>
      <c r="F502" s="746"/>
      <c r="G502" s="746"/>
      <c r="H502" s="746"/>
      <c r="I502" s="746"/>
      <c r="J502" s="746"/>
      <c r="K502" s="755" t="s">
        <v>3154</v>
      </c>
      <c r="AE502" s="665"/>
      <c r="AF502" s="665"/>
    </row>
    <row r="503" spans="3:32" s="65" customFormat="1" ht="11.25">
      <c r="C503" s="746" t="s">
        <v>1598</v>
      </c>
      <c r="D503" s="746"/>
      <c r="E503" s="746"/>
      <c r="F503" s="746"/>
      <c r="G503" s="746"/>
      <c r="H503" s="746"/>
      <c r="I503" s="746"/>
      <c r="J503" s="746"/>
      <c r="K503" s="746" t="s">
        <v>3249</v>
      </c>
      <c r="AE503" s="665"/>
      <c r="AF503" s="665"/>
    </row>
    <row r="504" spans="3:32" s="65" customFormat="1" ht="11.25">
      <c r="C504" s="746" t="s">
        <v>208</v>
      </c>
      <c r="D504" s="746"/>
      <c r="E504" s="746"/>
      <c r="F504" s="746"/>
      <c r="G504" s="746"/>
      <c r="H504" s="746"/>
      <c r="I504" s="746"/>
      <c r="J504" s="746"/>
      <c r="K504" s="746" t="s">
        <v>2028</v>
      </c>
      <c r="AE504" s="665"/>
      <c r="AF504" s="665"/>
    </row>
    <row r="505" spans="3:32" s="65" customFormat="1" ht="11.25">
      <c r="C505" s="746" t="s">
        <v>2128</v>
      </c>
      <c r="D505" s="746"/>
      <c r="E505" s="746"/>
      <c r="F505" s="746"/>
      <c r="G505" s="746"/>
      <c r="H505" s="746"/>
      <c r="I505" s="746"/>
      <c r="J505" s="746"/>
      <c r="K505" s="746" t="s">
        <v>1651</v>
      </c>
      <c r="AE505" s="665"/>
      <c r="AF505" s="665"/>
    </row>
    <row r="506" spans="3:32" s="65" customFormat="1" ht="11.25">
      <c r="C506" s="746" t="s">
        <v>3008</v>
      </c>
      <c r="D506" s="746"/>
      <c r="E506" s="746"/>
      <c r="F506" s="746"/>
      <c r="G506" s="746"/>
      <c r="H506" s="746"/>
      <c r="I506" s="746"/>
      <c r="J506" s="746"/>
      <c r="K506" s="746" t="s">
        <v>1650</v>
      </c>
      <c r="AE506" s="665"/>
      <c r="AF506" s="665"/>
    </row>
    <row r="507" spans="3:32" s="65" customFormat="1" ht="11.25">
      <c r="C507" s="746" t="s">
        <v>207</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1596</v>
      </c>
      <c r="AE509" s="665"/>
      <c r="AF509" s="665"/>
    </row>
    <row r="510" spans="3:32" s="65" customFormat="1" ht="11.25">
      <c r="C510" s="746"/>
      <c r="D510" s="746"/>
      <c r="E510" s="746"/>
      <c r="F510" s="746"/>
      <c r="G510" s="746"/>
      <c r="H510" s="746"/>
      <c r="I510" s="746"/>
      <c r="J510" s="746"/>
      <c r="K510" s="746" t="s">
        <v>2606</v>
      </c>
      <c r="AE510" s="665"/>
      <c r="AF510" s="665"/>
    </row>
    <row r="511" spans="3:32" s="65" customFormat="1" ht="11.25">
      <c r="C511" s="746"/>
      <c r="D511" s="746"/>
      <c r="E511" s="746"/>
      <c r="F511" s="746"/>
      <c r="G511" s="746"/>
      <c r="H511" s="746"/>
      <c r="I511" s="746"/>
      <c r="J511" s="746"/>
      <c r="K511" s="746" t="s">
        <v>1652</v>
      </c>
      <c r="AE511" s="665"/>
      <c r="AF511" s="665"/>
    </row>
    <row r="512" spans="3:32" s="65" customFormat="1" ht="11.25">
      <c r="C512" s="746"/>
      <c r="D512" s="746"/>
      <c r="E512" s="746"/>
      <c r="F512" s="746"/>
      <c r="G512" s="746"/>
      <c r="H512" s="746"/>
      <c r="I512" s="746"/>
      <c r="J512" s="746"/>
      <c r="K512" s="746" t="s">
        <v>2607</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1517</v>
      </c>
      <c r="D515" s="746"/>
      <c r="E515" s="746"/>
      <c r="F515" s="746"/>
      <c r="G515" s="746"/>
      <c r="H515" s="746"/>
      <c r="I515" s="746"/>
      <c r="J515" s="746"/>
      <c r="K515" s="753" t="s">
        <v>1518</v>
      </c>
      <c r="AE515" s="665"/>
      <c r="AF515" s="665"/>
    </row>
    <row r="516" spans="3:32" s="65" customFormat="1" ht="11.25">
      <c r="C516" s="746" t="s">
        <v>1516</v>
      </c>
      <c r="D516" s="746"/>
      <c r="E516" s="746"/>
      <c r="F516" s="746"/>
      <c r="G516" s="746"/>
      <c r="H516" s="746"/>
      <c r="I516" s="746"/>
      <c r="J516" s="746"/>
      <c r="K516" s="746" t="s">
        <v>1516</v>
      </c>
      <c r="AE516" s="665"/>
      <c r="AF516" s="665"/>
    </row>
    <row r="517" spans="3:32" s="65" customFormat="1" ht="11.25">
      <c r="C517" s="746" t="s">
        <v>2978</v>
      </c>
      <c r="D517" s="746"/>
      <c r="E517" s="746"/>
      <c r="F517" s="746"/>
      <c r="G517" s="746"/>
      <c r="H517" s="746"/>
      <c r="I517" s="746"/>
      <c r="J517" s="746"/>
      <c r="K517" s="746" t="s">
        <v>275</v>
      </c>
      <c r="AE517" s="665"/>
      <c r="AF517" s="665"/>
    </row>
    <row r="518" spans="3:32" s="65" customFormat="1" ht="11.25">
      <c r="C518" s="746" t="s">
        <v>3570</v>
      </c>
      <c r="D518" s="746"/>
      <c r="E518" s="746"/>
      <c r="F518" s="746"/>
      <c r="G518" s="746"/>
      <c r="H518" s="746"/>
      <c r="I518" s="746"/>
      <c r="J518" s="746"/>
      <c r="K518" s="746" t="s">
        <v>671</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836</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2686</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1686</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835</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837</v>
      </c>
      <c r="AE529" s="665"/>
      <c r="AF529" s="665"/>
    </row>
    <row r="530" spans="1:32" s="65" customFormat="1" ht="11.25">
      <c r="C530" s="746"/>
      <c r="D530" s="746"/>
      <c r="E530" s="746"/>
      <c r="F530" s="746"/>
      <c r="G530" s="746"/>
      <c r="H530" s="746"/>
      <c r="I530" s="746"/>
      <c r="J530" s="746"/>
      <c r="K530" s="746" t="s">
        <v>274</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2012-056 Silver Comet Senior Village, Powder Springs, Cobb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314</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1765</v>
      </c>
      <c r="M6" s="389">
        <f>M291</f>
        <v>102</v>
      </c>
      <c r="N6" s="10"/>
      <c r="O6" s="77">
        <f>O291</f>
        <v>53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1558</v>
      </c>
      <c r="C8" s="5"/>
      <c r="D8" s="5"/>
      <c r="E8" s="5"/>
      <c r="F8" s="11"/>
      <c r="H8" s="57" t="s">
        <v>2370</v>
      </c>
      <c r="M8" s="3">
        <v>10</v>
      </c>
      <c r="N8" s="146"/>
      <c r="O8" s="77">
        <f>MIN($M8, $M8-O10-O11-O12)</f>
        <v>10</v>
      </c>
      <c r="P8" s="77">
        <f>MIN($M8, $M8-P10-P11-P12)</f>
        <v>10</v>
      </c>
      <c r="Q8" s="148" t="s">
        <v>613</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3621</v>
      </c>
      <c r="G10" s="38">
        <f>F16</f>
        <v>0</v>
      </c>
      <c r="H10" s="244" t="s">
        <v>302</v>
      </c>
      <c r="M10" s="7">
        <v>7</v>
      </c>
      <c r="N10" s="78" t="s">
        <v>2863</v>
      </c>
      <c r="O10" s="1638"/>
      <c r="P10" s="66"/>
    </row>
    <row r="11" spans="1:19" s="50" customFormat="1" ht="11.25" customHeight="1">
      <c r="A11" s="255" t="s">
        <v>2866</v>
      </c>
      <c r="B11" s="236" t="s">
        <v>1123</v>
      </c>
      <c r="D11" s="56"/>
      <c r="E11" s="56"/>
      <c r="F11" s="823" t="s">
        <v>3621</v>
      </c>
      <c r="G11" s="38">
        <f>K16</f>
        <v>0</v>
      </c>
      <c r="H11" s="244" t="s">
        <v>303</v>
      </c>
      <c r="J11" s="57"/>
      <c r="M11" s="7">
        <v>0</v>
      </c>
      <c r="N11" s="78" t="s">
        <v>2866</v>
      </c>
      <c r="O11" s="1638"/>
      <c r="P11" s="66"/>
      <c r="Q11" s="148"/>
    </row>
    <row r="12" spans="1:19" s="51" customFormat="1" ht="11.25" customHeight="1">
      <c r="A12" s="255" t="s">
        <v>1146</v>
      </c>
      <c r="B12" s="236" t="s">
        <v>3003</v>
      </c>
      <c r="D12" s="56"/>
      <c r="E12" s="56"/>
      <c r="F12" s="823" t="s">
        <v>3621</v>
      </c>
      <c r="G12" s="38">
        <f>P16</f>
        <v>0</v>
      </c>
      <c r="H12" s="244" t="s">
        <v>304</v>
      </c>
      <c r="J12" s="57"/>
      <c r="M12" s="7">
        <v>1</v>
      </c>
      <c r="N12" s="78" t="s">
        <v>1146</v>
      </c>
      <c r="O12" s="1638"/>
      <c r="P12" s="66"/>
    </row>
    <row r="13" spans="1:19" s="50" customFormat="1" ht="11.25" customHeight="1">
      <c r="A13" s="57" t="s">
        <v>313</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1807</v>
      </c>
      <c r="R14" s="737"/>
    </row>
    <row r="15" spans="1:19" s="50" customFormat="1" ht="10.9" customHeight="1">
      <c r="A15" s="80" t="s">
        <v>2739</v>
      </c>
      <c r="C15" s="126"/>
      <c r="D15" s="126"/>
      <c r="F15" s="180" t="s">
        <v>2567</v>
      </c>
      <c r="K15" s="180" t="s">
        <v>2567</v>
      </c>
      <c r="P15" s="803" t="s">
        <v>2567</v>
      </c>
      <c r="R15" s="738"/>
      <c r="S15" s="215"/>
    </row>
    <row r="16" spans="1:19" s="50" customFormat="1" ht="12" customHeight="1">
      <c r="A16" s="1197" t="s">
        <v>3382</v>
      </c>
      <c r="B16" s="1197"/>
      <c r="C16" s="1197"/>
      <c r="D16" s="1197"/>
      <c r="E16" s="79" t="s">
        <v>740</v>
      </c>
      <c r="F16" s="93">
        <f>SUM(F17:F28)</f>
        <v>0</v>
      </c>
      <c r="G16" s="1198" t="s">
        <v>3383</v>
      </c>
      <c r="H16" s="1197"/>
      <c r="I16" s="1197"/>
      <c r="J16" s="79" t="s">
        <v>740</v>
      </c>
      <c r="K16" s="93">
        <f>SUM(K17:K28)</f>
        <v>0</v>
      </c>
      <c r="L16" s="860" t="s">
        <v>2099</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1807</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1519</v>
      </c>
      <c r="E30" s="69"/>
      <c r="G30" s="116"/>
      <c r="H30" s="62"/>
      <c r="K30" s="150"/>
      <c r="L30" s="558" t="str">
        <f>IF($O30&gt;$M30,"* * Check Score! * *","")</f>
        <v/>
      </c>
      <c r="M30" s="1">
        <v>4</v>
      </c>
      <c r="N30" s="8"/>
      <c r="O30" s="204">
        <f>IF($L$32 &gt;= $P$32,$M$32,IF($L$31&gt;=$P$31,$M$31,0))</f>
        <v>3</v>
      </c>
      <c r="P30" s="204">
        <f>IF($L$32 &gt;= $P$32,$M$32,IF($L$31&gt;=$P$31,$M$31,0))</f>
        <v>3</v>
      </c>
      <c r="Q30" s="148" t="s">
        <v>613</v>
      </c>
      <c r="R30" s="558" t="str">
        <f>IF(OR($O30=$M30,$O30=0,$O30=""),"","* * Check Score! * *")</f>
        <v>* * Check Score! * *</v>
      </c>
    </row>
    <row r="31" spans="1:19" s="688" customFormat="1" ht="11.25" customHeight="1">
      <c r="A31" s="687" t="s">
        <v>2863</v>
      </c>
      <c r="B31" s="155" t="s">
        <v>3703</v>
      </c>
      <c r="E31" s="689"/>
      <c r="H31" s="660" t="s">
        <v>3858</v>
      </c>
      <c r="I31" s="1639">
        <v>14</v>
      </c>
      <c r="K31" s="660" t="s">
        <v>3860</v>
      </c>
      <c r="L31" s="691">
        <f>IF(OR('Part VI-Revenues &amp; Expenses'!$M$60="", 'Part VI-Revenues &amp; Expenses'!$M$60=0),0,I31/'Part VI-Revenues &amp; Expenses'!$M$60)</f>
        <v>0.16666666666666666</v>
      </c>
      <c r="M31" s="1">
        <v>3</v>
      </c>
      <c r="N31" s="690"/>
      <c r="O31" s="1205" t="s">
        <v>3929</v>
      </c>
      <c r="P31" s="735">
        <v>0.15</v>
      </c>
    </row>
    <row r="32" spans="1:19" s="688" customFormat="1" ht="11.25" customHeight="1">
      <c r="A32" s="687" t="s">
        <v>2866</v>
      </c>
      <c r="B32" s="155" t="s">
        <v>3704</v>
      </c>
      <c r="E32" s="689"/>
      <c r="H32" s="660" t="s">
        <v>3705</v>
      </c>
      <c r="I32" s="1639"/>
      <c r="K32" s="660" t="s">
        <v>3860</v>
      </c>
      <c r="L32" s="691">
        <f>IF(OR('Part VI-Revenues &amp; Expenses'!$M$60="", 'Part VI-Revenues &amp; Expenses'!$M$60=0),0,I32/'Part VI-Revenues &amp; Expenses'!$M$60)</f>
        <v>0</v>
      </c>
      <c r="M32" s="1">
        <v>4</v>
      </c>
      <c r="N32" s="690"/>
      <c r="O32" s="1206"/>
      <c r="P32" s="735">
        <v>0.3</v>
      </c>
    </row>
    <row r="33" spans="1:18" s="51" customFormat="1" ht="11.25" customHeight="1">
      <c r="A33" s="50"/>
      <c r="B33" s="57" t="s">
        <v>313</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3550</v>
      </c>
      <c r="B38" s="144" t="s">
        <v>2747</v>
      </c>
      <c r="D38" s="49"/>
      <c r="H38" s="244" t="s">
        <v>852</v>
      </c>
      <c r="I38" s="47"/>
      <c r="J38" s="56"/>
      <c r="K38" s="44"/>
      <c r="M38" s="3">
        <v>12</v>
      </c>
      <c r="N38" s="803"/>
      <c r="O38" s="204">
        <f>IF(OR($M$40-O$41&lt;0,O$40-O$41&lt;0),0,IF(O$40&lt;=$M$40,O$40-O$41,IF(O$40&gt;$M$40,$M$40-O$41,0)))</f>
        <v>12</v>
      </c>
      <c r="P38" s="204">
        <f>IF(OR($M$40-P$41&lt;0,P$40-P$41&lt;0),0,IF(P$40&lt;=$M$40,P$40-P$41,IF(P$40&gt;$M$40,$M$40-P$41,0)))</f>
        <v>0</v>
      </c>
      <c r="Q38" s="148" t="s">
        <v>613</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0">
        <v>12</v>
      </c>
      <c r="P40" s="85"/>
      <c r="R40" s="558"/>
    </row>
    <row r="41" spans="1:18" s="51" customFormat="1" ht="12.6" customHeight="1">
      <c r="A41" s="189" t="s">
        <v>2866</v>
      </c>
      <c r="B41" s="236" t="s">
        <v>2749</v>
      </c>
      <c r="D41" s="49"/>
      <c r="E41" s="244" t="s">
        <v>589</v>
      </c>
      <c r="F41" s="585"/>
      <c r="G41" s="585"/>
      <c r="H41" s="585"/>
      <c r="M41" s="180" t="s">
        <v>1778</v>
      </c>
      <c r="N41" s="803" t="s">
        <v>2866</v>
      </c>
      <c r="O41" s="1638"/>
      <c r="P41" s="85"/>
      <c r="Q41" s="148"/>
      <c r="R41" s="558"/>
    </row>
    <row r="42" spans="1:18" s="51" customFormat="1" ht="12" customHeight="1">
      <c r="A42" s="50"/>
      <c r="D42" s="49"/>
      <c r="E42" s="49"/>
      <c r="F42" s="49"/>
      <c r="G42" s="49"/>
      <c r="I42" s="47"/>
      <c r="K42" s="56"/>
    </row>
    <row r="43" spans="1:18" s="51" customFormat="1" ht="11.25" customHeight="1">
      <c r="A43" s="50"/>
      <c r="B43" s="57" t="s">
        <v>313</v>
      </c>
      <c r="C43" s="50"/>
      <c r="D43" s="56"/>
      <c r="E43" s="56"/>
      <c r="F43" s="56"/>
      <c r="G43" s="56"/>
      <c r="H43" s="44"/>
      <c r="I43" s="44"/>
      <c r="J43" s="44"/>
      <c r="K43" s="44"/>
      <c r="M43" s="54"/>
      <c r="N43" s="74"/>
      <c r="O43" s="4"/>
      <c r="P43" s="854"/>
    </row>
    <row r="44" spans="1:18" s="51" customFormat="1" ht="23.45" customHeight="1">
      <c r="A44" s="1578"/>
      <c r="B44" s="1579"/>
      <c r="C44" s="1579"/>
      <c r="D44" s="1579"/>
      <c r="E44" s="1579"/>
      <c r="F44" s="1579"/>
      <c r="G44" s="1579"/>
      <c r="H44" s="1579"/>
      <c r="I44" s="1579"/>
      <c r="J44" s="1579"/>
      <c r="K44" s="1579"/>
      <c r="L44" s="1579"/>
      <c r="M44" s="1579"/>
      <c r="N44" s="1579"/>
      <c r="O44" s="1579"/>
      <c r="P44" s="1580"/>
      <c r="Q44" s="736" t="s">
        <v>1807</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1807</v>
      </c>
      <c r="R46" s="737"/>
    </row>
    <row r="47" spans="1:18" ht="3.6" customHeight="1">
      <c r="M47" s="40"/>
      <c r="N47" s="157"/>
      <c r="O47" s="205"/>
      <c r="P47" s="205"/>
    </row>
    <row r="48" spans="1:18" ht="3" customHeight="1"/>
    <row r="49" spans="1:18" s="51" customFormat="1" ht="12.6" customHeight="1">
      <c r="A49" s="209" t="s">
        <v>1763</v>
      </c>
      <c r="B49" s="144" t="s">
        <v>3758</v>
      </c>
      <c r="D49" s="49"/>
      <c r="H49" s="53" t="s">
        <v>3861</v>
      </c>
      <c r="I49" s="57" t="s">
        <v>2756</v>
      </c>
      <c r="J49" s="56"/>
      <c r="K49" s="56"/>
      <c r="M49" s="3">
        <v>3</v>
      </c>
      <c r="N49" s="803"/>
      <c r="O49" s="204">
        <f>MIN($M49,(O50+O51+O52))</f>
        <v>3</v>
      </c>
      <c r="P49" s="204">
        <f>MIN($M49,(P50+P51+P52))</f>
        <v>0</v>
      </c>
      <c r="Q49" s="148" t="s">
        <v>613</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40">
        <v>3</v>
      </c>
      <c r="P50" s="85"/>
      <c r="R50" s="558"/>
    </row>
    <row r="51" spans="1:18" s="51" customFormat="1" ht="12.6" customHeight="1">
      <c r="A51" s="189" t="s">
        <v>2866</v>
      </c>
      <c r="B51" s="236" t="s">
        <v>3719</v>
      </c>
      <c r="E51" s="49"/>
      <c r="K51" s="56"/>
      <c r="L51" s="558" t="str">
        <f>IF(OR($O51=$M51,$O51=0,$O51=""),"","* * Check Score! * *")</f>
        <v/>
      </c>
      <c r="M51" s="3">
        <v>2</v>
      </c>
      <c r="N51" s="803" t="s">
        <v>2866</v>
      </c>
      <c r="O51" s="1640"/>
      <c r="P51" s="85"/>
      <c r="R51" s="558"/>
    </row>
    <row r="52" spans="1:18" s="51" customFormat="1" ht="12.6" customHeight="1">
      <c r="A52" s="189" t="s">
        <v>1146</v>
      </c>
      <c r="B52" s="236" t="s">
        <v>3761</v>
      </c>
      <c r="E52" s="49"/>
      <c r="K52" s="56"/>
      <c r="L52" s="558" t="str">
        <f>IF(OR($O52=$M52,$O52=0,$O52=""),"","* * Check Score! * *")</f>
        <v/>
      </c>
      <c r="M52" s="3">
        <v>1</v>
      </c>
      <c r="N52" s="250" t="s">
        <v>1146</v>
      </c>
      <c r="O52" s="1640"/>
      <c r="P52" s="85"/>
      <c r="R52" s="558"/>
    </row>
    <row r="53" spans="1:18" s="134" customFormat="1" ht="11.45" customHeight="1">
      <c r="A53" s="50"/>
      <c r="B53" s="57" t="s">
        <v>313</v>
      </c>
      <c r="C53" s="50"/>
      <c r="D53" s="56"/>
      <c r="E53" s="56"/>
      <c r="F53" s="56"/>
      <c r="G53" s="56"/>
      <c r="H53" s="44"/>
      <c r="I53" s="44"/>
      <c r="J53" s="44"/>
      <c r="K53" s="44"/>
      <c r="M53" s="54"/>
      <c r="N53" s="7"/>
      <c r="O53" s="4"/>
      <c r="P53" s="3"/>
    </row>
    <row r="54" spans="1:18" s="51" customFormat="1" ht="23.45" customHeight="1">
      <c r="A54" s="1578" t="s">
        <v>4042</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1764</v>
      </c>
      <c r="B58" s="144" t="s">
        <v>3759</v>
      </c>
      <c r="D58" s="49"/>
      <c r="E58" s="586" t="s">
        <v>3441</v>
      </c>
      <c r="I58" s="57" t="s">
        <v>2756</v>
      </c>
      <c r="M58" s="3">
        <v>1</v>
      </c>
      <c r="N58" s="601" t="str">
        <f>IF(OR($O58=$M58,$O58=0,$O58=""),"","***")</f>
        <v/>
      </c>
      <c r="O58" s="1640"/>
      <c r="P58" s="85"/>
      <c r="Q58" s="148" t="s">
        <v>613</v>
      </c>
    </row>
    <row r="59" spans="1:18" s="51" customFormat="1" ht="12.6" customHeight="1">
      <c r="A59" s="209"/>
      <c r="B59" s="586" t="s">
        <v>1121</v>
      </c>
      <c r="D59" s="49"/>
      <c r="H59" s="57"/>
      <c r="I59" s="57"/>
      <c r="J59" s="57"/>
      <c r="K59" s="57"/>
      <c r="L59" s="57"/>
      <c r="M59" s="3"/>
      <c r="N59" s="601"/>
      <c r="O59" s="1574"/>
      <c r="P59" s="232"/>
      <c r="Q59" s="148"/>
    </row>
    <row r="60" spans="1:18" s="51" customFormat="1" ht="12.6" customHeight="1">
      <c r="A60" s="209"/>
      <c r="B60" s="586" t="s">
        <v>1120</v>
      </c>
      <c r="D60" s="49"/>
      <c r="H60" s="57"/>
      <c r="I60" s="1641"/>
      <c r="J60" s="1642"/>
      <c r="K60" s="1642"/>
      <c r="L60" s="1643"/>
      <c r="M60" s="3"/>
      <c r="N60" s="601"/>
      <c r="O60" s="601"/>
      <c r="P60" s="601"/>
      <c r="Q60" s="148"/>
    </row>
    <row r="61" spans="1:18" s="51" customFormat="1" ht="12.6" customHeight="1">
      <c r="A61" s="209"/>
      <c r="B61" s="586" t="s">
        <v>1122</v>
      </c>
      <c r="D61" s="49"/>
      <c r="H61" s="57"/>
      <c r="I61" s="57"/>
      <c r="J61" s="57"/>
      <c r="K61" s="57"/>
      <c r="L61" s="57"/>
      <c r="M61" s="3"/>
      <c r="N61" s="601"/>
      <c r="O61" s="1574"/>
      <c r="P61" s="232"/>
      <c r="Q61" s="148"/>
    </row>
    <row r="62" spans="1:18" s="134" customFormat="1" ht="11.45" customHeight="1">
      <c r="A62" s="50"/>
      <c r="B62" s="57" t="s">
        <v>313</v>
      </c>
      <c r="C62" s="50"/>
      <c r="D62" s="56"/>
      <c r="E62" s="56"/>
      <c r="F62" s="56"/>
      <c r="G62" s="56"/>
      <c r="I62" s="44"/>
      <c r="J62" s="44"/>
      <c r="K62" s="44"/>
      <c r="M62" s="54"/>
      <c r="N62" s="7"/>
      <c r="O62" s="4"/>
      <c r="P62" s="3"/>
    </row>
    <row r="63" spans="1:18" s="51" customFormat="1" ht="12.75" customHeight="1">
      <c r="A63" s="1578"/>
      <c r="B63" s="1579"/>
      <c r="C63" s="1579"/>
      <c r="D63" s="1579"/>
      <c r="E63" s="1579"/>
      <c r="F63" s="1579"/>
      <c r="G63" s="1579"/>
      <c r="H63" s="1579"/>
      <c r="I63" s="1579"/>
      <c r="J63" s="1579"/>
      <c r="K63" s="1579"/>
      <c r="L63" s="1579"/>
      <c r="M63" s="1579"/>
      <c r="N63" s="1579"/>
      <c r="O63" s="1579"/>
      <c r="P63" s="1580"/>
      <c r="Q63" s="736" t="s">
        <v>1807</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1807</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1955</v>
      </c>
      <c r="I67" s="57" t="s">
        <v>2756</v>
      </c>
      <c r="M67" s="3">
        <v>2</v>
      </c>
      <c r="N67" s="601" t="str">
        <f>IF(OR($O67=$M67,$O67=0,$O67=""),"","***")</f>
        <v/>
      </c>
      <c r="O67" s="1640"/>
      <c r="P67" s="85"/>
      <c r="Q67" s="148" t="s">
        <v>613</v>
      </c>
    </row>
    <row r="68" spans="1:18" s="51" customFormat="1" ht="12.6" customHeight="1">
      <c r="A68" s="209"/>
      <c r="B68" s="586" t="s">
        <v>3706</v>
      </c>
      <c r="D68" s="49"/>
      <c r="E68" s="44"/>
      <c r="I68" s="1641"/>
      <c r="J68" s="1642"/>
      <c r="K68" s="1642"/>
      <c r="L68" s="1643"/>
      <c r="M68" s="3"/>
      <c r="N68" s="803"/>
      <c r="O68" s="803"/>
      <c r="P68" s="803"/>
      <c r="Q68" s="148"/>
    </row>
    <row r="69" spans="1:18" s="134" customFormat="1" ht="11.45" customHeight="1">
      <c r="A69" s="50"/>
      <c r="B69" s="57" t="s">
        <v>313</v>
      </c>
      <c r="C69" s="50"/>
      <c r="D69" s="56"/>
      <c r="E69" s="56"/>
      <c r="F69" s="56"/>
      <c r="G69" s="56"/>
      <c r="I69" s="44"/>
      <c r="J69" s="44"/>
      <c r="K69" s="44"/>
      <c r="M69" s="54"/>
      <c r="N69" s="7"/>
      <c r="O69" s="4"/>
      <c r="P69" s="3"/>
    </row>
    <row r="70" spans="1:18" s="51" customFormat="1" ht="12.75" customHeight="1">
      <c r="A70" s="1578"/>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698</v>
      </c>
      <c r="B74" s="145" t="s">
        <v>259</v>
      </c>
      <c r="D74" s="47"/>
      <c r="E74" s="44"/>
      <c r="I74" s="733" t="s">
        <v>3845</v>
      </c>
      <c r="J74" s="1644" t="s">
        <v>4038</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613</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74" t="s">
        <v>2105</v>
      </c>
      <c r="P76" s="232"/>
      <c r="Q76" s="148"/>
    </row>
    <row r="77" spans="1:18" ht="11.45" customHeight="1">
      <c r="A77" s="550" t="str">
        <f>IF($I$90="Stable Communities &lt; 10%", "X","")</f>
        <v>X</v>
      </c>
      <c r="B77" s="551" t="s">
        <v>2867</v>
      </c>
      <c r="C77" s="568" t="s">
        <v>3707</v>
      </c>
      <c r="E77" s="160"/>
      <c r="N77" s="31"/>
      <c r="O77" s="31"/>
      <c r="P77" s="31"/>
    </row>
    <row r="78" spans="1:18" ht="23.25" customHeight="1">
      <c r="B78" s="575" t="s">
        <v>3420</v>
      </c>
      <c r="C78" s="1207" t="s">
        <v>3709</v>
      </c>
      <c r="D78" s="1207"/>
      <c r="E78" s="1207"/>
      <c r="F78" s="1207"/>
      <c r="G78" s="1207"/>
      <c r="H78" s="1207"/>
      <c r="I78" s="1207"/>
      <c r="J78" s="1207"/>
      <c r="K78" s="1207"/>
      <c r="L78" s="1207"/>
      <c r="M78" s="572" t="str">
        <f>IF(AND($I$90="Stable Communities &lt; 10%",O78=""), "X","")</f>
        <v/>
      </c>
      <c r="N78" s="574" t="s">
        <v>3713</v>
      </c>
      <c r="O78" s="1647" t="s">
        <v>3983</v>
      </c>
      <c r="P78" s="355"/>
    </row>
    <row r="79" spans="1:18" ht="23.25" customHeight="1">
      <c r="B79" s="575" t="s">
        <v>3421</v>
      </c>
      <c r="C79" s="1125" t="s">
        <v>3711</v>
      </c>
      <c r="D79" s="1125"/>
      <c r="E79" s="1125"/>
      <c r="F79" s="1125"/>
      <c r="G79" s="1125"/>
      <c r="H79" s="1125"/>
      <c r="I79" s="1125"/>
      <c r="J79" s="1125"/>
      <c r="K79" s="1125"/>
      <c r="L79" s="1125"/>
      <c r="M79" s="572" t="str">
        <f>IF(AND($I$90="Stable Communities &lt; 10%",O79=""), "X","")</f>
        <v/>
      </c>
      <c r="N79" s="574" t="s">
        <v>3714</v>
      </c>
      <c r="O79" s="1648" t="s">
        <v>3983</v>
      </c>
      <c r="P79" s="356"/>
    </row>
    <row r="80" spans="1:18" ht="11.45" customHeight="1">
      <c r="A80" s="550" t="str">
        <f>IF($I$90="Stable Communities &lt; 20%", "X","")</f>
        <v/>
      </c>
      <c r="B80" s="551" t="s">
        <v>2869</v>
      </c>
      <c r="C80" s="568" t="s">
        <v>3708</v>
      </c>
      <c r="E80" s="160"/>
      <c r="M80" s="573"/>
      <c r="N80" s="31"/>
      <c r="O80" s="162" t="s">
        <v>3523</v>
      </c>
      <c r="P80" s="162" t="s">
        <v>3523</v>
      </c>
    </row>
    <row r="81" spans="1:18" ht="23.25" customHeight="1">
      <c r="B81" s="575" t="s">
        <v>3420</v>
      </c>
      <c r="C81" s="1207" t="s">
        <v>3710</v>
      </c>
      <c r="D81" s="1207"/>
      <c r="E81" s="1207"/>
      <c r="F81" s="1207"/>
      <c r="G81" s="1207"/>
      <c r="H81" s="1207"/>
      <c r="I81" s="1207"/>
      <c r="J81" s="1207"/>
      <c r="K81" s="1207"/>
      <c r="L81" s="1207"/>
      <c r="M81" s="572" t="str">
        <f>IF(AND($I$90="Stable Communities &lt; 10%",O81=""), "X","")</f>
        <v/>
      </c>
      <c r="N81" s="692" t="s">
        <v>3715</v>
      </c>
      <c r="O81" s="1647" t="s">
        <v>3983</v>
      </c>
      <c r="P81" s="355"/>
    </row>
    <row r="82" spans="1:18">
      <c r="B82" s="575" t="s">
        <v>3421</v>
      </c>
      <c r="C82" s="1125" t="s">
        <v>3712</v>
      </c>
      <c r="D82" s="1125"/>
      <c r="E82" s="1125"/>
      <c r="F82" s="1125"/>
      <c r="G82" s="1125"/>
      <c r="H82" s="1125"/>
      <c r="I82" s="1125"/>
      <c r="J82" s="1125"/>
      <c r="K82" s="1125"/>
      <c r="L82" s="1125"/>
      <c r="M82" s="572" t="str">
        <f>IF(AND($I$90="Stable Communities &lt; 10%",O82=""), "X","")</f>
        <v/>
      </c>
      <c r="N82" s="692" t="s">
        <v>3716</v>
      </c>
      <c r="O82" s="1648" t="s">
        <v>3983</v>
      </c>
      <c r="P82" s="356"/>
    </row>
    <row r="83" spans="1:18" ht="11.45" customHeight="1">
      <c r="A83" s="189" t="s">
        <v>2866</v>
      </c>
      <c r="B83" s="254" t="s">
        <v>380</v>
      </c>
      <c r="D83" s="40"/>
      <c r="E83" s="40"/>
      <c r="F83" s="40"/>
      <c r="M83" s="67">
        <v>2</v>
      </c>
      <c r="N83" s="31"/>
      <c r="O83" s="162" t="s">
        <v>3523</v>
      </c>
      <c r="P83" s="162" t="s">
        <v>3523</v>
      </c>
    </row>
    <row r="84" spans="1:18" s="51" customFormat="1" ht="12.6" customHeight="1">
      <c r="A84" s="209"/>
      <c r="B84" s="693" t="s">
        <v>3717</v>
      </c>
      <c r="D84" s="49"/>
      <c r="M84" s="3"/>
      <c r="N84" s="803" t="s">
        <v>2866</v>
      </c>
      <c r="O84" s="1574" t="s">
        <v>3984</v>
      </c>
      <c r="P84" s="232"/>
      <c r="Q84" s="148"/>
    </row>
    <row r="85" spans="1:18" s="134" customFormat="1" ht="11.45" customHeight="1">
      <c r="A85" s="50"/>
      <c r="B85" s="57" t="s">
        <v>313</v>
      </c>
      <c r="C85" s="50"/>
      <c r="D85" s="56"/>
      <c r="E85" s="56"/>
      <c r="F85" s="56"/>
      <c r="G85" s="56"/>
      <c r="K85" s="44"/>
      <c r="M85" s="54"/>
      <c r="N85" s="7"/>
      <c r="O85" s="4"/>
      <c r="P85" s="3"/>
    </row>
    <row r="86" spans="1:18" s="51" customFormat="1" ht="12.75" customHeight="1">
      <c r="A86" s="1649"/>
      <c r="B86" s="1650"/>
      <c r="C86" s="1650"/>
      <c r="D86" s="1650"/>
      <c r="E86" s="1650"/>
      <c r="F86" s="1650"/>
      <c r="G86" s="1650"/>
      <c r="H86" s="1650"/>
      <c r="I86" s="1650"/>
      <c r="J86" s="1650"/>
      <c r="K86" s="1650"/>
      <c r="L86" s="1650"/>
      <c r="M86" s="1650"/>
      <c r="N86" s="1650"/>
      <c r="O86" s="1650"/>
      <c r="P86" s="1651"/>
      <c r="Q86" s="736" t="s">
        <v>1807</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1807</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699</v>
      </c>
      <c r="B90" s="145" t="s">
        <v>3384</v>
      </c>
      <c r="C90" s="123"/>
      <c r="D90" s="71"/>
      <c r="E90" s="71"/>
      <c r="I90" s="1288" t="s">
        <v>4039</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613</v>
      </c>
      <c r="R90" s="51"/>
    </row>
    <row r="91" spans="1:18" ht="12" customHeight="1">
      <c r="A91" s="1204" t="s">
        <v>479</v>
      </c>
      <c r="B91" s="1204"/>
      <c r="C91" s="1204"/>
      <c r="D91" s="1204"/>
      <c r="E91" s="1204"/>
      <c r="F91" s="1204"/>
      <c r="G91" s="1204"/>
      <c r="H91" s="1204"/>
      <c r="I91" s="1204"/>
      <c r="J91" s="1204"/>
      <c r="K91" s="1204"/>
      <c r="L91" s="1204"/>
      <c r="M91" s="1204"/>
      <c r="N91" s="1204"/>
      <c r="O91" s="1204"/>
      <c r="P91" s="1204"/>
    </row>
    <row r="92" spans="1:18" ht="11.45" customHeight="1">
      <c r="A92" s="189" t="s">
        <v>2863</v>
      </c>
      <c r="B92" s="254" t="s">
        <v>3522</v>
      </c>
      <c r="D92" s="40"/>
      <c r="H92" s="73"/>
      <c r="I92" s="40"/>
      <c r="J92" s="40"/>
      <c r="M92" s="157"/>
      <c r="N92" s="31"/>
      <c r="O92" s="31"/>
      <c r="P92" s="31"/>
    </row>
    <row r="93" spans="1:18" ht="11.45" customHeight="1">
      <c r="A93" s="550" t="str">
        <f>IF($I$90="Stable Communities &lt; 10%", "X","")</f>
        <v>X</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47" t="s">
        <v>3984</v>
      </c>
      <c r="P94" s="355"/>
    </row>
    <row r="95" spans="1:18" ht="11.45" customHeight="1">
      <c r="B95" s="231" t="s">
        <v>3421</v>
      </c>
      <c r="C95" s="665" t="s">
        <v>3368</v>
      </c>
      <c r="E95" s="160"/>
      <c r="G95" s="132" t="s">
        <v>3369</v>
      </c>
      <c r="M95" s="694" t="str">
        <f>IF(AND($I$90="Stable Communities &lt; 10%",O95=""), "X","")</f>
        <v/>
      </c>
      <c r="N95" s="231" t="s">
        <v>3421</v>
      </c>
      <c r="O95" s="1652" t="s">
        <v>3984</v>
      </c>
      <c r="P95" s="541"/>
    </row>
    <row r="96" spans="1:18" ht="11.45" customHeight="1">
      <c r="B96" s="231" t="s">
        <v>3422</v>
      </c>
      <c r="C96" s="665" t="s">
        <v>3754</v>
      </c>
      <c r="E96" s="160"/>
      <c r="M96" s="694" t="str">
        <f>IF(AND($I$90="Stable Communities &lt; 10%",O96=""), "X","")</f>
        <v/>
      </c>
      <c r="N96" s="231" t="s">
        <v>3422</v>
      </c>
      <c r="O96" s="1648" t="s">
        <v>3984</v>
      </c>
      <c r="P96" s="356"/>
    </row>
    <row r="97" spans="1:18" ht="3" customHeight="1">
      <c r="B97" s="160"/>
      <c r="C97" s="160"/>
      <c r="D97" s="160"/>
      <c r="E97" s="160"/>
      <c r="R97" s="51"/>
    </row>
    <row r="98" spans="1:18" ht="11.45" customHeight="1">
      <c r="A98" s="550" t="str">
        <f>IF($I$90="Stable Communities &lt; 20%", "X","")</f>
        <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47"/>
      <c r="P99" s="355"/>
    </row>
    <row r="100" spans="1:18" ht="11.45" customHeight="1">
      <c r="B100" s="231" t="s">
        <v>3421</v>
      </c>
      <c r="C100" s="665" t="s">
        <v>3368</v>
      </c>
      <c r="E100" s="160"/>
      <c r="G100" s="132" t="s">
        <v>3369</v>
      </c>
      <c r="M100" s="572" t="str">
        <f>IF(AND($I$90="Stable Communities &lt; 20%",O100=""), "X","")</f>
        <v/>
      </c>
      <c r="N100" s="231" t="s">
        <v>3421</v>
      </c>
      <c r="O100" s="1652"/>
      <c r="P100" s="541"/>
    </row>
    <row r="101" spans="1:18" ht="11.45" customHeight="1">
      <c r="B101" s="231" t="s">
        <v>3422</v>
      </c>
      <c r="C101" s="665" t="s">
        <v>3754</v>
      </c>
      <c r="E101" s="160"/>
      <c r="M101" s="572" t="str">
        <f>IF(AND($I$90="Stable Communities &lt; 20%",O101=""), "X","")</f>
        <v/>
      </c>
      <c r="N101" s="231" t="s">
        <v>3422</v>
      </c>
      <c r="O101" s="1648"/>
      <c r="P101" s="356"/>
    </row>
    <row r="102" spans="1:18" ht="3" customHeight="1">
      <c r="B102" s="160"/>
      <c r="C102" s="160"/>
      <c r="D102" s="160"/>
      <c r="E102" s="160"/>
      <c r="R102" s="51"/>
    </row>
    <row r="103" spans="1:18" ht="11.45" customHeight="1">
      <c r="A103" s="189" t="s">
        <v>2866</v>
      </c>
      <c r="B103" s="254" t="s">
        <v>325</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843</v>
      </c>
      <c r="D105" s="132"/>
      <c r="M105" s="859" t="str">
        <f>IF(AND($I$90="HOPE VI Initiative",O105=""), "X","")</f>
        <v/>
      </c>
      <c r="N105" s="231" t="s">
        <v>3420</v>
      </c>
      <c r="O105" s="1647"/>
      <c r="P105" s="355"/>
    </row>
    <row r="106" spans="1:18" ht="10.9" customHeight="1">
      <c r="B106" s="552" t="s">
        <v>3421</v>
      </c>
      <c r="C106" s="553" t="s">
        <v>844</v>
      </c>
      <c r="M106" s="859" t="str">
        <f>IF(AND($I$90="HOPE VI Initiative",O106=""), "X","")</f>
        <v/>
      </c>
      <c r="N106" s="231" t="s">
        <v>3421</v>
      </c>
      <c r="O106" s="1652"/>
      <c r="P106" s="541"/>
    </row>
    <row r="107" spans="1:18" ht="10.9" customHeight="1">
      <c r="B107" s="552" t="s">
        <v>3422</v>
      </c>
      <c r="C107" s="553" t="s">
        <v>845</v>
      </c>
      <c r="M107" s="859" t="str">
        <f>IF(AND($I$90="HOPE VI Initiative",O107=""), "X","")</f>
        <v/>
      </c>
      <c r="N107" s="231" t="s">
        <v>3422</v>
      </c>
      <c r="O107" s="1652"/>
      <c r="P107" s="541"/>
    </row>
    <row r="108" spans="1:18" ht="10.9" customHeight="1">
      <c r="B108" s="552" t="s">
        <v>3423</v>
      </c>
      <c r="C108" s="69" t="s">
        <v>846</v>
      </c>
      <c r="M108" s="859" t="str">
        <f>IF(AND($I$90="HOPE VI Initiative",O108=""), "X","")</f>
        <v/>
      </c>
      <c r="N108" s="231" t="s">
        <v>3423</v>
      </c>
      <c r="O108" s="1648"/>
      <c r="P108" s="356"/>
    </row>
    <row r="109" spans="1:18" ht="3" customHeight="1">
      <c r="B109" s="160"/>
      <c r="C109" s="160"/>
      <c r="D109" s="160"/>
      <c r="E109" s="160"/>
      <c r="R109" s="51"/>
    </row>
    <row r="110" spans="1:18" s="51" customFormat="1" ht="11.45" customHeight="1">
      <c r="A110" s="550"/>
      <c r="B110" s="551" t="s">
        <v>2869</v>
      </c>
      <c r="C110" s="154" t="s">
        <v>504</v>
      </c>
      <c r="D110" s="134"/>
      <c r="E110" s="48"/>
      <c r="G110" s="579" t="s">
        <v>3930</v>
      </c>
      <c r="M110" s="696">
        <v>2</v>
      </c>
      <c r="N110" s="551" t="s">
        <v>2869</v>
      </c>
      <c r="O110" s="1574"/>
      <c r="P110" s="232"/>
    </row>
    <row r="111" spans="1:18" ht="3" customHeight="1">
      <c r="B111" s="160"/>
      <c r="C111" s="160"/>
      <c r="D111" s="160"/>
      <c r="E111" s="160"/>
      <c r="R111" s="51"/>
    </row>
    <row r="112" spans="1:18" s="51" customFormat="1" ht="11.45" customHeight="1">
      <c r="A112" s="550" t="str">
        <f>IF($I$90="Redevelopment Zone", "X","")</f>
        <v/>
      </c>
      <c r="B112" s="551" t="s">
        <v>3550</v>
      </c>
      <c r="C112" s="154" t="s">
        <v>505</v>
      </c>
      <c r="D112" s="134"/>
      <c r="F112" s="571"/>
      <c r="G112" s="48" t="s">
        <v>1537</v>
      </c>
      <c r="H112" s="1653" t="s">
        <v>2627</v>
      </c>
      <c r="I112" s="162" t="s">
        <v>1459</v>
      </c>
      <c r="J112" s="1654"/>
      <c r="K112" s="1655"/>
      <c r="L112" s="1656"/>
      <c r="M112" s="696">
        <v>1</v>
      </c>
      <c r="N112" s="551" t="s">
        <v>3550</v>
      </c>
      <c r="O112" s="1574"/>
      <c r="P112" s="232"/>
    </row>
    <row r="113" spans="1:18" ht="3" customHeight="1">
      <c r="B113" s="160"/>
      <c r="C113" s="160"/>
      <c r="D113" s="160"/>
      <c r="E113" s="160"/>
      <c r="R113" s="51"/>
    </row>
    <row r="114" spans="1:18" s="51" customFormat="1" ht="11.45" customHeight="1">
      <c r="A114" s="550" t="str">
        <f>IF($I$90="Local Redevelopment Plan", "X","")</f>
        <v/>
      </c>
      <c r="B114" s="551" t="s">
        <v>1763</v>
      </c>
      <c r="C114" s="154" t="s">
        <v>847</v>
      </c>
      <c r="D114" s="134"/>
      <c r="E114" s="48"/>
      <c r="F114" s="571"/>
      <c r="G114" s="48" t="s">
        <v>598</v>
      </c>
      <c r="H114" s="1657"/>
      <c r="I114" s="1341"/>
      <c r="J114" s="1341"/>
      <c r="K114" s="1341"/>
      <c r="L114" s="1342"/>
      <c r="M114" s="696">
        <v>1</v>
      </c>
      <c r="N114" s="551" t="s">
        <v>1763</v>
      </c>
      <c r="O114" s="1574"/>
      <c r="P114" s="232"/>
    </row>
    <row r="115" spans="1:18" ht="11.45" customHeight="1">
      <c r="B115" s="552" t="s">
        <v>3420</v>
      </c>
      <c r="C115" s="48" t="s">
        <v>3753</v>
      </c>
      <c r="D115" s="132"/>
      <c r="G115" s="132" t="s">
        <v>849</v>
      </c>
      <c r="H115" s="1658"/>
      <c r="M115" s="571" t="str">
        <f>IF(AND($I$90="Local Redevelopment Plan",O115=""), "X","")</f>
        <v/>
      </c>
      <c r="N115" s="552" t="s">
        <v>3420</v>
      </c>
      <c r="O115" s="1647"/>
      <c r="P115" s="355"/>
    </row>
    <row r="116" spans="1:18" ht="10.9" customHeight="1">
      <c r="B116" s="552" t="s">
        <v>3421</v>
      </c>
      <c r="C116" s="553" t="s">
        <v>3446</v>
      </c>
      <c r="D116" s="132"/>
      <c r="M116" s="571"/>
      <c r="N116" s="552" t="s">
        <v>3421</v>
      </c>
      <c r="O116" s="1659"/>
      <c r="P116" s="602"/>
    </row>
    <row r="117" spans="1:18" ht="10.9" customHeight="1">
      <c r="B117" s="552" t="s">
        <v>3422</v>
      </c>
      <c r="C117" s="553" t="s">
        <v>3447</v>
      </c>
      <c r="M117" s="571" t="str">
        <f>IF(AND($I$90="Local Redevelopment Plan",O117=""), "X","")</f>
        <v/>
      </c>
      <c r="N117" s="552" t="s">
        <v>3422</v>
      </c>
      <c r="O117" s="1652"/>
      <c r="P117" s="541"/>
    </row>
    <row r="118" spans="1:18" ht="10.9" customHeight="1">
      <c r="B118" s="552" t="s">
        <v>3423</v>
      </c>
      <c r="C118" s="553" t="s">
        <v>3448</v>
      </c>
      <c r="M118" s="571" t="str">
        <f>IF(AND($I$90="Local Redevelopment Plan",O118=""), "X","")</f>
        <v/>
      </c>
      <c r="N118" s="552" t="s">
        <v>3423</v>
      </c>
      <c r="O118" s="1652"/>
      <c r="P118" s="541"/>
    </row>
    <row r="119" spans="1:18" ht="10.9" customHeight="1">
      <c r="B119" s="552" t="s">
        <v>3424</v>
      </c>
      <c r="C119" s="69" t="s">
        <v>3449</v>
      </c>
      <c r="M119" s="571" t="str">
        <f>IF(AND($I$90="Local Redevelopment Plan",O119=""), "X","")</f>
        <v/>
      </c>
      <c r="N119" s="552" t="s">
        <v>3424</v>
      </c>
      <c r="O119" s="1652"/>
      <c r="P119" s="541"/>
    </row>
    <row r="120" spans="1:18" ht="10.9" customHeight="1">
      <c r="B120" s="552" t="s">
        <v>3444</v>
      </c>
      <c r="C120" s="553" t="s">
        <v>3450</v>
      </c>
      <c r="D120" s="132"/>
      <c r="M120" s="571" t="str">
        <f>IF(AND($I$90="Local Redevelopment Plan",O120=""), "X","")</f>
        <v/>
      </c>
      <c r="N120" s="552" t="s">
        <v>3444</v>
      </c>
      <c r="O120" s="1652"/>
      <c r="P120" s="541"/>
    </row>
    <row r="121" spans="1:18" ht="10.9" customHeight="1">
      <c r="B121" s="552" t="s">
        <v>3445</v>
      </c>
      <c r="C121" s="553" t="s">
        <v>3451</v>
      </c>
      <c r="M121" s="571" t="str">
        <f>IF(AND($I$90="Local Redevelopment Plan",O121=""), "X","")</f>
        <v/>
      </c>
      <c r="N121" s="552" t="s">
        <v>3445</v>
      </c>
      <c r="O121" s="1648"/>
      <c r="P121" s="356"/>
    </row>
    <row r="122" spans="1:18" ht="11.45" customHeight="1">
      <c r="A122" s="550" t="str">
        <f>IF($I$90="Stable Communities &lt; 20%", "X","")</f>
        <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848</v>
      </c>
      <c r="C126" s="69" t="s">
        <v>3459</v>
      </c>
      <c r="M126" s="571"/>
      <c r="O126" s="552" t="s">
        <v>848</v>
      </c>
      <c r="P126" s="356"/>
    </row>
    <row r="127" spans="1:18" s="51" customFormat="1" ht="13.9" customHeight="1">
      <c r="A127" s="50"/>
      <c r="B127" s="57" t="s">
        <v>313</v>
      </c>
      <c r="C127" s="50"/>
      <c r="D127" s="56"/>
      <c r="E127" s="56"/>
      <c r="F127" s="56"/>
      <c r="G127" s="56"/>
      <c r="H127" s="44"/>
      <c r="I127" s="44"/>
      <c r="J127" s="44"/>
      <c r="K127" s="44"/>
      <c r="M127" s="54"/>
      <c r="N127" s="74"/>
      <c r="O127" s="4"/>
      <c r="P127" s="854"/>
    </row>
    <row r="128" spans="1:18" s="51" customFormat="1" ht="23.45" customHeight="1">
      <c r="A128" s="1649"/>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261</v>
      </c>
      <c r="B132" s="144" t="s">
        <v>3460</v>
      </c>
      <c r="D132" s="49"/>
      <c r="E132" s="49"/>
      <c r="F132" s="49"/>
      <c r="H132" s="73"/>
      <c r="J132" s="73" t="s">
        <v>475</v>
      </c>
      <c r="K132" s="56"/>
      <c r="M132" s="3">
        <v>3</v>
      </c>
      <c r="N132" s="7"/>
      <c r="O132" s="93">
        <f>MIN($M132,(O133+O139))</f>
        <v>3</v>
      </c>
      <c r="P132" s="93">
        <f>MIN($M132,(P133+P139))</f>
        <v>0</v>
      </c>
      <c r="Q132" s="148" t="s">
        <v>613</v>
      </c>
    </row>
    <row r="133" spans="1:17" ht="12" customHeight="1">
      <c r="B133" s="851"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0"/>
      <c r="P133" s="658"/>
    </row>
    <row r="134" spans="1:17" s="132" customFormat="1" ht="22.9" customHeight="1">
      <c r="B134" s="581" t="s">
        <v>2867</v>
      </c>
      <c r="C134" s="1178" t="s">
        <v>1460</v>
      </c>
      <c r="D134" s="1111"/>
      <c r="E134" s="1111"/>
      <c r="F134" s="1111"/>
      <c r="G134" s="1111"/>
      <c r="H134" s="1111"/>
      <c r="I134" s="1111"/>
      <c r="J134" s="1111"/>
      <c r="K134" s="1111"/>
      <c r="L134" s="1111"/>
      <c r="M134" s="657"/>
      <c r="N134" s="581" t="s">
        <v>2867</v>
      </c>
      <c r="O134" s="1574" t="s">
        <v>3983</v>
      </c>
      <c r="P134" s="232"/>
    </row>
    <row r="135" spans="1:17" s="132" customFormat="1" ht="11.45" customHeight="1">
      <c r="B135" s="250"/>
      <c r="C135" s="161" t="s">
        <v>1461</v>
      </c>
      <c r="H135" s="704" t="s">
        <v>3621</v>
      </c>
      <c r="I135" s="1653"/>
      <c r="J135" s="704" t="s">
        <v>3220</v>
      </c>
      <c r="K135" s="1661"/>
      <c r="L135" s="1662"/>
      <c r="M135" s="1663"/>
    </row>
    <row r="136" spans="1:17" s="132" customFormat="1" ht="11.45" customHeight="1">
      <c r="B136" s="250" t="s">
        <v>2869</v>
      </c>
      <c r="C136" s="161" t="s">
        <v>1462</v>
      </c>
      <c r="M136" s="8"/>
      <c r="N136" s="250" t="s">
        <v>2869</v>
      </c>
      <c r="O136" s="1647"/>
      <c r="P136" s="355"/>
    </row>
    <row r="137" spans="1:17" s="132" customFormat="1" ht="11.45" customHeight="1">
      <c r="B137" s="250" t="s">
        <v>3550</v>
      </c>
      <c r="C137" s="161" t="s">
        <v>1463</v>
      </c>
      <c r="M137" s="8"/>
      <c r="N137" s="250" t="s">
        <v>3550</v>
      </c>
      <c r="O137" s="1652"/>
      <c r="P137" s="541"/>
    </row>
    <row r="138" spans="1:17" s="132" customFormat="1" ht="11.45" customHeight="1">
      <c r="B138" s="250" t="s">
        <v>1763</v>
      </c>
      <c r="C138" s="161" t="s">
        <v>1464</v>
      </c>
      <c r="M138" s="8"/>
      <c r="N138" s="250" t="s">
        <v>1763</v>
      </c>
      <c r="O138" s="1648"/>
      <c r="P138" s="356"/>
    </row>
    <row r="139" spans="1:17" ht="12" customHeight="1">
      <c r="A139" s="254" t="s">
        <v>1922</v>
      </c>
      <c r="B139" s="851" t="s">
        <v>2866</v>
      </c>
      <c r="C139" s="254" t="s">
        <v>3144</v>
      </c>
      <c r="D139" s="160"/>
      <c r="E139" s="666" t="s">
        <v>3650</v>
      </c>
      <c r="M139" s="3">
        <v>3</v>
      </c>
      <c r="N139" s="803" t="s">
        <v>2866</v>
      </c>
      <c r="O139" s="659">
        <f>IF($M140=5,3,IF($M140=4,2,0))</f>
        <v>3</v>
      </c>
      <c r="P139" s="85"/>
    </row>
    <row r="140" spans="1:17" ht="12" customHeight="1">
      <c r="B140" s="122"/>
      <c r="D140" s="40"/>
      <c r="E140" s="40"/>
      <c r="F140" s="40"/>
      <c r="G140" s="48"/>
      <c r="H140" s="48"/>
      <c r="I140" s="48"/>
      <c r="J140" s="48"/>
      <c r="L140" s="574" t="s">
        <v>689</v>
      </c>
      <c r="M140" s="1574">
        <v>5</v>
      </c>
      <c r="N140" s="184" t="s">
        <v>690</v>
      </c>
      <c r="O140" s="134"/>
      <c r="P140" s="134"/>
    </row>
    <row r="141" spans="1:17" s="51" customFormat="1" ht="11.45" customHeight="1">
      <c r="A141" s="50"/>
      <c r="B141" s="57" t="s">
        <v>313</v>
      </c>
      <c r="C141" s="50"/>
      <c r="D141" s="56"/>
      <c r="E141" s="56"/>
      <c r="F141" s="56"/>
      <c r="G141" s="56"/>
      <c r="H141" s="44"/>
      <c r="I141" s="44"/>
      <c r="J141" s="44"/>
      <c r="K141" s="44"/>
      <c r="M141" s="54"/>
      <c r="N141" s="74"/>
      <c r="O141" s="4"/>
      <c r="P141" s="854"/>
    </row>
    <row r="142" spans="1:17" s="51" customFormat="1" ht="11.45" customHeight="1">
      <c r="A142" s="1578"/>
      <c r="B142" s="1579"/>
      <c r="C142" s="1579"/>
      <c r="D142" s="1579"/>
      <c r="E142" s="1579"/>
      <c r="F142" s="1579"/>
      <c r="G142" s="1579"/>
      <c r="H142" s="1579"/>
      <c r="I142" s="1579"/>
      <c r="J142" s="1579"/>
      <c r="K142" s="1579"/>
      <c r="L142" s="1579"/>
      <c r="M142" s="1579"/>
      <c r="N142" s="1579"/>
      <c r="O142" s="1579"/>
      <c r="P142" s="1580"/>
      <c r="Q142" s="736" t="s">
        <v>1807</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1807</v>
      </c>
    </row>
    <row r="145" spans="1:17" ht="12" customHeight="1">
      <c r="B145" s="160"/>
      <c r="C145" s="160"/>
      <c r="D145" s="160"/>
      <c r="E145" s="160"/>
    </row>
    <row r="146" spans="1:17" s="51" customFormat="1" ht="12" customHeight="1">
      <c r="A146" s="209" t="s">
        <v>262</v>
      </c>
      <c r="B146" s="144" t="s">
        <v>3461</v>
      </c>
      <c r="D146" s="49"/>
      <c r="E146" s="49"/>
      <c r="F146" s="49"/>
      <c r="H146" s="73"/>
      <c r="K146" s="56"/>
      <c r="L146" s="558" t="str">
        <f>IF(OR($O146=$M146,$O146=0,$O146=""),"","* * Check Score! * *")</f>
        <v/>
      </c>
      <c r="M146" s="3">
        <v>2</v>
      </c>
      <c r="N146" s="601" t="str">
        <f>IF(OR($O146=$M146,$O146=0,$O146=""),"","***")</f>
        <v/>
      </c>
      <c r="O146" s="1640">
        <v>2</v>
      </c>
      <c r="P146" s="85"/>
      <c r="Q146" s="148" t="s">
        <v>613</v>
      </c>
    </row>
    <row r="147" spans="1:17" ht="11.45" customHeight="1">
      <c r="B147" s="233" t="s">
        <v>2505</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208"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208"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21" t="s">
        <v>3757</v>
      </c>
      <c r="C151" s="1212"/>
      <c r="D151" s="1212"/>
      <c r="E151" s="1212"/>
      <c r="F151" s="1212"/>
      <c r="G151" s="1212"/>
      <c r="H151" s="1212"/>
      <c r="I151" s="1212"/>
      <c r="J151" s="1212"/>
      <c r="K151" s="1212"/>
      <c r="L151" s="1212"/>
      <c r="M151" s="1212"/>
      <c r="N151" s="1212"/>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2506</v>
      </c>
      <c r="M154" s="718"/>
      <c r="N154" s="575"/>
      <c r="O154" s="575" t="s">
        <v>3445</v>
      </c>
      <c r="P154" s="719"/>
    </row>
    <row r="155" spans="1:17" s="583" customFormat="1" ht="12.75" customHeight="1">
      <c r="A155" s="575" t="s">
        <v>3452</v>
      </c>
      <c r="B155" s="295" t="s">
        <v>2507</v>
      </c>
      <c r="M155" s="718"/>
      <c r="N155" s="575"/>
      <c r="O155" s="575" t="s">
        <v>3452</v>
      </c>
      <c r="P155" s="358"/>
    </row>
    <row r="156" spans="1:17" s="51" customFormat="1" ht="12.75" customHeight="1">
      <c r="A156" s="50"/>
      <c r="B156" s="57" t="s">
        <v>313</v>
      </c>
      <c r="C156" s="50"/>
      <c r="D156" s="56"/>
      <c r="E156" s="56"/>
      <c r="F156" s="56"/>
      <c r="G156" s="56"/>
      <c r="H156" s="44"/>
      <c r="I156" s="44"/>
      <c r="J156" s="44"/>
      <c r="K156" s="44"/>
      <c r="M156" s="54"/>
      <c r="N156" s="74"/>
      <c r="O156" s="4"/>
      <c r="P156" s="854"/>
    </row>
    <row r="157" spans="1:17" s="51" customFormat="1" ht="24.6" customHeight="1">
      <c r="A157" s="1578"/>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263</v>
      </c>
      <c r="B161" s="145" t="s">
        <v>3145</v>
      </c>
      <c r="C161" s="64"/>
      <c r="D161" s="159"/>
      <c r="E161" s="159"/>
      <c r="F161" s="49"/>
      <c r="H161" s="47"/>
      <c r="J161" s="73" t="s">
        <v>475</v>
      </c>
      <c r="K161" s="56"/>
      <c r="M161" s="3">
        <v>1</v>
      </c>
      <c r="N161" s="7"/>
      <c r="O161" s="93">
        <f>MIN($M161,SUM(O162:O163))</f>
        <v>1</v>
      </c>
      <c r="P161" s="93">
        <f>MIN($M161,SUM(P162:P163))</f>
        <v>0</v>
      </c>
      <c r="Q161" s="148" t="s">
        <v>613</v>
      </c>
    </row>
    <row r="162" spans="1:18" s="134" customFormat="1" ht="12" customHeight="1">
      <c r="A162" s="189" t="s">
        <v>2863</v>
      </c>
      <c r="B162" s="236" t="s">
        <v>3146</v>
      </c>
      <c r="D162" s="73"/>
      <c r="E162" s="73"/>
      <c r="F162" s="52"/>
      <c r="G162" s="31"/>
      <c r="K162" s="803" t="s">
        <v>3964</v>
      </c>
      <c r="L162" s="1574" t="s">
        <v>3984</v>
      </c>
      <c r="M162" s="8">
        <v>1</v>
      </c>
      <c r="N162" s="803" t="s">
        <v>2863</v>
      </c>
      <c r="O162" s="1640">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40"/>
      <c r="P163" s="85"/>
      <c r="R163" s="558" t="str">
        <f>IF(OR($O163=$M163,$O163=0,$O163=""),"","* * Check Score! * *")</f>
        <v/>
      </c>
    </row>
    <row r="164" spans="1:18" s="51" customFormat="1" ht="11.25" customHeight="1">
      <c r="A164" s="50"/>
      <c r="B164" s="57" t="s">
        <v>313</v>
      </c>
      <c r="C164" s="50"/>
      <c r="D164" s="56"/>
      <c r="E164" s="56"/>
      <c r="F164" s="56"/>
      <c r="G164" s="56"/>
      <c r="H164" s="44"/>
      <c r="I164" s="44"/>
      <c r="J164" s="44"/>
      <c r="K164" s="44"/>
      <c r="M164" s="54"/>
      <c r="N164" s="74"/>
      <c r="O164" s="4"/>
      <c r="P164" s="854"/>
    </row>
    <row r="165" spans="1:18" s="51" customFormat="1" ht="12.6" customHeight="1">
      <c r="A165" s="1578"/>
      <c r="B165" s="1579"/>
      <c r="C165" s="1579"/>
      <c r="D165" s="1579"/>
      <c r="E165" s="1579"/>
      <c r="F165" s="1579"/>
      <c r="G165" s="1579"/>
      <c r="H165" s="1579"/>
      <c r="I165" s="1579"/>
      <c r="J165" s="1579"/>
      <c r="K165" s="1579"/>
      <c r="L165" s="1579"/>
      <c r="M165" s="1579"/>
      <c r="N165" s="1579"/>
      <c r="O165" s="1579"/>
      <c r="P165" s="1580"/>
      <c r="Q165" s="736" t="s">
        <v>1807</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1807</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281</v>
      </c>
      <c r="B169" s="152" t="s">
        <v>3880</v>
      </c>
      <c r="C169" s="116"/>
      <c r="D169" s="70"/>
      <c r="E169" s="62"/>
      <c r="J169" s="73"/>
      <c r="K169" s="733" t="s">
        <v>3933</v>
      </c>
      <c r="L169" s="800" t="str">
        <f>'Part I-Project Information'!E81</f>
        <v>Yes</v>
      </c>
      <c r="M169" s="3">
        <v>3</v>
      </c>
      <c r="N169" s="7"/>
      <c r="O169" s="7"/>
      <c r="P169" s="85"/>
      <c r="Q169" s="148" t="s">
        <v>613</v>
      </c>
    </row>
    <row r="170" spans="1:18" s="51" customFormat="1" ht="12" customHeight="1">
      <c r="A170" s="189"/>
      <c r="B170" s="65" t="s">
        <v>3288</v>
      </c>
      <c r="D170" s="40"/>
      <c r="N170" s="803"/>
      <c r="O170" s="1574" t="s">
        <v>3984</v>
      </c>
      <c r="P170" s="232"/>
      <c r="R170" s="558"/>
    </row>
    <row r="171" spans="1:18" s="51" customFormat="1" ht="12" customHeight="1">
      <c r="A171" s="189"/>
      <c r="B171" s="65" t="s">
        <v>3947</v>
      </c>
      <c r="D171" s="40"/>
      <c r="N171" s="803"/>
      <c r="O171" s="1574" t="s">
        <v>3984</v>
      </c>
      <c r="P171" s="232"/>
      <c r="R171" s="558"/>
    </row>
    <row r="172" spans="1:18" s="51" customFormat="1" ht="12" customHeight="1">
      <c r="A172" s="50"/>
      <c r="B172" s="57" t="s">
        <v>313</v>
      </c>
      <c r="C172" s="50"/>
      <c r="D172" s="56"/>
      <c r="E172" s="56"/>
      <c r="F172" s="56"/>
      <c r="G172" s="56"/>
      <c r="H172" s="44"/>
      <c r="I172" s="44"/>
      <c r="J172" s="44"/>
      <c r="K172" s="44"/>
      <c r="M172" s="54"/>
      <c r="N172" s="74"/>
      <c r="O172" s="4"/>
      <c r="P172" s="854"/>
    </row>
    <row r="173" spans="1:18" s="51" customFormat="1" ht="12.75" customHeight="1">
      <c r="A173" s="1578"/>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282</v>
      </c>
      <c r="B177" s="144" t="s">
        <v>957</v>
      </c>
      <c r="E177" s="259" t="s">
        <v>3949</v>
      </c>
      <c r="G177" s="159"/>
      <c r="H177" s="665"/>
      <c r="I177" s="159"/>
      <c r="J177" s="801">
        <f>'Part VI-Revenues &amp; Expenses'!$M$74</f>
        <v>84</v>
      </c>
      <c r="K177" s="159"/>
      <c r="L177" s="802" t="str">
        <f>IF(AND(J177=0,O177&gt;0),"&lt;&lt;&lt; Check NC units!","")</f>
        <v/>
      </c>
      <c r="M177" s="3">
        <v>3</v>
      </c>
      <c r="N177" s="601" t="str">
        <f>IF(OR($O177=$M177,$O177=0,$O177=""),"","***")</f>
        <v/>
      </c>
      <c r="O177" s="1640"/>
      <c r="P177" s="85"/>
      <c r="Q177" s="148" t="s">
        <v>613</v>
      </c>
      <c r="R177" s="31"/>
    </row>
    <row r="178" spans="1:18" s="75" customFormat="1" ht="25.15" customHeight="1">
      <c r="A178" s="209"/>
      <c r="B178" s="1096" t="s">
        <v>3948</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313</v>
      </c>
      <c r="C179" s="50"/>
      <c r="D179" s="56"/>
      <c r="E179" s="56"/>
      <c r="F179" s="56"/>
      <c r="G179" s="56"/>
      <c r="H179" s="44"/>
      <c r="I179" s="44"/>
      <c r="J179" s="114" t="s">
        <v>2739</v>
      </c>
      <c r="M179" s="54"/>
      <c r="N179" s="74"/>
      <c r="O179" s="4"/>
      <c r="P179" s="854"/>
    </row>
    <row r="180" spans="1:18" s="51" customFormat="1" ht="12" customHeight="1">
      <c r="A180" s="1578"/>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1977</v>
      </c>
      <c r="B182" s="153" t="s">
        <v>2511</v>
      </c>
      <c r="D182" s="117"/>
      <c r="E182" s="117"/>
      <c r="F182" s="62"/>
      <c r="G182" s="62"/>
      <c r="H182" s="62"/>
      <c r="I182" s="62"/>
      <c r="J182" s="64"/>
      <c r="K182" s="72"/>
      <c r="L182" s="558" t="str">
        <f>IF(OR($O182=$M182,$O182=0,$O182=""),"","* * Check Score! * *")</f>
        <v/>
      </c>
      <c r="M182" s="1">
        <v>1</v>
      </c>
      <c r="N182" s="601" t="str">
        <f>IF(OR($O182=$M182,$O182=0,$O182=""),"","***")</f>
        <v/>
      </c>
      <c r="O182" s="1640"/>
      <c r="P182" s="85"/>
      <c r="Q182" s="148" t="s">
        <v>613</v>
      </c>
    </row>
    <row r="183" spans="1:18" s="51" customFormat="1" ht="12.6" customHeight="1">
      <c r="A183" s="50"/>
      <c r="B183" s="154" t="s">
        <v>2714</v>
      </c>
      <c r="D183" s="134"/>
      <c r="E183" s="1664" t="s">
        <v>2640</v>
      </c>
      <c r="F183" s="1665"/>
      <c r="G183" s="1666"/>
      <c r="H183" s="1667"/>
      <c r="I183" s="61" t="s">
        <v>2713</v>
      </c>
      <c r="O183" s="162" t="s">
        <v>3523</v>
      </c>
      <c r="P183" s="162" t="s">
        <v>3523</v>
      </c>
    </row>
    <row r="184" spans="1:18" s="132" customFormat="1" ht="11.45" customHeight="1">
      <c r="A184" s="189" t="s">
        <v>2863</v>
      </c>
      <c r="B184" s="161" t="s">
        <v>2513</v>
      </c>
      <c r="D184" s="161"/>
      <c r="E184" s="161"/>
      <c r="F184" s="161"/>
      <c r="G184" s="1668" t="s">
        <v>3536</v>
      </c>
      <c r="H184" s="1669"/>
      <c r="I184" s="1670"/>
      <c r="J184" s="1668" t="s">
        <v>1716</v>
      </c>
      <c r="K184" s="1669"/>
      <c r="L184" s="1670"/>
      <c r="N184" s="803" t="s">
        <v>2863</v>
      </c>
      <c r="O184" s="1574"/>
      <c r="P184" s="232"/>
    </row>
    <row r="185" spans="1:18" s="132" customFormat="1" ht="11.45" customHeight="1">
      <c r="A185" s="189" t="s">
        <v>2866</v>
      </c>
      <c r="B185" s="161" t="s">
        <v>476</v>
      </c>
      <c r="D185" s="161"/>
      <c r="E185" s="161"/>
      <c r="F185" s="161"/>
      <c r="G185" s="161"/>
      <c r="L185" s="161"/>
      <c r="M185" s="161"/>
      <c r="N185" s="803" t="s">
        <v>2866</v>
      </c>
      <c r="O185" s="1574"/>
      <c r="P185" s="232"/>
    </row>
    <row r="186" spans="1:18" s="132" customFormat="1" ht="11.45" customHeight="1">
      <c r="A186" s="189" t="s">
        <v>1146</v>
      </c>
      <c r="B186" s="161" t="s">
        <v>2468</v>
      </c>
      <c r="D186" s="161"/>
      <c r="E186" s="161"/>
      <c r="F186" s="161"/>
      <c r="G186" s="161"/>
      <c r="H186" s="161"/>
      <c r="L186" s="161"/>
      <c r="M186" s="161"/>
      <c r="N186" s="803" t="s">
        <v>1146</v>
      </c>
      <c r="O186" s="1574"/>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74"/>
      <c r="P187" s="232"/>
    </row>
    <row r="188" spans="1:18" s="51" customFormat="1" ht="11.25" customHeight="1">
      <c r="A188" s="50"/>
      <c r="B188" s="57" t="s">
        <v>313</v>
      </c>
      <c r="C188" s="50"/>
      <c r="D188" s="56"/>
      <c r="E188" s="56"/>
      <c r="F188" s="56"/>
      <c r="G188" s="56"/>
      <c r="H188" s="44"/>
      <c r="I188" s="44"/>
      <c r="J188" s="44"/>
      <c r="K188" s="44"/>
      <c r="M188" s="54"/>
      <c r="N188" s="74"/>
      <c r="O188" s="4"/>
      <c r="P188" s="854"/>
    </row>
    <row r="189" spans="1:18" s="51" customFormat="1" ht="12.75" customHeight="1">
      <c r="A189" s="1578"/>
      <c r="B189" s="1579"/>
      <c r="C189" s="1579"/>
      <c r="D189" s="1579"/>
      <c r="E189" s="1579"/>
      <c r="F189" s="1579"/>
      <c r="G189" s="1579"/>
      <c r="H189" s="1579"/>
      <c r="I189" s="1579"/>
      <c r="J189" s="1579"/>
      <c r="K189" s="1579"/>
      <c r="L189" s="1579"/>
      <c r="M189" s="1579"/>
      <c r="N189" s="1579"/>
      <c r="O189" s="1579"/>
      <c r="P189" s="1580"/>
      <c r="Q189" s="736" t="s">
        <v>1807</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1807</v>
      </c>
    </row>
    <row r="192" spans="1:18" ht="3" customHeight="1"/>
    <row r="193" spans="1:18" s="51" customFormat="1" ht="15">
      <c r="A193" s="209" t="s">
        <v>2510</v>
      </c>
      <c r="B193" s="153" t="s">
        <v>2715</v>
      </c>
      <c r="D193" s="117"/>
      <c r="E193" s="117"/>
      <c r="F193" s="62"/>
      <c r="G193" s="62"/>
      <c r="H193" s="62"/>
      <c r="I193" s="62"/>
      <c r="J193" s="64"/>
      <c r="K193" s="72"/>
      <c r="L193" s="68" t="str">
        <f>IF(M193&gt;14,"Over limit!","")</f>
        <v/>
      </c>
      <c r="M193" s="4">
        <v>7</v>
      </c>
      <c r="N193" s="7"/>
      <c r="O193" s="77">
        <f>O201+O216+O218</f>
        <v>0</v>
      </c>
      <c r="P193" s="77">
        <f>P201+P216+P218</f>
        <v>0</v>
      </c>
      <c r="Q193" s="148" t="s">
        <v>613</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809</v>
      </c>
      <c r="E195" s="117"/>
      <c r="F195" s="62"/>
      <c r="G195" s="62"/>
      <c r="H195" s="62"/>
      <c r="I195" s="62"/>
      <c r="J195" s="64"/>
      <c r="K195" s="72"/>
      <c r="L195" s="68" t="str">
        <f>IF(M195&gt;14,"Over limit!","")</f>
        <v/>
      </c>
      <c r="N195" s="250" t="s">
        <v>2867</v>
      </c>
      <c r="O195" s="1647"/>
      <c r="P195" s="355"/>
    </row>
    <row r="196" spans="1:18" s="132" customFormat="1" ht="11.25" customHeight="1">
      <c r="B196" s="715" t="s">
        <v>2869</v>
      </c>
      <c r="C196" s="132" t="s">
        <v>810</v>
      </c>
      <c r="N196" s="250" t="s">
        <v>2869</v>
      </c>
      <c r="O196" s="1652"/>
      <c r="P196" s="541"/>
    </row>
    <row r="197" spans="1:18" s="132" customFormat="1" ht="11.25" customHeight="1">
      <c r="B197" s="715" t="s">
        <v>3550</v>
      </c>
      <c r="C197" s="132" t="s">
        <v>811</v>
      </c>
      <c r="N197" s="250" t="s">
        <v>3550</v>
      </c>
      <c r="O197" s="1652"/>
      <c r="P197" s="541"/>
    </row>
    <row r="198" spans="1:18" s="132" customFormat="1" ht="11.25" customHeight="1">
      <c r="B198" s="715" t="s">
        <v>1763</v>
      </c>
      <c r="C198" s="132" t="s">
        <v>812</v>
      </c>
      <c r="N198" s="250" t="s">
        <v>1763</v>
      </c>
      <c r="O198" s="1652"/>
      <c r="P198" s="541"/>
    </row>
    <row r="199" spans="1:18" s="132" customFormat="1" ht="11.25" customHeight="1">
      <c r="B199" s="715" t="s">
        <v>1764</v>
      </c>
      <c r="C199" s="132" t="s">
        <v>820</v>
      </c>
      <c r="N199" s="250" t="s">
        <v>1764</v>
      </c>
      <c r="O199" s="1648"/>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0</v>
      </c>
      <c r="P201" s="204">
        <f>IF($L$214&gt;=0.15, 4,IF($L$214&gt;=0.1, 3,IF($L$214&gt;=0.05, 2,IF($L$214&gt;=0.02, 1,0))))</f>
        <v>0</v>
      </c>
    </row>
    <row r="202" spans="1:18" ht="12" customHeight="1">
      <c r="B202" s="551" t="s">
        <v>2867</v>
      </c>
      <c r="C202" s="722" t="s">
        <v>3723</v>
      </c>
      <c r="I202" s="1180" t="s">
        <v>2871</v>
      </c>
      <c r="J202" s="1180"/>
      <c r="L202" s="862" t="s">
        <v>2871</v>
      </c>
      <c r="M202" s="216"/>
      <c r="N202" s="250" t="s">
        <v>2867</v>
      </c>
    </row>
    <row r="203" spans="1:18" s="51" customFormat="1" ht="11.25" customHeight="1">
      <c r="A203" s="251"/>
      <c r="B203" s="150"/>
      <c r="C203" s="552" t="s">
        <v>3420</v>
      </c>
      <c r="D203" s="44" t="s">
        <v>2074</v>
      </c>
      <c r="H203" s="65"/>
      <c r="I203" s="1671"/>
      <c r="J203" s="1672"/>
      <c r="K203" s="253"/>
      <c r="L203" s="705"/>
      <c r="M203" s="89"/>
      <c r="N203" s="552" t="s">
        <v>3420</v>
      </c>
      <c r="O203" s="1647"/>
      <c r="P203" s="355"/>
      <c r="R203" s="558"/>
    </row>
    <row r="204" spans="1:18" ht="11.25" customHeight="1">
      <c r="A204" s="252"/>
      <c r="B204" s="108"/>
      <c r="C204" s="575" t="s">
        <v>3421</v>
      </c>
      <c r="D204" s="44" t="s">
        <v>2075</v>
      </c>
      <c r="H204" s="65"/>
      <c r="I204" s="1671"/>
      <c r="J204" s="1672"/>
      <c r="L204" s="705"/>
      <c r="M204" s="89"/>
      <c r="N204" s="575" t="s">
        <v>3421</v>
      </c>
      <c r="O204" s="1652"/>
      <c r="P204" s="541"/>
      <c r="R204" s="558"/>
    </row>
    <row r="205" spans="1:18" ht="11.25" customHeight="1">
      <c r="B205" s="715"/>
      <c r="C205" s="552" t="s">
        <v>3422</v>
      </c>
      <c r="D205" s="44" t="s">
        <v>3720</v>
      </c>
      <c r="H205" s="65"/>
      <c r="I205" s="1671"/>
      <c r="J205" s="1672"/>
      <c r="L205" s="705"/>
      <c r="M205" s="89"/>
      <c r="N205" s="552" t="s">
        <v>3422</v>
      </c>
      <c r="O205" s="1652"/>
      <c r="P205" s="541"/>
      <c r="R205" s="558"/>
    </row>
    <row r="206" spans="1:18" ht="11.25" customHeight="1">
      <c r="A206" s="252"/>
      <c r="B206" s="715"/>
      <c r="C206" s="552" t="s">
        <v>3423</v>
      </c>
      <c r="D206" s="44" t="s">
        <v>3721</v>
      </c>
      <c r="I206" s="1671"/>
      <c r="J206" s="1672"/>
      <c r="L206" s="705"/>
      <c r="M206" s="89"/>
      <c r="N206" s="552" t="s">
        <v>3423</v>
      </c>
      <c r="O206" s="1652"/>
      <c r="P206" s="541"/>
      <c r="R206" s="558"/>
    </row>
    <row r="207" spans="1:18" s="51" customFormat="1" ht="11.25" customHeight="1">
      <c r="A207" s="251"/>
      <c r="B207" s="715"/>
      <c r="C207" s="575" t="s">
        <v>3424</v>
      </c>
      <c r="D207" s="44" t="s">
        <v>2076</v>
      </c>
      <c r="H207" s="65"/>
      <c r="I207" s="1671"/>
      <c r="J207" s="1672"/>
      <c r="K207" s="253"/>
      <c r="L207" s="705"/>
      <c r="M207" s="89"/>
      <c r="N207" s="575" t="s">
        <v>3424</v>
      </c>
      <c r="O207" s="1652"/>
      <c r="P207" s="541"/>
      <c r="R207" s="558"/>
    </row>
    <row r="208" spans="1:18" ht="11.25" customHeight="1">
      <c r="A208" s="252"/>
      <c r="B208" s="715"/>
      <c r="C208" s="552" t="s">
        <v>3444</v>
      </c>
      <c r="D208" s="44" t="s">
        <v>2077</v>
      </c>
      <c r="H208" s="65"/>
      <c r="I208" s="1671"/>
      <c r="J208" s="1672"/>
      <c r="L208" s="705"/>
      <c r="M208" s="89"/>
      <c r="N208" s="552" t="s">
        <v>3444</v>
      </c>
      <c r="O208" s="1652"/>
      <c r="P208" s="541"/>
      <c r="R208" s="558"/>
    </row>
    <row r="209" spans="1:18" ht="11.25" customHeight="1">
      <c r="A209" s="252"/>
      <c r="B209" s="715"/>
      <c r="C209" s="552" t="s">
        <v>3445</v>
      </c>
      <c r="D209" s="44" t="s">
        <v>2078</v>
      </c>
      <c r="H209" s="65"/>
      <c r="I209" s="1671"/>
      <c r="J209" s="1672"/>
      <c r="L209" s="705"/>
      <c r="M209" s="89"/>
      <c r="N209" s="552" t="s">
        <v>3445</v>
      </c>
      <c r="O209" s="1652"/>
      <c r="P209" s="541"/>
      <c r="R209" s="558"/>
    </row>
    <row r="210" spans="1:18" ht="11.25" customHeight="1" thickBot="1">
      <c r="A210" s="252"/>
      <c r="B210" s="715"/>
      <c r="C210" s="552" t="s">
        <v>3452</v>
      </c>
      <c r="D210" s="701" t="s">
        <v>3722</v>
      </c>
      <c r="E210" s="702"/>
      <c r="F210" s="702"/>
      <c r="G210" s="702"/>
      <c r="H210" s="703"/>
      <c r="I210" s="1673"/>
      <c r="J210" s="1674"/>
      <c r="L210" s="709"/>
      <c r="M210" s="89"/>
      <c r="N210" s="552" t="s">
        <v>3452</v>
      </c>
      <c r="O210" s="1648"/>
      <c r="P210" s="356"/>
      <c r="R210" s="558"/>
    </row>
    <row r="211" spans="1:18" ht="12" customHeight="1" thickBot="1">
      <c r="A211" s="252"/>
      <c r="B211" s="715"/>
      <c r="D211" s="699" t="s">
        <v>3725</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3724</v>
      </c>
      <c r="D213" s="699" t="s">
        <v>3726</v>
      </c>
      <c r="I213" s="1181">
        <f>'Part IV-Uses of Funds'!$G$123</f>
        <v>11935929</v>
      </c>
      <c r="J213" s="1182"/>
      <c r="M213" s="216"/>
      <c r="N213" s="31"/>
      <c r="O213" s="31"/>
      <c r="P213" s="31"/>
    </row>
    <row r="214" spans="1:18" ht="12" customHeight="1">
      <c r="B214" s="250"/>
      <c r="C214" s="698"/>
      <c r="D214" s="720" t="s">
        <v>3727</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74"/>
      <c r="P216" s="85"/>
    </row>
    <row r="217" spans="1:18" s="132" customFormat="1" ht="6" customHeight="1">
      <c r="B217" s="715"/>
    </row>
    <row r="218" spans="1:18" s="51" customFormat="1" ht="12.75" customHeight="1">
      <c r="A218" s="189" t="s">
        <v>1146</v>
      </c>
      <c r="B218" s="256" t="s">
        <v>906</v>
      </c>
      <c r="D218" s="47"/>
      <c r="E218" s="44"/>
      <c r="F218" s="1"/>
      <c r="G218" s="1"/>
      <c r="H218" s="1"/>
      <c r="I218" s="1"/>
      <c r="J218" s="38"/>
      <c r="K218" s="38"/>
      <c r="L218" s="38"/>
      <c r="M218" s="696">
        <v>2</v>
      </c>
      <c r="N218" s="803" t="s">
        <v>1146</v>
      </c>
      <c r="O218" s="204">
        <f>IF($K$221&gt;=0.1, 2,IF($K$221&gt;=0.05, 1,0))</f>
        <v>0</v>
      </c>
      <c r="P218" s="204">
        <f>IF($M$221&gt;=0.1, 2,IF($M$221&gt;=0.05, 1,0))</f>
        <v>0</v>
      </c>
      <c r="R218" s="558" t="str">
        <f>IF(OR($O218=$M218,$O218=0,$O218=""),"","* * Check Score! * *")</f>
        <v/>
      </c>
    </row>
    <row r="219" spans="1:18" s="51" customFormat="1" ht="12.6" customHeight="1">
      <c r="A219" s="251"/>
      <c r="B219" s="44" t="s">
        <v>907</v>
      </c>
      <c r="E219" s="1677"/>
      <c r="F219" s="1678"/>
      <c r="G219" s="1678"/>
      <c r="H219" s="1679"/>
      <c r="K219" s="253"/>
      <c r="M219" s="7"/>
      <c r="N219" s="7"/>
      <c r="O219" s="7"/>
      <c r="P219" s="7"/>
    </row>
    <row r="220" spans="1:18" ht="12" customHeight="1">
      <c r="A220" s="252"/>
      <c r="B220" s="582" t="s">
        <v>3322</v>
      </c>
      <c r="D220" s="583"/>
      <c r="E220" s="1680"/>
      <c r="F220" s="1681"/>
      <c r="G220" s="1681"/>
      <c r="H220" s="1681"/>
      <c r="I220" s="1681"/>
      <c r="J220" s="1681"/>
      <c r="K220" s="1681"/>
      <c r="L220" s="1681"/>
      <c r="M220" s="1681"/>
      <c r="N220" s="1681"/>
      <c r="O220" s="1681"/>
      <c r="P220" s="1313"/>
    </row>
    <row r="221" spans="1:18" ht="12.6" customHeight="1">
      <c r="B221" s="44" t="s">
        <v>3864</v>
      </c>
      <c r="E221" s="704"/>
      <c r="I221" s="1682"/>
      <c r="J221" s="168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313</v>
      </c>
      <c r="C223" s="50"/>
      <c r="D223" s="56"/>
      <c r="E223" s="56"/>
      <c r="F223" s="56"/>
      <c r="G223" s="56"/>
      <c r="H223" s="44"/>
      <c r="I223" s="44"/>
      <c r="J223" s="44"/>
      <c r="K223" s="44"/>
      <c r="M223" s="54"/>
      <c r="N223" s="74"/>
      <c r="O223" s="4"/>
      <c r="P223" s="854"/>
    </row>
    <row r="224" spans="1:18" s="51" customFormat="1" ht="24" customHeight="1">
      <c r="A224" s="1578"/>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2512</v>
      </c>
      <c r="B228" s="144" t="s">
        <v>2516</v>
      </c>
      <c r="C228" s="79"/>
      <c r="E228" s="49"/>
      <c r="G228" s="44"/>
      <c r="H228" s="44"/>
      <c r="I228" s="47"/>
      <c r="J228" s="56"/>
      <c r="K228" s="56"/>
      <c r="L228" s="558" t="str">
        <f>IF(OR($O228=$M228,$O228=0,$O228=""),"","* * Check Score! * *")</f>
        <v/>
      </c>
      <c r="M228" s="3">
        <v>6</v>
      </c>
      <c r="N228" s="134"/>
      <c r="O228" s="54"/>
      <c r="P228" s="85"/>
      <c r="Q228" s="148" t="s">
        <v>613</v>
      </c>
      <c r="R228" s="558"/>
    </row>
    <row r="229" spans="1:18" s="51" customFormat="1" ht="12" customHeight="1">
      <c r="A229" s="189" t="s">
        <v>2863</v>
      </c>
      <c r="B229" s="236" t="s">
        <v>3660</v>
      </c>
      <c r="D229" s="40"/>
      <c r="H229" s="65" t="s">
        <v>3288</v>
      </c>
      <c r="N229" s="803" t="s">
        <v>2863</v>
      </c>
      <c r="O229" s="1647" t="s">
        <v>3984</v>
      </c>
      <c r="P229" s="355"/>
      <c r="R229" s="558"/>
    </row>
    <row r="230" spans="1:18" s="51" customFormat="1" ht="24.6" customHeight="1">
      <c r="A230" s="50"/>
      <c r="B230" s="1185" t="s">
        <v>3643</v>
      </c>
      <c r="C230" s="1186"/>
      <c r="D230" s="1186"/>
      <c r="E230" s="1186"/>
      <c r="F230" s="1186"/>
      <c r="G230" s="1186"/>
      <c r="H230" s="1186"/>
      <c r="I230" s="1186"/>
      <c r="J230" s="1186"/>
      <c r="K230" s="1186"/>
      <c r="L230" s="1186"/>
      <c r="M230" s="54"/>
      <c r="N230" s="74"/>
      <c r="O230" s="1648" t="s">
        <v>3984</v>
      </c>
      <c r="P230" s="356"/>
    </row>
    <row r="231" spans="1:18" s="51" customFormat="1" ht="12" customHeight="1">
      <c r="A231" s="189" t="s">
        <v>2866</v>
      </c>
      <c r="B231" s="236" t="s">
        <v>3728</v>
      </c>
      <c r="D231" s="40"/>
      <c r="E231" s="40"/>
      <c r="F231" s="40"/>
      <c r="H231" s="65" t="s">
        <v>3288</v>
      </c>
      <c r="N231" s="803" t="s">
        <v>2866</v>
      </c>
      <c r="O231" s="1574" t="s">
        <v>3984</v>
      </c>
      <c r="P231" s="232"/>
      <c r="R231" s="558"/>
    </row>
    <row r="232" spans="1:18" s="51" customFormat="1" ht="12" customHeight="1">
      <c r="A232" s="50"/>
      <c r="B232" s="65" t="s">
        <v>3731</v>
      </c>
      <c r="D232" s="47"/>
      <c r="E232" s="44"/>
      <c r="F232" s="1"/>
      <c r="G232" s="1"/>
      <c r="H232" s="1"/>
      <c r="I232" s="1"/>
      <c r="J232" s="38"/>
      <c r="K232" s="38"/>
      <c r="L232" s="38"/>
      <c r="M232" s="823"/>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47" t="s">
        <v>3984</v>
      </c>
      <c r="P233" s="355"/>
    </row>
    <row r="234" spans="1:18" s="132" customFormat="1" ht="11.25" customHeight="1">
      <c r="B234" s="551" t="s">
        <v>2869</v>
      </c>
      <c r="C234" s="697" t="s">
        <v>3730</v>
      </c>
      <c r="N234" s="250" t="s">
        <v>2869</v>
      </c>
      <c r="O234" s="1652" t="s">
        <v>3984</v>
      </c>
      <c r="P234" s="541"/>
    </row>
    <row r="235" spans="1:18" s="132" customFormat="1" ht="11.25" customHeight="1">
      <c r="B235" s="551" t="s">
        <v>3550</v>
      </c>
      <c r="C235" s="697" t="s">
        <v>3732</v>
      </c>
      <c r="N235" s="250" t="s">
        <v>3550</v>
      </c>
      <c r="O235" s="1652" t="s">
        <v>3984</v>
      </c>
      <c r="P235" s="541"/>
    </row>
    <row r="236" spans="1:18" s="132" customFormat="1" ht="11.25" customHeight="1">
      <c r="B236" s="551" t="s">
        <v>1763</v>
      </c>
      <c r="C236" s="697" t="s">
        <v>3733</v>
      </c>
      <c r="N236" s="250" t="s">
        <v>1763</v>
      </c>
      <c r="O236" s="1648" t="s">
        <v>3984</v>
      </c>
      <c r="P236" s="356"/>
    </row>
    <row r="237" spans="1:18" s="51" customFormat="1" ht="10.5" customHeight="1">
      <c r="A237" s="50"/>
      <c r="B237" s="57" t="s">
        <v>313</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1807</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1807</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2514</v>
      </c>
      <c r="B242" s="152" t="s">
        <v>2518</v>
      </c>
      <c r="C242" s="116"/>
      <c r="D242" s="70"/>
      <c r="E242" s="62"/>
      <c r="J242" s="73"/>
      <c r="M242" s="3">
        <v>5</v>
      </c>
      <c r="N242" s="7"/>
      <c r="O242" s="93">
        <f>MIN($M242,O243+O246)</f>
        <v>3</v>
      </c>
      <c r="P242" s="93">
        <f>MIN($M242,P243+P246)</f>
        <v>0</v>
      </c>
      <c r="Q242" s="148" t="s">
        <v>613</v>
      </c>
    </row>
    <row r="243" spans="1:18" s="51" customFormat="1" ht="12" customHeight="1">
      <c r="A243" s="189" t="s">
        <v>2863</v>
      </c>
      <c r="B243" s="236" t="s">
        <v>3734</v>
      </c>
      <c r="D243" s="40"/>
      <c r="E243" s="40"/>
      <c r="F243" s="40"/>
      <c r="L243" s="558" t="str">
        <f>IF(OR($O243=$M243,$O243=0,$O243=""),"","* * Check Score! * *")</f>
        <v/>
      </c>
      <c r="M243" s="7">
        <v>3</v>
      </c>
      <c r="N243" s="803" t="s">
        <v>2863</v>
      </c>
      <c r="O243" s="1684">
        <v>3</v>
      </c>
      <c r="P243" s="743"/>
      <c r="Q243" s="148"/>
      <c r="R243" s="558" t="str">
        <f>IF(OR($O243=$M243,$O243=0,$O243=""),"","* * Check Score! * *")</f>
        <v/>
      </c>
    </row>
    <row r="244" spans="1:18" s="51" customFormat="1" ht="36" customHeight="1">
      <c r="A244" s="189"/>
      <c r="B244" s="1213" t="s">
        <v>3736</v>
      </c>
      <c r="C244" s="1213"/>
      <c r="D244" s="1213"/>
      <c r="E244" s="1213"/>
      <c r="F244" s="1213"/>
      <c r="G244" s="1213"/>
      <c r="H244" s="1213"/>
      <c r="I244" s="1213"/>
      <c r="J244" s="1213"/>
      <c r="K244" s="1213"/>
      <c r="L244" s="1213"/>
      <c r="M244" s="558"/>
      <c r="N244" s="558"/>
      <c r="O244" s="1685" t="s">
        <v>4025</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475</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2" t="s">
        <v>172</v>
      </c>
      <c r="D247" s="1162"/>
      <c r="E247" s="1162"/>
      <c r="F247" s="1162"/>
      <c r="G247" s="1162"/>
      <c r="H247" s="1162"/>
      <c r="I247" s="1162"/>
      <c r="J247" s="1162"/>
      <c r="K247" s="1162"/>
      <c r="L247" s="1162"/>
      <c r="M247" s="656">
        <v>2</v>
      </c>
      <c r="O247" s="1684"/>
      <c r="P247" s="743"/>
    </row>
    <row r="248" spans="1:18" s="655" customFormat="1" ht="24" customHeight="1">
      <c r="A248" s="711" t="s">
        <v>1922</v>
      </c>
      <c r="B248" s="723" t="s">
        <v>2869</v>
      </c>
      <c r="C248" s="1162" t="s">
        <v>3762</v>
      </c>
      <c r="D248" s="1162"/>
      <c r="E248" s="1162"/>
      <c r="F248" s="1162"/>
      <c r="G248" s="1162"/>
      <c r="H248" s="1162"/>
      <c r="I248" s="1162"/>
      <c r="J248" s="1162"/>
      <c r="K248" s="1162"/>
      <c r="L248" s="1162"/>
      <c r="M248" s="656">
        <v>1</v>
      </c>
      <c r="O248" s="1685"/>
      <c r="P248" s="744"/>
    </row>
    <row r="249" spans="1:18" s="51" customFormat="1" ht="12" customHeight="1">
      <c r="A249" s="50"/>
      <c r="B249" s="57" t="s">
        <v>313</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2515</v>
      </c>
      <c r="B254" s="144" t="s">
        <v>2519</v>
      </c>
      <c r="D254" s="53"/>
      <c r="E254" s="53"/>
      <c r="F254" s="47"/>
      <c r="G254" s="44"/>
      <c r="H254" s="44"/>
      <c r="I254" s="44"/>
      <c r="J254" s="44"/>
      <c r="K254" s="44"/>
      <c r="L254" s="558" t="str">
        <f>IF(OR($O254=$M254,$O254&lt;=0,$O254=""),"","* * Check Score! * *")</f>
        <v/>
      </c>
      <c r="M254" s="3">
        <v>10</v>
      </c>
      <c r="N254" s="7"/>
      <c r="O254" s="77">
        <f>O256</f>
        <v>10</v>
      </c>
      <c r="P254" s="77">
        <f>P256</f>
        <v>0</v>
      </c>
      <c r="Q254" s="148" t="s">
        <v>613</v>
      </c>
    </row>
    <row r="255" spans="1:18" s="43" customFormat="1" ht="11.45" customHeight="1">
      <c r="B255" s="195" t="s">
        <v>3564</v>
      </c>
      <c r="M255" s="50"/>
      <c r="N255" s="50"/>
      <c r="O255" s="1574" t="s">
        <v>3983</v>
      </c>
      <c r="P255" s="232"/>
    </row>
    <row r="256" spans="1:18" ht="12.6" customHeight="1">
      <c r="A256" s="189" t="s">
        <v>2863</v>
      </c>
      <c r="B256" s="254" t="s">
        <v>2021</v>
      </c>
      <c r="D256" s="40"/>
      <c r="E256" s="40"/>
      <c r="F256" s="40"/>
      <c r="G256" s="40"/>
      <c r="H256" s="40"/>
      <c r="I256" s="40"/>
      <c r="J256" s="40"/>
      <c r="K256" s="40"/>
      <c r="L256" s="40"/>
      <c r="M256" s="157"/>
      <c r="N256" s="803" t="s">
        <v>2863</v>
      </c>
      <c r="O256" s="1686">
        <v>10</v>
      </c>
      <c r="P256" s="580"/>
    </row>
    <row r="257" spans="1:18" ht="12.6" customHeight="1">
      <c r="A257" s="189" t="s">
        <v>2866</v>
      </c>
      <c r="B257" s="254" t="s">
        <v>326</v>
      </c>
      <c r="D257" s="40"/>
      <c r="E257" s="40"/>
      <c r="F257" s="40"/>
      <c r="G257" s="48"/>
      <c r="H257" s="48"/>
      <c r="I257" s="48"/>
      <c r="J257" s="48"/>
      <c r="K257" s="48"/>
      <c r="M257" s="134"/>
      <c r="N257" s="803" t="s">
        <v>2866</v>
      </c>
      <c r="O257" s="1574" t="s">
        <v>4040</v>
      </c>
      <c r="P257" s="232"/>
    </row>
    <row r="258" spans="1:18" s="51" customFormat="1" ht="11.25" customHeight="1">
      <c r="A258" s="50"/>
      <c r="B258" s="57" t="s">
        <v>313</v>
      </c>
      <c r="C258" s="50"/>
      <c r="D258" s="56"/>
      <c r="E258" s="56"/>
      <c r="F258" s="56"/>
      <c r="G258" s="56"/>
      <c r="H258" s="44"/>
      <c r="I258" s="44"/>
      <c r="J258" s="44"/>
      <c r="K258" s="44"/>
      <c r="M258" s="54"/>
      <c r="N258" s="74"/>
      <c r="O258" s="4"/>
      <c r="P258" s="854"/>
    </row>
    <row r="259" spans="1:18" s="51" customFormat="1" ht="12.75" customHeight="1">
      <c r="A259" s="1578"/>
      <c r="B259" s="1579"/>
      <c r="C259" s="1579"/>
      <c r="D259" s="1579"/>
      <c r="E259" s="1579"/>
      <c r="F259" s="1579"/>
      <c r="G259" s="1579"/>
      <c r="H259" s="1579"/>
      <c r="I259" s="1579"/>
      <c r="J259" s="1579"/>
      <c r="K259" s="1579"/>
      <c r="L259" s="1579"/>
      <c r="M259" s="1579"/>
      <c r="N259" s="1579"/>
      <c r="O259" s="1579"/>
      <c r="P259" s="1580"/>
      <c r="Q259" s="736" t="s">
        <v>1807</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1807</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2517</v>
      </c>
      <c r="B263" s="145" t="s">
        <v>3737</v>
      </c>
      <c r="C263" s="64"/>
      <c r="D263" s="159"/>
      <c r="E263" s="159"/>
      <c r="F263" s="49"/>
      <c r="H263" s="47"/>
      <c r="K263" s="56"/>
      <c r="M263" s="3">
        <v>20</v>
      </c>
      <c r="N263" s="7"/>
      <c r="O263" s="93">
        <f>MIN($M263,(O264+O273))</f>
        <v>0</v>
      </c>
      <c r="P263" s="93">
        <f>MIN($M263,(P264+P273))</f>
        <v>0</v>
      </c>
      <c r="Q263" s="148" t="s">
        <v>613</v>
      </c>
    </row>
    <row r="264" spans="1:18" s="51" customFormat="1" ht="13.5" customHeight="1">
      <c r="A264" s="189" t="s">
        <v>2863</v>
      </c>
      <c r="B264" s="236" t="s">
        <v>3738</v>
      </c>
      <c r="D264" s="73" t="s">
        <v>3968</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58"/>
      <c r="K266" s="858"/>
      <c r="L266" s="858"/>
      <c r="M266" s="714"/>
      <c r="O266" s="1640"/>
      <c r="P266" s="85"/>
    </row>
    <row r="267" spans="1:18" s="655" customFormat="1" ht="12" customHeight="1">
      <c r="A267" s="713" t="s">
        <v>1922</v>
      </c>
      <c r="B267" s="723" t="s">
        <v>2869</v>
      </c>
      <c r="C267" s="179" t="s">
        <v>2509</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3951</v>
      </c>
      <c r="D268" s="1162"/>
      <c r="E268" s="1162"/>
      <c r="F268" s="1162"/>
      <c r="G268" s="1162"/>
      <c r="H268" s="1162"/>
      <c r="I268" s="1162"/>
      <c r="J268" s="1162"/>
      <c r="K268" s="1162"/>
      <c r="L268" s="1162"/>
      <c r="M268" s="714"/>
      <c r="N268" s="656"/>
      <c r="O268" s="1687"/>
      <c r="P268" s="712"/>
    </row>
    <row r="269" spans="1:18" s="655" customFormat="1" ht="12" customHeight="1">
      <c r="A269" s="713" t="s">
        <v>1922</v>
      </c>
      <c r="B269" s="723" t="s">
        <v>3550</v>
      </c>
      <c r="C269" s="179" t="s">
        <v>2508</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71" t="s">
        <v>3952</v>
      </c>
      <c r="D270" s="1171"/>
      <c r="E270" s="1171"/>
      <c r="F270" s="1171"/>
      <c r="G270" s="1171"/>
      <c r="H270" s="1171"/>
      <c r="I270" s="1171"/>
      <c r="J270" s="1171"/>
      <c r="K270" s="1171"/>
      <c r="L270" s="1171"/>
      <c r="M270" s="656"/>
      <c r="N270" s="575" t="s">
        <v>3420</v>
      </c>
      <c r="O270" s="1688"/>
      <c r="P270" s="740"/>
    </row>
    <row r="271" spans="1:18" s="655" customFormat="1" ht="22.5" customHeight="1">
      <c r="A271" s="654"/>
      <c r="B271" s="575" t="s">
        <v>3421</v>
      </c>
      <c r="C271" s="1162" t="s">
        <v>3763</v>
      </c>
      <c r="D271" s="1162"/>
      <c r="E271" s="1162"/>
      <c r="F271" s="1162"/>
      <c r="G271" s="1162"/>
      <c r="H271" s="1162"/>
      <c r="I271" s="1162"/>
      <c r="J271" s="1162"/>
      <c r="K271" s="1162"/>
      <c r="L271" s="1162"/>
      <c r="M271" s="656"/>
      <c r="N271" s="575" t="s">
        <v>3421</v>
      </c>
      <c r="O271" s="1689"/>
      <c r="P271" s="741"/>
    </row>
    <row r="272" spans="1:18" s="655" customFormat="1" ht="22.5" customHeight="1">
      <c r="A272" s="654"/>
      <c r="B272" s="575" t="s">
        <v>3422</v>
      </c>
      <c r="C272" s="1162" t="s">
        <v>3740</v>
      </c>
      <c r="D272" s="1162"/>
      <c r="E272" s="1162"/>
      <c r="F272" s="1162"/>
      <c r="G272" s="1162"/>
      <c r="H272" s="1162"/>
      <c r="I272" s="1162"/>
      <c r="J272" s="1162"/>
      <c r="K272" s="1162"/>
      <c r="L272" s="1162"/>
      <c r="M272" s="656"/>
      <c r="N272" s="575" t="s">
        <v>3422</v>
      </c>
      <c r="O272" s="1690"/>
      <c r="P272" s="742"/>
    </row>
    <row r="273" spans="1:18" ht="13.5" customHeight="1">
      <c r="A273" s="189" t="s">
        <v>2866</v>
      </c>
      <c r="B273" s="236" t="s">
        <v>3741</v>
      </c>
      <c r="D273" s="40"/>
      <c r="E273" s="73" t="s">
        <v>3967</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62" t="s">
        <v>3744</v>
      </c>
      <c r="D275" s="1162"/>
      <c r="E275" s="1162"/>
      <c r="F275" s="1162"/>
      <c r="G275" s="1162"/>
      <c r="H275" s="1162"/>
      <c r="I275" s="1162"/>
      <c r="J275" s="1162"/>
      <c r="K275" s="1162"/>
      <c r="L275" s="1162"/>
      <c r="M275" s="656">
        <v>4</v>
      </c>
      <c r="N275" s="575" t="s">
        <v>3420</v>
      </c>
      <c r="O275" s="1688"/>
      <c r="P275" s="740"/>
    </row>
    <row r="276" spans="1:18" s="655" customFormat="1" ht="22.5" customHeight="1">
      <c r="A276" s="219" t="s">
        <v>3764</v>
      </c>
      <c r="B276" s="575" t="s">
        <v>3421</v>
      </c>
      <c r="C276" s="1162" t="s">
        <v>3745</v>
      </c>
      <c r="D276" s="1162"/>
      <c r="E276" s="1162"/>
      <c r="F276" s="1162"/>
      <c r="G276" s="1162"/>
      <c r="H276" s="1162"/>
      <c r="I276" s="1162"/>
      <c r="J276" s="1162"/>
      <c r="K276" s="1162"/>
      <c r="L276" s="1162"/>
      <c r="M276" s="656">
        <v>2</v>
      </c>
      <c r="N276" s="575" t="s">
        <v>3421</v>
      </c>
      <c r="O276" s="1690"/>
      <c r="P276" s="742"/>
    </row>
    <row r="277" spans="1:18" s="132" customFormat="1" ht="12" customHeight="1">
      <c r="B277" s="551" t="s">
        <v>2869</v>
      </c>
      <c r="C277" s="724" t="s">
        <v>3743</v>
      </c>
      <c r="L277" s="558" t="str">
        <f>IF(OR($O277=$M277,$O277=0,$O277=""),"","* * Check Score! * *")</f>
        <v/>
      </c>
      <c r="M277" s="8">
        <v>1</v>
      </c>
      <c r="N277" s="250" t="s">
        <v>2869</v>
      </c>
      <c r="O277" s="1640"/>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62" t="s">
        <v>3748</v>
      </c>
      <c r="D279" s="1162"/>
      <c r="E279" s="1162"/>
      <c r="F279" s="1162"/>
      <c r="G279" s="1162"/>
      <c r="H279" s="1162"/>
      <c r="I279" s="1162"/>
      <c r="J279" s="1162"/>
      <c r="K279" s="1162"/>
      <c r="L279" s="1162"/>
      <c r="M279" s="656">
        <v>2</v>
      </c>
      <c r="N279" s="575" t="s">
        <v>3420</v>
      </c>
      <c r="O279" s="1684"/>
      <c r="P279" s="743"/>
    </row>
    <row r="280" spans="1:18" s="655" customFormat="1" ht="12" customHeight="1">
      <c r="A280" s="219" t="s">
        <v>3764</v>
      </c>
      <c r="B280" s="575" t="s">
        <v>3421</v>
      </c>
      <c r="C280" s="1162" t="s">
        <v>3747</v>
      </c>
      <c r="D280" s="1162"/>
      <c r="E280" s="1162"/>
      <c r="F280" s="1162"/>
      <c r="G280" s="1162"/>
      <c r="H280" s="1162"/>
      <c r="I280" s="1162"/>
      <c r="J280" s="1162"/>
      <c r="K280" s="1162"/>
      <c r="L280" s="1162"/>
      <c r="M280" s="656">
        <v>1</v>
      </c>
      <c r="N280" s="575" t="s">
        <v>3421</v>
      </c>
      <c r="O280" s="1685"/>
      <c r="P280" s="744"/>
    </row>
    <row r="281" spans="1:18" s="132" customFormat="1" ht="12" customHeight="1">
      <c r="B281" s="551" t="s">
        <v>1763</v>
      </c>
      <c r="C281" s="724" t="s">
        <v>3749</v>
      </c>
      <c r="F281" s="697" t="s">
        <v>3865</v>
      </c>
      <c r="L281" s="558"/>
      <c r="M281" s="8">
        <v>2</v>
      </c>
      <c r="N281" s="250" t="s">
        <v>1763</v>
      </c>
      <c r="O281" s="1640"/>
      <c r="P281" s="85"/>
    </row>
    <row r="282" spans="1:18" s="132" customFormat="1" ht="12" customHeight="1">
      <c r="B282" s="551" t="s">
        <v>1764</v>
      </c>
      <c r="C282" s="724" t="s">
        <v>3750</v>
      </c>
      <c r="F282" s="697" t="s">
        <v>3752</v>
      </c>
      <c r="J282" s="1209">
        <f>'Part IV-Uses of Funds'!$B$39/'Part IV-Uses of Funds'!$G$123</f>
        <v>0.59865746520442609</v>
      </c>
      <c r="K282" s="1210"/>
      <c r="L282" s="558"/>
      <c r="M282" s="8">
        <v>2</v>
      </c>
      <c r="N282" s="250" t="s">
        <v>1764</v>
      </c>
      <c r="O282" s="1640"/>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74"/>
      <c r="P284" s="232"/>
      <c r="R284" s="558"/>
    </row>
    <row r="285" spans="1:18" s="51" customFormat="1" ht="12" customHeight="1">
      <c r="A285" s="189"/>
      <c r="B285" s="575" t="s">
        <v>3421</v>
      </c>
      <c r="C285" s="65" t="s">
        <v>3947</v>
      </c>
      <c r="D285" s="40"/>
      <c r="N285" s="803"/>
      <c r="O285" s="1574"/>
      <c r="P285" s="232"/>
      <c r="R285" s="558"/>
    </row>
    <row r="286" spans="1:18" s="51" customFormat="1" ht="12" customHeight="1">
      <c r="A286" s="50"/>
      <c r="B286" s="57" t="s">
        <v>313</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3862</v>
      </c>
      <c r="B291" s="81"/>
      <c r="C291" s="58"/>
      <c r="D291" s="43"/>
      <c r="E291" s="43"/>
      <c r="F291" s="64"/>
      <c r="G291" s="51"/>
      <c r="H291" s="211" t="s">
        <v>507</v>
      </c>
      <c r="I291" s="212"/>
      <c r="J291" s="212"/>
      <c r="K291" s="212"/>
      <c r="L291" s="134"/>
      <c r="M291" s="726">
        <f>M8+M30+M38+M49+M58+M67+M74+M90+M132+M146+M161+M169+M177+M182+M193+M228+M242+M254+M263</f>
        <v>102</v>
      </c>
      <c r="N291" s="213"/>
      <c r="O291" s="214">
        <f>O8+O30+O38+O49+O58+O67+O74+O90+O132+O146+O161+O169+O177+O182+O193+O228+O242+O254+O263</f>
        <v>53</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53</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2478</v>
      </c>
      <c r="D298" s="110"/>
      <c r="E298" s="110"/>
      <c r="F298" s="110"/>
      <c r="G298" s="110"/>
      <c r="H298" s="110"/>
      <c r="I298" s="110"/>
      <c r="J298" s="110" t="s">
        <v>1516</v>
      </c>
      <c r="K298" s="208"/>
      <c r="L298" s="167"/>
      <c r="M298" s="156"/>
      <c r="Q298" s="156"/>
      <c r="R298" s="156"/>
      <c r="S298" s="156"/>
    </row>
    <row r="299" spans="1:19">
      <c r="A299" s="156"/>
      <c r="B299" s="156"/>
      <c r="C299" s="167" t="s">
        <v>2978</v>
      </c>
      <c r="D299" s="167"/>
      <c r="E299" s="167"/>
      <c r="F299" s="167"/>
      <c r="G299" s="167"/>
      <c r="H299" s="167"/>
      <c r="I299" s="167"/>
      <c r="J299" s="167" t="s">
        <v>2627</v>
      </c>
      <c r="K299" s="167"/>
      <c r="L299" s="167"/>
      <c r="M299" s="156"/>
      <c r="Q299" s="156"/>
      <c r="R299" s="156"/>
      <c r="S299" s="156"/>
    </row>
    <row r="300" spans="1:19" ht="15">
      <c r="A300" s="156"/>
      <c r="B300" s="156"/>
      <c r="C300" s="110" t="s">
        <v>3570</v>
      </c>
      <c r="D300" s="110"/>
      <c r="E300" s="110"/>
      <c r="F300" s="110"/>
      <c r="G300" s="110"/>
      <c r="H300" s="110"/>
      <c r="I300" s="110"/>
      <c r="J300" s="359" t="s">
        <v>275</v>
      </c>
      <c r="K300" s="208"/>
      <c r="L300" s="167"/>
      <c r="M300" s="248"/>
      <c r="N300" s="249"/>
      <c r="Q300" s="156"/>
      <c r="R300" s="156"/>
      <c r="S300" s="156"/>
    </row>
    <row r="301" spans="1:19" ht="15">
      <c r="A301" s="156"/>
      <c r="B301" s="156"/>
      <c r="C301" s="110" t="s">
        <v>2979</v>
      </c>
      <c r="D301" s="110"/>
      <c r="E301" s="110"/>
      <c r="F301" s="110"/>
      <c r="G301" s="110"/>
      <c r="H301" s="110"/>
      <c r="I301" s="110"/>
      <c r="J301" s="359" t="s">
        <v>2480</v>
      </c>
      <c r="K301" s="208"/>
      <c r="L301" s="167"/>
      <c r="M301" s="248"/>
      <c r="N301" s="249"/>
      <c r="Q301" s="156"/>
      <c r="R301" s="156"/>
      <c r="S301" s="156"/>
    </row>
    <row r="302" spans="1:19" ht="15">
      <c r="A302" s="156"/>
      <c r="B302" s="156"/>
      <c r="C302" s="110" t="s">
        <v>2980</v>
      </c>
      <c r="D302" s="110"/>
      <c r="E302" s="110"/>
      <c r="F302" s="110"/>
      <c r="G302" s="110"/>
      <c r="H302" s="110"/>
      <c r="I302" s="110"/>
      <c r="J302" s="359" t="s">
        <v>2481</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2482</v>
      </c>
      <c r="K304" s="208"/>
      <c r="L304" s="167"/>
      <c r="M304" s="248"/>
      <c r="N304" s="249"/>
      <c r="Q304" s="156"/>
      <c r="R304" s="156"/>
      <c r="S304" s="156"/>
    </row>
    <row r="305" spans="1:19" ht="15">
      <c r="A305" s="156"/>
      <c r="B305" s="156"/>
      <c r="C305" s="360"/>
      <c r="D305" s="110"/>
      <c r="E305" s="110"/>
      <c r="F305" s="110"/>
      <c r="G305" s="110"/>
      <c r="H305" s="110"/>
      <c r="I305" s="110"/>
      <c r="J305" s="359" t="s">
        <v>2483</v>
      </c>
      <c r="K305" s="208"/>
      <c r="L305" s="167"/>
      <c r="M305" s="248"/>
      <c r="N305" s="249"/>
      <c r="Q305" s="156"/>
      <c r="R305" s="156"/>
      <c r="S305" s="156"/>
    </row>
    <row r="306" spans="1:19" ht="15">
      <c r="A306" s="156"/>
      <c r="B306" s="156"/>
      <c r="C306" s="167" t="s">
        <v>2627</v>
      </c>
      <c r="D306" s="110"/>
      <c r="E306" s="110"/>
      <c r="F306" s="110"/>
      <c r="G306" s="110"/>
      <c r="H306" s="110"/>
      <c r="I306" s="110"/>
      <c r="J306" s="359" t="s">
        <v>2484</v>
      </c>
      <c r="K306" s="208"/>
      <c r="L306" s="167"/>
      <c r="M306" s="248"/>
      <c r="N306" s="249"/>
      <c r="Q306" s="156"/>
      <c r="R306" s="156"/>
      <c r="S306" s="156"/>
    </row>
    <row r="307" spans="1:19" ht="15">
      <c r="A307" s="156"/>
      <c r="B307" s="156"/>
      <c r="C307" s="361" t="s">
        <v>1963</v>
      </c>
      <c r="D307" s="110"/>
      <c r="E307" s="110"/>
      <c r="F307" s="110"/>
      <c r="G307" s="110"/>
      <c r="H307" s="110"/>
      <c r="I307" s="110"/>
      <c r="J307" s="359" t="s">
        <v>2485</v>
      </c>
      <c r="K307" s="208"/>
      <c r="L307" s="167"/>
      <c r="M307" s="248"/>
      <c r="N307" s="249"/>
      <c r="Q307" s="156"/>
      <c r="R307" s="156"/>
      <c r="S307" s="156"/>
    </row>
    <row r="308" spans="1:19" ht="15">
      <c r="A308" s="156"/>
      <c r="B308" s="156"/>
      <c r="C308" s="361" t="s">
        <v>1964</v>
      </c>
      <c r="D308" s="110"/>
      <c r="E308" s="110"/>
      <c r="F308" s="110"/>
      <c r="G308" s="110"/>
      <c r="H308" s="110"/>
      <c r="I308" s="110"/>
      <c r="J308" s="359" t="s">
        <v>2486</v>
      </c>
      <c r="K308" s="208"/>
      <c r="L308" s="167"/>
      <c r="M308" s="248"/>
      <c r="N308" s="249"/>
      <c r="Q308" s="156"/>
      <c r="R308" s="156"/>
      <c r="S308" s="156"/>
    </row>
    <row r="309" spans="1:19" ht="15">
      <c r="A309" s="156"/>
      <c r="B309" s="156"/>
      <c r="C309" s="362" t="s">
        <v>3023</v>
      </c>
      <c r="D309" s="110"/>
      <c r="E309" s="110"/>
      <c r="F309" s="110"/>
      <c r="G309" s="110"/>
      <c r="H309" s="110"/>
      <c r="I309" s="110"/>
      <c r="J309" s="359" t="s">
        <v>2487</v>
      </c>
      <c r="K309" s="208"/>
      <c r="L309" s="167"/>
      <c r="M309" s="248"/>
      <c r="N309" s="249"/>
      <c r="Q309" s="156"/>
      <c r="R309" s="156"/>
      <c r="S309" s="156"/>
    </row>
    <row r="310" spans="1:19" ht="15">
      <c r="A310" s="156"/>
      <c r="B310" s="156"/>
      <c r="C310" s="362" t="s">
        <v>1960</v>
      </c>
      <c r="D310" s="110"/>
      <c r="E310" s="110"/>
      <c r="F310" s="110"/>
      <c r="G310" s="110"/>
      <c r="H310" s="110"/>
      <c r="I310" s="110"/>
      <c r="J310" s="359" t="s">
        <v>837</v>
      </c>
      <c r="K310" s="208"/>
      <c r="L310" s="167"/>
      <c r="M310" s="248"/>
      <c r="N310" s="249"/>
      <c r="Q310" s="156"/>
      <c r="R310" s="156"/>
      <c r="S310" s="156"/>
    </row>
    <row r="311" spans="1:19" ht="15">
      <c r="A311" s="156"/>
      <c r="B311" s="156"/>
      <c r="C311" s="362" t="s">
        <v>1961</v>
      </c>
      <c r="D311" s="110"/>
      <c r="E311" s="110"/>
      <c r="F311" s="110"/>
      <c r="G311" s="110"/>
      <c r="H311" s="110"/>
      <c r="I311" s="110"/>
      <c r="J311" s="359" t="s">
        <v>2488</v>
      </c>
      <c r="K311" s="208"/>
      <c r="L311" s="167"/>
      <c r="M311" s="248"/>
      <c r="N311" s="249"/>
      <c r="Q311" s="156"/>
      <c r="R311" s="156"/>
      <c r="S311" s="156"/>
    </row>
    <row r="312" spans="1:19" ht="15">
      <c r="A312" s="156"/>
      <c r="B312" s="156"/>
      <c r="C312" s="361" t="s">
        <v>3018</v>
      </c>
      <c r="D312" s="110"/>
      <c r="E312" s="110"/>
      <c r="F312" s="110"/>
      <c r="G312" s="110"/>
      <c r="H312" s="110"/>
      <c r="I312" s="110"/>
      <c r="J312" s="359" t="s">
        <v>2489</v>
      </c>
      <c r="K312" s="208"/>
      <c r="L312" s="167"/>
      <c r="M312" s="248"/>
      <c r="N312" s="249"/>
      <c r="Q312" s="156"/>
      <c r="R312" s="156"/>
      <c r="S312" s="156"/>
    </row>
    <row r="313" spans="1:19" ht="15">
      <c r="A313" s="156"/>
      <c r="B313" s="156"/>
      <c r="C313" s="361" t="s">
        <v>3019</v>
      </c>
      <c r="D313" s="110"/>
      <c r="E313" s="110"/>
      <c r="F313" s="110"/>
      <c r="G313" s="110"/>
      <c r="H313" s="110"/>
      <c r="I313" s="110"/>
      <c r="J313" s="359" t="s">
        <v>2490</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1962</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2100</v>
      </c>
      <c r="H321" s="811" t="s">
        <v>2101</v>
      </c>
      <c r="I321" s="811" t="s">
        <v>2102</v>
      </c>
      <c r="J321" s="167"/>
      <c r="K321" s="167"/>
      <c r="L321" s="167"/>
      <c r="M321" s="248"/>
      <c r="N321" s="249"/>
    </row>
    <row r="322" spans="1:14" ht="38.25">
      <c r="A322" s="156"/>
      <c r="B322" s="156"/>
      <c r="C322" s="167"/>
      <c r="D322" s="167"/>
      <c r="E322" s="167"/>
      <c r="F322" s="167"/>
      <c r="G322" s="812" t="s">
        <v>3536</v>
      </c>
      <c r="H322" s="812" t="s">
        <v>3537</v>
      </c>
      <c r="I322" s="812" t="s">
        <v>1716</v>
      </c>
      <c r="J322" s="167"/>
      <c r="K322" s="167"/>
      <c r="L322" s="167"/>
      <c r="M322" s="248"/>
      <c r="N322" s="249"/>
    </row>
    <row r="323" spans="1:14" ht="25.5">
      <c r="A323" s="156"/>
      <c r="B323" s="156"/>
      <c r="C323" s="167"/>
      <c r="D323" s="167"/>
      <c r="E323" s="167"/>
      <c r="F323" s="167"/>
      <c r="G323" s="812" t="s">
        <v>2389</v>
      </c>
      <c r="H323" s="813" t="s">
        <v>1509</v>
      </c>
      <c r="I323" s="813" t="s">
        <v>1885</v>
      </c>
      <c r="J323" s="167"/>
      <c r="K323" s="167"/>
      <c r="L323" s="167"/>
      <c r="M323" s="248"/>
      <c r="N323" s="249"/>
    </row>
    <row r="324" spans="1:14">
      <c r="A324" s="156"/>
      <c r="B324" s="156"/>
      <c r="C324" s="167"/>
      <c r="D324" s="167"/>
      <c r="E324" s="167"/>
      <c r="F324" s="167"/>
      <c r="G324" s="812" t="s">
        <v>2960</v>
      </c>
      <c r="H324" s="813" t="s">
        <v>1900</v>
      </c>
      <c r="I324" s="813" t="s">
        <v>1897</v>
      </c>
      <c r="J324" s="167"/>
      <c r="K324" s="167"/>
      <c r="L324" s="167"/>
      <c r="M324" s="248"/>
      <c r="N324" s="249"/>
    </row>
    <row r="325" spans="1:14">
      <c r="A325" s="156"/>
      <c r="B325" s="156"/>
      <c r="C325" s="167"/>
      <c r="D325" s="167"/>
      <c r="E325" s="167"/>
      <c r="F325" s="167"/>
      <c r="G325" s="812" t="s">
        <v>2390</v>
      </c>
      <c r="H325" s="813" t="s">
        <v>3557</v>
      </c>
      <c r="I325" s="813" t="s">
        <v>1900</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1900</v>
      </c>
      <c r="H327" s="813" t="s">
        <v>2807</v>
      </c>
      <c r="I327" s="813" t="s">
        <v>3493</v>
      </c>
      <c r="J327" s="167"/>
      <c r="K327" s="167"/>
      <c r="L327" s="167"/>
      <c r="M327" s="248"/>
      <c r="N327" s="249"/>
    </row>
    <row r="328" spans="1:14">
      <c r="A328" s="156"/>
      <c r="B328" s="156"/>
      <c r="C328" s="167"/>
      <c r="D328" s="167"/>
      <c r="E328" s="167"/>
      <c r="F328" s="167"/>
      <c r="G328" s="812" t="s">
        <v>2103</v>
      </c>
      <c r="H328" s="813" t="s">
        <v>3194</v>
      </c>
      <c r="I328" s="813" t="s">
        <v>3495</v>
      </c>
      <c r="J328" s="167"/>
      <c r="K328" s="167"/>
      <c r="L328" s="167"/>
      <c r="M328" s="248"/>
      <c r="N328" s="249"/>
    </row>
    <row r="329" spans="1:14">
      <c r="A329" s="156"/>
      <c r="B329" s="156"/>
      <c r="C329" s="167"/>
      <c r="D329" s="167"/>
      <c r="E329" s="167"/>
      <c r="F329" s="167"/>
      <c r="G329" s="812" t="s">
        <v>1529</v>
      </c>
      <c r="H329" s="813" t="s">
        <v>3559</v>
      </c>
      <c r="I329" s="813" t="s">
        <v>3545</v>
      </c>
      <c r="J329" s="167"/>
      <c r="K329" s="167"/>
      <c r="L329" s="167"/>
      <c r="M329" s="248"/>
      <c r="N329" s="249"/>
    </row>
    <row r="330" spans="1:14">
      <c r="A330" s="156"/>
      <c r="B330" s="156"/>
      <c r="C330" s="167"/>
      <c r="D330" s="167"/>
      <c r="E330" s="167"/>
      <c r="F330" s="167"/>
      <c r="G330" s="812" t="s">
        <v>3495</v>
      </c>
      <c r="H330" s="813" t="s">
        <v>926</v>
      </c>
      <c r="I330" s="813" t="s">
        <v>236</v>
      </c>
      <c r="J330" s="167"/>
      <c r="K330" s="167"/>
      <c r="L330" s="167"/>
      <c r="M330" s="248"/>
      <c r="N330" s="249"/>
    </row>
    <row r="331" spans="1:14">
      <c r="A331" s="156"/>
      <c r="B331" s="156"/>
      <c r="C331" s="167"/>
      <c r="D331" s="167"/>
      <c r="E331" s="167"/>
      <c r="F331" s="167"/>
      <c r="G331" s="812" t="s">
        <v>2947</v>
      </c>
      <c r="H331" s="813" t="s">
        <v>2477</v>
      </c>
      <c r="I331" s="813" t="s">
        <v>1449</v>
      </c>
      <c r="J331" s="167"/>
      <c r="K331" s="167"/>
      <c r="L331" s="167"/>
      <c r="M331" s="248"/>
      <c r="N331" s="249"/>
    </row>
    <row r="332" spans="1:14" ht="25.5">
      <c r="A332" s="156"/>
      <c r="B332" s="156"/>
      <c r="C332" s="167"/>
      <c r="D332" s="167"/>
      <c r="E332" s="167"/>
      <c r="F332" s="167"/>
      <c r="G332" s="812" t="s">
        <v>858</v>
      </c>
      <c r="H332" s="813" t="s">
        <v>3560</v>
      </c>
      <c r="I332" s="813" t="s">
        <v>1451</v>
      </c>
      <c r="J332" s="167"/>
      <c r="K332" s="167"/>
      <c r="L332" s="167"/>
      <c r="M332" s="248"/>
      <c r="N332" s="249"/>
    </row>
    <row r="333" spans="1:14" ht="25.5">
      <c r="A333" s="156"/>
      <c r="B333" s="156"/>
      <c r="C333" s="167"/>
      <c r="D333" s="167"/>
      <c r="E333" s="167"/>
      <c r="F333" s="167"/>
      <c r="G333" s="812" t="s">
        <v>2391</v>
      </c>
      <c r="H333" s="813" t="s">
        <v>2104</v>
      </c>
      <c r="I333" s="813" t="s">
        <v>1365</v>
      </c>
      <c r="J333" s="167"/>
      <c r="K333" s="167"/>
      <c r="L333" s="167"/>
      <c r="M333" s="248"/>
      <c r="N333" s="249"/>
    </row>
    <row r="334" spans="1:14">
      <c r="A334" s="156"/>
      <c r="B334" s="156"/>
      <c r="C334" s="167"/>
      <c r="D334" s="167"/>
      <c r="E334" s="167"/>
      <c r="F334" s="167"/>
      <c r="G334" s="812" t="s">
        <v>1364</v>
      </c>
      <c r="H334" s="813" t="s">
        <v>3183</v>
      </c>
      <c r="I334" s="813" t="s">
        <v>1369</v>
      </c>
      <c r="J334" s="167"/>
      <c r="K334" s="167"/>
      <c r="L334" s="167"/>
      <c r="M334" s="248"/>
      <c r="N334" s="249"/>
    </row>
    <row r="335" spans="1:14">
      <c r="A335" s="156"/>
      <c r="B335" s="156"/>
      <c r="C335" s="167"/>
      <c r="D335" s="167"/>
      <c r="E335" s="167"/>
      <c r="F335" s="167"/>
      <c r="G335" s="812" t="s">
        <v>630</v>
      </c>
      <c r="H335" s="813" t="s">
        <v>2767</v>
      </c>
      <c r="I335" s="813" t="s">
        <v>931</v>
      </c>
      <c r="J335" s="167"/>
      <c r="K335" s="167"/>
      <c r="L335" s="167"/>
      <c r="M335" s="248"/>
      <c r="N335" s="249"/>
    </row>
    <row r="336" spans="1:14" ht="51">
      <c r="A336" s="156"/>
      <c r="B336" s="156"/>
      <c r="C336" s="167"/>
      <c r="D336" s="167"/>
      <c r="E336" s="167"/>
      <c r="F336" s="167"/>
      <c r="G336" s="812" t="s">
        <v>279</v>
      </c>
      <c r="H336" s="813" t="s">
        <v>3563</v>
      </c>
      <c r="I336" s="813" t="s">
        <v>936</v>
      </c>
      <c r="J336" s="167"/>
      <c r="K336" s="167"/>
      <c r="L336" s="167"/>
      <c r="M336" s="248"/>
      <c r="N336" s="249"/>
    </row>
    <row r="337" spans="1:14">
      <c r="A337" s="156"/>
      <c r="B337" s="156"/>
      <c r="C337" s="167"/>
      <c r="D337" s="167"/>
      <c r="E337" s="167"/>
      <c r="F337" s="167"/>
      <c r="G337" s="812" t="s">
        <v>1760</v>
      </c>
      <c r="H337" s="813" t="s">
        <v>3556</v>
      </c>
      <c r="I337" s="813" t="s">
        <v>382</v>
      </c>
      <c r="J337" s="167"/>
      <c r="K337" s="167"/>
      <c r="L337" s="167"/>
      <c r="M337" s="248"/>
      <c r="N337" s="249"/>
    </row>
    <row r="338" spans="1:14" ht="25.5">
      <c r="A338" s="156"/>
      <c r="B338" s="156"/>
      <c r="C338" s="167"/>
      <c r="D338" s="167"/>
      <c r="E338" s="167"/>
      <c r="F338" s="167"/>
      <c r="G338" s="812" t="s">
        <v>1762</v>
      </c>
      <c r="H338" s="813" t="s">
        <v>3561</v>
      </c>
      <c r="I338" s="813" t="s">
        <v>391</v>
      </c>
      <c r="J338" s="167"/>
      <c r="K338" s="167"/>
      <c r="L338" s="167"/>
      <c r="M338" s="248"/>
      <c r="N338" s="249"/>
    </row>
    <row r="339" spans="1:14" ht="25.5">
      <c r="A339" s="156"/>
      <c r="B339" s="156"/>
      <c r="C339" s="167"/>
      <c r="D339" s="167"/>
      <c r="E339" s="167"/>
      <c r="F339" s="167"/>
      <c r="G339" s="812" t="s">
        <v>2392</v>
      </c>
      <c r="H339" s="813" t="s">
        <v>3562</v>
      </c>
      <c r="I339" s="813" t="s">
        <v>398</v>
      </c>
      <c r="J339" s="167"/>
      <c r="K339" s="167"/>
      <c r="L339" s="167"/>
      <c r="M339" s="248"/>
      <c r="N339" s="249"/>
    </row>
    <row r="340" spans="1:14">
      <c r="A340" s="156"/>
      <c r="B340" s="156"/>
      <c r="C340" s="167"/>
      <c r="D340" s="167"/>
      <c r="E340" s="167"/>
      <c r="F340" s="167"/>
      <c r="G340" s="812" t="s">
        <v>818</v>
      </c>
      <c r="H340" s="813" t="s">
        <v>2105</v>
      </c>
      <c r="I340" s="813" t="s">
        <v>400</v>
      </c>
      <c r="J340" s="167"/>
      <c r="K340" s="167"/>
      <c r="L340" s="167"/>
      <c r="M340" s="248"/>
      <c r="N340" s="249"/>
    </row>
    <row r="341" spans="1:14">
      <c r="A341" s="156"/>
      <c r="B341" s="156"/>
      <c r="C341" s="167"/>
      <c r="D341" s="167"/>
      <c r="E341" s="167"/>
      <c r="F341" s="167"/>
      <c r="G341" s="812" t="s">
        <v>2393</v>
      </c>
      <c r="H341" s="813"/>
      <c r="I341" s="813" t="s">
        <v>2041</v>
      </c>
      <c r="J341" s="167"/>
      <c r="K341" s="167"/>
      <c r="L341" s="167"/>
      <c r="M341" s="248"/>
      <c r="N341" s="249"/>
    </row>
    <row r="342" spans="1:14">
      <c r="A342" s="156"/>
      <c r="B342" s="156"/>
      <c r="C342" s="167"/>
      <c r="D342" s="167"/>
      <c r="E342" s="167"/>
      <c r="F342" s="167"/>
      <c r="G342" s="812" t="s">
        <v>2527</v>
      </c>
      <c r="H342" s="813"/>
      <c r="I342" s="813" t="s">
        <v>2043</v>
      </c>
      <c r="J342" s="167"/>
      <c r="K342" s="167"/>
      <c r="L342" s="167"/>
      <c r="M342" s="248"/>
      <c r="N342" s="249"/>
    </row>
    <row r="343" spans="1:14">
      <c r="A343" s="156"/>
      <c r="B343" s="156"/>
      <c r="C343" s="167"/>
      <c r="D343" s="167"/>
      <c r="E343" s="167"/>
      <c r="F343" s="167"/>
      <c r="G343" s="812" t="s">
        <v>2595</v>
      </c>
      <c r="H343" s="813"/>
      <c r="I343" s="813" t="s">
        <v>1888</v>
      </c>
      <c r="J343" s="167"/>
      <c r="K343" s="167"/>
      <c r="L343" s="167"/>
      <c r="M343" s="248"/>
      <c r="N343" s="249"/>
    </row>
    <row r="344" spans="1:14">
      <c r="A344" s="156"/>
      <c r="B344" s="156"/>
      <c r="C344" s="167"/>
      <c r="D344" s="167"/>
      <c r="E344" s="167"/>
      <c r="F344" s="167"/>
      <c r="G344" s="812" t="s">
        <v>757</v>
      </c>
      <c r="H344" s="813"/>
      <c r="I344" s="813" t="s">
        <v>430</v>
      </c>
      <c r="J344" s="167"/>
      <c r="K344" s="167"/>
      <c r="L344" s="167"/>
      <c r="M344" s="248"/>
      <c r="N344" s="249"/>
    </row>
    <row r="345" spans="1:14">
      <c r="A345" s="156"/>
      <c r="B345" s="156"/>
      <c r="C345" s="167"/>
      <c r="D345" s="167"/>
      <c r="E345" s="167"/>
      <c r="F345" s="167"/>
      <c r="G345" s="812" t="s">
        <v>765</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473</v>
      </c>
      <c r="H347" s="813"/>
      <c r="I347" s="813" t="s">
        <v>2383</v>
      </c>
      <c r="J347" s="167"/>
      <c r="K347" s="167"/>
      <c r="L347" s="167"/>
      <c r="M347" s="248"/>
      <c r="N347" s="249"/>
    </row>
    <row r="348" spans="1:14">
      <c r="A348" s="156"/>
      <c r="B348" s="156"/>
      <c r="C348" s="167"/>
      <c r="D348" s="167"/>
      <c r="E348" s="167"/>
      <c r="F348" s="167"/>
      <c r="G348" s="812" t="s">
        <v>3183</v>
      </c>
      <c r="H348" s="813"/>
      <c r="I348" s="813" t="s">
        <v>2385</v>
      </c>
      <c r="J348" s="167"/>
      <c r="K348" s="167"/>
      <c r="L348" s="167"/>
      <c r="M348" s="248"/>
      <c r="N348" s="249"/>
    </row>
    <row r="349" spans="1:14" ht="51">
      <c r="A349" s="156"/>
      <c r="B349" s="156"/>
      <c r="C349" s="167"/>
      <c r="D349" s="167"/>
      <c r="E349" s="167"/>
      <c r="F349" s="167"/>
      <c r="G349" s="812" t="s">
        <v>2394</v>
      </c>
      <c r="H349" s="813"/>
      <c r="I349" s="813" t="s">
        <v>1621</v>
      </c>
      <c r="J349" s="167"/>
      <c r="K349" s="167"/>
      <c r="L349" s="167"/>
      <c r="M349" s="248"/>
      <c r="N349" s="249"/>
    </row>
    <row r="350" spans="1:14">
      <c r="A350" s="156"/>
      <c r="B350" s="156"/>
      <c r="C350" s="167"/>
      <c r="D350" s="167"/>
      <c r="E350" s="167"/>
      <c r="F350" s="167"/>
      <c r="G350" s="812" t="s">
        <v>3172</v>
      </c>
      <c r="H350" s="813"/>
      <c r="I350" s="813" t="s">
        <v>1625</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2395</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2544</v>
      </c>
      <c r="H356" s="761"/>
      <c r="I356" s="813" t="s">
        <v>2500</v>
      </c>
      <c r="J356" s="167"/>
      <c r="K356" s="167"/>
      <c r="L356" s="167"/>
      <c r="M356" s="248"/>
      <c r="N356" s="249"/>
    </row>
    <row r="357" spans="1:14" ht="13.5">
      <c r="A357" s="156"/>
      <c r="B357" s="156"/>
      <c r="C357" s="640"/>
      <c r="D357" s="641"/>
      <c r="E357" s="641"/>
      <c r="F357" s="120"/>
      <c r="G357" s="767" t="s">
        <v>2549</v>
      </c>
      <c r="H357" s="745"/>
      <c r="I357" s="813" t="s">
        <v>2501</v>
      </c>
      <c r="J357" s="167"/>
      <c r="K357" s="167"/>
      <c r="L357" s="167"/>
      <c r="M357" s="156"/>
    </row>
    <row r="358" spans="1:14" ht="13.5">
      <c r="A358" s="156"/>
      <c r="B358" s="156"/>
      <c r="C358" s="640"/>
      <c r="D358" s="120"/>
      <c r="E358" s="120"/>
      <c r="F358" s="120"/>
      <c r="G358" s="767" t="s">
        <v>2552</v>
      </c>
      <c r="H358" s="745"/>
      <c r="I358" s="813" t="s">
        <v>2797</v>
      </c>
      <c r="J358" s="167"/>
      <c r="K358" s="167"/>
      <c r="L358" s="167"/>
      <c r="M358" s="156"/>
    </row>
    <row r="359" spans="1:14" ht="13.5">
      <c r="A359" s="156"/>
      <c r="B359" s="156"/>
      <c r="C359" s="640"/>
      <c r="D359" s="120"/>
      <c r="E359" s="120"/>
      <c r="F359" s="120"/>
      <c r="G359" s="767" t="s">
        <v>2557</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364</v>
      </c>
      <c r="H361" s="745"/>
      <c r="I361" s="761" t="s">
        <v>3375</v>
      </c>
      <c r="J361" s="167"/>
      <c r="K361" s="167"/>
      <c r="L361" s="167"/>
      <c r="M361" s="156"/>
    </row>
    <row r="362" spans="1:14" ht="13.5">
      <c r="A362" s="156"/>
      <c r="B362" s="156"/>
      <c r="C362" s="641"/>
      <c r="D362" s="167"/>
      <c r="E362" s="167"/>
      <c r="F362" s="167"/>
      <c r="G362" s="767" t="s">
        <v>365</v>
      </c>
      <c r="H362" s="745"/>
      <c r="I362" s="761" t="s">
        <v>3377</v>
      </c>
      <c r="J362" s="167"/>
      <c r="K362" s="167"/>
      <c r="L362" s="167"/>
      <c r="M362" s="156"/>
    </row>
    <row r="363" spans="1:14" ht="13.5">
      <c r="A363" s="156"/>
      <c r="B363" s="156"/>
      <c r="C363" s="167"/>
      <c r="D363" s="167"/>
      <c r="E363" s="167"/>
      <c r="F363" s="167"/>
      <c r="G363" s="767" t="s">
        <v>2148</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3" sqref="A3"/>
    </sheetView>
  </sheetViews>
  <sheetFormatPr defaultRowHeight="12.75"/>
  <cols>
    <col min="1" max="1" width="88.42578125" customWidth="1"/>
  </cols>
  <sheetData>
    <row r="1" spans="1:6" ht="15.75">
      <c r="A1" s="577" t="s">
        <v>3941</v>
      </c>
    </row>
    <row r="2" spans="1:6" ht="16.5">
      <c r="A2" s="576" t="str">
        <f>'Part I-Project Information'!F22</f>
        <v>Silver Comet Senior Village</v>
      </c>
    </row>
    <row r="3" spans="1:6" ht="16.5">
      <c r="A3" s="576" t="str">
        <f>CONCATENATE('Part I-Project Information'!F24,", ", 'Part I-Project Information'!J25," County")</f>
        <v>Powder Springs, Cobb County</v>
      </c>
    </row>
    <row r="4" spans="1:6" ht="12" customHeight="1"/>
    <row r="5" spans="1:6" ht="113.25" customHeight="1">
      <c r="A5" s="1216"/>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H5" sqref="H5"/>
    </sheetView>
  </sheetViews>
  <sheetFormatPr defaultRowHeight="12.75"/>
  <cols>
    <col min="1" max="1" width="88.42578125" customWidth="1"/>
  </cols>
  <sheetData>
    <row r="1" spans="1:6" ht="15.75">
      <c r="A1" s="577" t="s">
        <v>3942</v>
      </c>
    </row>
    <row r="2" spans="1:6" ht="16.5">
      <c r="A2" s="576" t="str">
        <f>'Part I-Project Information'!F22</f>
        <v>Silver Comet Senior Village</v>
      </c>
    </row>
    <row r="3" spans="1:6" ht="16.5">
      <c r="A3" s="576" t="str">
        <f>CONCATENATE('Part I-Project Information'!F24,", ", 'Part I-Project Information'!J25," County")</f>
        <v>Powder Springs, Cobb County</v>
      </c>
    </row>
    <row r="4" spans="1:6" ht="12" customHeight="1"/>
    <row r="5" spans="1:6" ht="60" customHeight="1">
      <c r="A5" s="1216" t="s">
        <v>3960</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A16" sqref="A16"/>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2094</v>
      </c>
      <c r="O1" s="645"/>
      <c r="P1" s="645"/>
      <c r="Q1" s="645"/>
      <c r="R1" s="645"/>
      <c r="S1" s="645"/>
      <c r="T1" s="645"/>
      <c r="U1" s="645"/>
      <c r="V1" s="645"/>
      <c r="W1" s="645"/>
      <c r="X1" s="645"/>
      <c r="Y1" s="645"/>
      <c r="Z1" s="645"/>
    </row>
    <row r="3" spans="1:26">
      <c r="N3" s="646" t="s">
        <v>2095</v>
      </c>
      <c r="O3" s="646"/>
      <c r="P3" s="646"/>
      <c r="Q3" s="646"/>
      <c r="R3" s="646"/>
      <c r="S3" s="646"/>
      <c r="T3" s="646"/>
      <c r="U3" s="646"/>
      <c r="V3" s="646"/>
      <c r="W3" s="646"/>
      <c r="X3" s="646"/>
      <c r="Y3" s="646"/>
      <c r="Z3" s="646"/>
    </row>
    <row r="4" spans="1:26">
      <c r="N4" s="647" t="s">
        <v>2096</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978</v>
      </c>
    </row>
    <row r="7" spans="1:26" ht="11.45" customHeight="1">
      <c r="A7" s="138"/>
      <c r="B7" s="138"/>
      <c r="C7" s="138"/>
      <c r="D7" s="138"/>
      <c r="E7" s="138"/>
      <c r="F7" s="138"/>
      <c r="G7" s="138"/>
      <c r="H7" s="138"/>
      <c r="I7" s="138"/>
      <c r="J7" s="138"/>
      <c r="K7" s="138"/>
      <c r="L7" s="138"/>
      <c r="M7" s="138"/>
    </row>
    <row r="8" spans="1:26" ht="63.6" customHeight="1">
      <c r="A8" s="1226" t="s">
        <v>3251</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983</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748</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2591</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2592</v>
      </c>
      <c r="B18" s="1220" t="s">
        <v>904</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2593</v>
      </c>
      <c r="B20" s="1220" t="s">
        <v>1393</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0" t="s">
        <v>954</v>
      </c>
      <c r="C22" s="1220"/>
      <c r="D22" s="1220"/>
      <c r="E22" s="1220"/>
      <c r="F22" s="1220"/>
      <c r="G22" s="1220"/>
      <c r="H22" s="1220"/>
      <c r="I22" s="1220"/>
      <c r="J22" s="1220"/>
      <c r="K22" s="1220"/>
      <c r="L22" s="1220"/>
      <c r="M22" s="1220"/>
    </row>
    <row r="23" spans="1:13" ht="165.6" customHeight="1">
      <c r="A23" s="140" t="s">
        <v>2154</v>
      </c>
      <c r="B23" s="1220" t="s">
        <v>2920</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2155</v>
      </c>
      <c r="B25" s="1220" t="s">
        <v>2051</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2052</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2053</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2054</v>
      </c>
      <c r="B31" s="1220" t="s">
        <v>2014</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2054</v>
      </c>
      <c r="B33" s="1220" t="s">
        <v>1669</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2054</v>
      </c>
      <c r="B35" s="1220" t="s">
        <v>1655</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1441</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1416</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1417</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1418</v>
      </c>
      <c r="B44" s="1223"/>
      <c r="C44" s="1223"/>
      <c r="D44" s="1223"/>
      <c r="E44" s="1223"/>
      <c r="F44" s="1223"/>
      <c r="G44" s="142"/>
      <c r="H44" s="1223" t="s">
        <v>2860</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1419</v>
      </c>
      <c r="B48" s="1223"/>
      <c r="C48" s="1223"/>
      <c r="D48" s="1223"/>
      <c r="E48" s="1223"/>
      <c r="F48" s="1223"/>
      <c r="G48" s="142"/>
      <c r="H48" s="1223" t="s">
        <v>1420</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1421</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1003</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2580</v>
      </c>
      <c r="B4" s="417"/>
      <c r="C4" s="417"/>
      <c r="D4" s="239"/>
      <c r="E4" s="239"/>
      <c r="F4" s="417" t="s">
        <v>2581</v>
      </c>
      <c r="G4" s="417"/>
      <c r="H4" s="239"/>
      <c r="I4" s="239"/>
      <c r="J4" s="417" t="s">
        <v>2582</v>
      </c>
      <c r="K4" s="417"/>
      <c r="L4" s="417"/>
      <c r="M4" s="417"/>
      <c r="N4" s="417"/>
      <c r="O4" s="417"/>
      <c r="P4" s="239"/>
      <c r="Q4" s="418" t="s">
        <v>2583</v>
      </c>
      <c r="R4" s="419" t="s">
        <v>2584</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2585</v>
      </c>
      <c r="B6" s="241"/>
      <c r="C6" s="241"/>
      <c r="D6" s="239"/>
      <c r="E6" s="239"/>
      <c r="F6" s="241" t="s">
        <v>737</v>
      </c>
      <c r="G6" s="241"/>
      <c r="H6" s="239"/>
      <c r="I6" s="239"/>
      <c r="J6" s="241" t="s">
        <v>2586</v>
      </c>
      <c r="K6" s="241"/>
      <c r="L6" s="241"/>
      <c r="M6" s="241"/>
      <c r="N6" s="241"/>
      <c r="O6" s="241"/>
      <c r="P6" s="239"/>
      <c r="Q6" s="422" t="s">
        <v>2587</v>
      </c>
      <c r="R6" s="422">
        <v>950000</v>
      </c>
      <c r="S6" s="239"/>
      <c r="T6" s="239"/>
      <c r="U6" s="239"/>
      <c r="V6" s="423"/>
      <c r="W6" s="423"/>
      <c r="X6" s="242"/>
    </row>
    <row r="7" spans="1:26" s="416" customFormat="1" ht="11.45" customHeight="1">
      <c r="A7" s="421"/>
      <c r="B7" s="241"/>
      <c r="C7" s="241"/>
      <c r="D7" s="239"/>
      <c r="E7" s="239"/>
      <c r="F7" s="241"/>
      <c r="G7" s="241"/>
      <c r="H7" s="239"/>
      <c r="I7" s="239"/>
      <c r="J7" s="241" t="s">
        <v>1809</v>
      </c>
      <c r="K7" s="241"/>
      <c r="L7" s="241"/>
      <c r="M7" s="241"/>
      <c r="N7" s="241"/>
      <c r="O7" s="241"/>
      <c r="P7" s="239"/>
      <c r="Q7" s="422" t="s">
        <v>2587</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2619</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2587</v>
      </c>
      <c r="R9" s="434">
        <v>0.25</v>
      </c>
      <c r="S9" s="239"/>
      <c r="T9" s="239"/>
      <c r="U9" s="239"/>
      <c r="V9" s="423"/>
      <c r="W9" s="423"/>
      <c r="X9" s="242"/>
    </row>
    <row r="10" spans="1:26" s="416" customFormat="1" ht="11.45" customHeight="1">
      <c r="A10" s="241"/>
      <c r="B10" s="241"/>
      <c r="C10" s="241"/>
      <c r="D10" s="239"/>
      <c r="E10" s="239"/>
      <c r="F10" s="241"/>
      <c r="G10" s="241"/>
      <c r="H10" s="239"/>
      <c r="I10" s="239"/>
      <c r="J10" s="426" t="s">
        <v>674</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1810</v>
      </c>
      <c r="G11" s="241"/>
      <c r="H11" s="239"/>
      <c r="I11" s="239"/>
      <c r="J11" s="428">
        <v>110481</v>
      </c>
      <c r="K11" s="428">
        <v>126647</v>
      </c>
      <c r="L11" s="428">
        <v>154003</v>
      </c>
      <c r="M11" s="428">
        <v>199229</v>
      </c>
      <c r="N11" s="428">
        <v>199229</v>
      </c>
      <c r="O11" s="241"/>
      <c r="Q11" s="422" t="s">
        <v>2587</v>
      </c>
      <c r="R11" s="422">
        <f>'Part VI-Revenues &amp; Expenses'!$H$62*$J11+'Part VI-Revenues &amp; Expenses'!$I$62*$K11+'Part VI-Revenues &amp; Expenses'!$J$62*$L11+'Part VI-Revenues &amp; Expenses'!$K$62*$M11+'Part VI-Revenues &amp; Expenses'!$L$62*$N11</f>
        <v>11951436</v>
      </c>
      <c r="S11" s="443" t="s">
        <v>1254</v>
      </c>
      <c r="T11" s="424"/>
      <c r="U11" s="239"/>
      <c r="V11" s="425"/>
      <c r="W11" s="425"/>
      <c r="X11" s="425"/>
    </row>
    <row r="12" spans="1:26" s="416" customFormat="1" ht="11.45" customHeight="1">
      <c r="A12" s="241"/>
      <c r="B12" s="241"/>
      <c r="C12" s="241"/>
      <c r="D12" s="239"/>
      <c r="E12" s="239"/>
      <c r="F12" s="241" t="s">
        <v>1812</v>
      </c>
      <c r="G12" s="241"/>
      <c r="H12" s="239"/>
      <c r="I12" s="239"/>
      <c r="J12" s="428">
        <v>132577</v>
      </c>
      <c r="K12" s="428">
        <v>151976</v>
      </c>
      <c r="L12" s="428">
        <v>184804</v>
      </c>
      <c r="M12" s="428">
        <v>239075</v>
      </c>
      <c r="N12" s="428">
        <v>239075</v>
      </c>
      <c r="O12" s="241"/>
      <c r="Q12" s="422" t="s">
        <v>2587</v>
      </c>
      <c r="R12" s="422">
        <f>'Part VI-Revenues &amp; Expenses'!$H$62*$J12+'Part VI-Revenues &amp; Expenses'!$I$62*$K12+'Part VI-Revenues &amp; Expenses'!$J$62*$L12+'Part VI-Revenues &amp; Expenses'!$K$62*$M12+'Part VI-Revenues &amp; Expenses'!$L$62*$N12</f>
        <v>14341728</v>
      </c>
      <c r="S12" s="443" t="s">
        <v>1254</v>
      </c>
      <c r="T12" s="239"/>
      <c r="U12" s="239"/>
      <c r="V12" s="425"/>
      <c r="W12" s="425"/>
      <c r="X12" s="425"/>
    </row>
    <row r="13" spans="1:26" s="416" customFormat="1" ht="11.45" customHeight="1">
      <c r="A13" s="241"/>
      <c r="B13" s="241"/>
      <c r="C13" s="241"/>
      <c r="D13" s="239"/>
      <c r="E13" s="239"/>
      <c r="F13" s="241" t="s">
        <v>1811</v>
      </c>
      <c r="G13" s="241"/>
      <c r="H13" s="239"/>
      <c r="I13" s="239"/>
      <c r="J13" s="428">
        <v>121529</v>
      </c>
      <c r="K13" s="428">
        <v>139312</v>
      </c>
      <c r="L13" s="428">
        <v>169403</v>
      </c>
      <c r="M13" s="428">
        <v>219152</v>
      </c>
      <c r="N13" s="428">
        <v>219152</v>
      </c>
      <c r="O13" s="241"/>
      <c r="Q13" s="422" t="s">
        <v>2587</v>
      </c>
      <c r="R13" s="422">
        <f>'Part VI-Revenues &amp; Expenses'!$H$62*$J13+'Part VI-Revenues &amp; Expenses'!$I$62*$K13+'Part VI-Revenues &amp; Expenses'!$J$62*$L13+'Part VI-Revenues &amp; Expenses'!$K$62*$M13+'Part VI-Revenues &amp; Expenses'!$L$62*$N13</f>
        <v>13146576</v>
      </c>
      <c r="S13" s="443" t="s">
        <v>1254</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1729</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1729</v>
      </c>
      <c r="C16" s="241"/>
      <c r="D16" s="239"/>
      <c r="E16" s="239"/>
      <c r="F16" s="241" t="s">
        <v>1730</v>
      </c>
      <c r="G16" s="241" t="s">
        <v>1744</v>
      </c>
      <c r="H16" s="239"/>
      <c r="I16" s="239"/>
      <c r="J16" s="241" t="s">
        <v>2132</v>
      </c>
      <c r="K16" s="241"/>
      <c r="L16" s="241"/>
      <c r="M16" s="241"/>
      <c r="N16" s="241"/>
      <c r="O16" s="241"/>
      <c r="P16" s="239"/>
      <c r="Q16" s="243">
        <v>4500</v>
      </c>
      <c r="R16" s="431" t="s">
        <v>2587</v>
      </c>
      <c r="S16" s="432"/>
    </row>
    <row r="17" spans="1:21" s="416" customFormat="1" ht="11.45" customHeight="1">
      <c r="A17" s="239"/>
      <c r="B17" s="241"/>
      <c r="C17" s="241"/>
      <c r="D17" s="239"/>
      <c r="E17" s="239"/>
      <c r="F17" s="241"/>
      <c r="G17" s="241" t="s">
        <v>2211</v>
      </c>
      <c r="H17" s="239"/>
      <c r="I17" s="239"/>
      <c r="J17" s="241" t="s">
        <v>2132</v>
      </c>
      <c r="K17" s="241"/>
      <c r="L17" s="241"/>
      <c r="M17" s="241"/>
      <c r="N17" s="241"/>
      <c r="O17" s="241"/>
      <c r="P17" s="239"/>
      <c r="Q17" s="243">
        <v>4000</v>
      </c>
      <c r="R17" s="431" t="s">
        <v>2587</v>
      </c>
      <c r="S17" s="432"/>
    </row>
    <row r="18" spans="1:21" s="416" customFormat="1" ht="11.45" customHeight="1">
      <c r="A18" s="241"/>
      <c r="B18" s="241"/>
      <c r="C18" s="241"/>
      <c r="D18" s="239"/>
      <c r="E18" s="239"/>
      <c r="F18" s="241" t="s">
        <v>2784</v>
      </c>
      <c r="G18" s="241"/>
      <c r="H18" s="239"/>
      <c r="I18" s="239"/>
      <c r="J18" s="241" t="s">
        <v>2132</v>
      </c>
      <c r="K18" s="241"/>
      <c r="L18" s="241"/>
      <c r="M18" s="241"/>
      <c r="N18" s="241"/>
      <c r="O18" s="241"/>
      <c r="P18" s="239"/>
      <c r="Q18" s="243">
        <v>3000</v>
      </c>
      <c r="R18" s="431" t="s">
        <v>2587</v>
      </c>
      <c r="S18" s="432"/>
    </row>
    <row r="19" spans="1:21" s="416" customFormat="1" ht="11.45" customHeight="1">
      <c r="A19" s="241"/>
      <c r="B19" s="241"/>
      <c r="C19" s="241"/>
      <c r="D19" s="239"/>
      <c r="E19" s="239"/>
      <c r="F19" s="241" t="s">
        <v>3854</v>
      </c>
      <c r="G19" s="241"/>
      <c r="H19" s="239"/>
      <c r="I19" s="239"/>
      <c r="J19" s="241" t="s">
        <v>2132</v>
      </c>
      <c r="K19" s="241"/>
      <c r="L19" s="241"/>
      <c r="M19" s="241"/>
      <c r="N19" s="241"/>
      <c r="O19" s="241"/>
      <c r="P19" s="239"/>
      <c r="Q19" s="243">
        <v>3000</v>
      </c>
      <c r="R19" s="431" t="s">
        <v>2587</v>
      </c>
      <c r="S19" s="432"/>
      <c r="T19" s="432"/>
      <c r="U19" s="432"/>
    </row>
    <row r="20" spans="1:21" s="416" customFormat="1" ht="11.45" customHeight="1">
      <c r="A20" s="241"/>
      <c r="B20" s="241" t="s">
        <v>1731</v>
      </c>
      <c r="C20" s="241"/>
      <c r="D20" s="239"/>
      <c r="E20" s="239"/>
      <c r="F20" s="241" t="s">
        <v>342</v>
      </c>
      <c r="G20" s="241"/>
      <c r="H20" s="239"/>
      <c r="I20" s="239"/>
      <c r="J20" s="241" t="s">
        <v>2132</v>
      </c>
      <c r="K20" s="241"/>
      <c r="L20" s="241"/>
      <c r="M20" s="241"/>
      <c r="N20" s="241"/>
      <c r="O20" s="241"/>
      <c r="P20" s="239"/>
      <c r="Q20" s="433">
        <v>350</v>
      </c>
      <c r="R20" s="431" t="s">
        <v>2587</v>
      </c>
      <c r="S20" s="432"/>
      <c r="T20" s="432"/>
      <c r="U20" s="432"/>
    </row>
    <row r="21" spans="1:21" s="416" customFormat="1" ht="11.45" customHeight="1">
      <c r="A21" s="241"/>
      <c r="B21" s="241"/>
      <c r="C21" s="241"/>
      <c r="D21" s="239"/>
      <c r="E21" s="239"/>
      <c r="F21" s="241" t="s">
        <v>1732</v>
      </c>
      <c r="G21" s="241"/>
      <c r="H21" s="239"/>
      <c r="I21" s="239"/>
      <c r="J21" s="241" t="s">
        <v>2132</v>
      </c>
      <c r="K21" s="241"/>
      <c r="L21" s="241"/>
      <c r="M21" s="241"/>
      <c r="N21" s="241"/>
      <c r="O21" s="241"/>
      <c r="P21" s="239"/>
      <c r="Q21" s="433">
        <v>250</v>
      </c>
      <c r="R21" s="431" t="s">
        <v>2587</v>
      </c>
      <c r="S21" s="432"/>
      <c r="T21" s="432"/>
      <c r="U21" s="432"/>
    </row>
    <row r="22" spans="1:21" s="416" customFormat="1" ht="11.45" customHeight="1">
      <c r="A22" s="241"/>
      <c r="B22" s="241"/>
      <c r="C22" s="241"/>
      <c r="D22" s="241"/>
      <c r="E22" s="239"/>
      <c r="F22" s="241" t="s">
        <v>1733</v>
      </c>
      <c r="G22" s="241"/>
      <c r="H22" s="239"/>
      <c r="I22" s="239"/>
      <c r="J22" s="241" t="s">
        <v>2132</v>
      </c>
      <c r="K22" s="241"/>
      <c r="L22" s="241"/>
      <c r="M22" s="241"/>
      <c r="N22" s="241"/>
      <c r="O22" s="241"/>
      <c r="P22" s="239"/>
      <c r="Q22" s="433">
        <v>420</v>
      </c>
      <c r="R22" s="431" t="s">
        <v>2587</v>
      </c>
      <c r="S22" s="432"/>
      <c r="T22" s="432"/>
      <c r="U22" s="432"/>
    </row>
    <row r="23" spans="1:21" s="416" customFormat="1" ht="11.45" customHeight="1">
      <c r="A23" s="241"/>
      <c r="B23" s="241"/>
      <c r="C23" s="241"/>
      <c r="D23" s="241"/>
      <c r="E23" s="239"/>
      <c r="F23" s="241" t="s">
        <v>1676</v>
      </c>
      <c r="G23" s="241"/>
      <c r="H23" s="239"/>
      <c r="I23" s="239"/>
      <c r="J23" s="241" t="s">
        <v>2132</v>
      </c>
      <c r="K23" s="241"/>
      <c r="L23" s="241"/>
      <c r="M23" s="241"/>
      <c r="N23" s="241"/>
      <c r="O23" s="241"/>
      <c r="P23" s="239"/>
      <c r="Q23" s="433">
        <v>420</v>
      </c>
      <c r="R23" s="431" t="s">
        <v>2587</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1734</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1735</v>
      </c>
      <c r="C26" s="241"/>
      <c r="D26" s="241"/>
      <c r="E26" s="239"/>
      <c r="F26" s="244" t="s">
        <v>1736</v>
      </c>
      <c r="G26" s="241"/>
      <c r="H26" s="239"/>
      <c r="I26" s="239"/>
      <c r="J26" s="241" t="s">
        <v>1737</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1736</v>
      </c>
      <c r="G27" s="241"/>
      <c r="H27" s="239"/>
      <c r="I27" s="239"/>
      <c r="J27" s="241" t="s">
        <v>1738</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1739</v>
      </c>
      <c r="G28" s="241"/>
      <c r="H28" s="239"/>
      <c r="I28" s="239"/>
      <c r="J28" s="241" t="s">
        <v>1737</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1739</v>
      </c>
      <c r="G29" s="241"/>
      <c r="H29" s="239"/>
      <c r="I29" s="239"/>
      <c r="J29" s="241" t="s">
        <v>1738</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1157</v>
      </c>
      <c r="G30" s="241"/>
      <c r="H30" s="239"/>
      <c r="I30" s="239"/>
      <c r="J30" s="241" t="s">
        <v>1737</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1157</v>
      </c>
      <c r="G31" s="241"/>
      <c r="H31" s="239"/>
      <c r="I31" s="239"/>
      <c r="J31" s="241" t="s">
        <v>1738</v>
      </c>
      <c r="K31" s="241"/>
      <c r="L31" s="241"/>
      <c r="M31" s="241"/>
      <c r="N31" s="241"/>
      <c r="O31" s="241"/>
      <c r="P31" s="239"/>
      <c r="Q31" s="1229">
        <v>6000</v>
      </c>
      <c r="R31" s="1230"/>
      <c r="S31" s="432"/>
      <c r="T31" s="432"/>
      <c r="U31" s="432"/>
    </row>
    <row r="32" spans="1:21" s="416" customFormat="1" ht="11.45" customHeight="1">
      <c r="A32" s="241"/>
      <c r="B32" s="241" t="s">
        <v>1158</v>
      </c>
      <c r="C32" s="241"/>
      <c r="D32" s="239"/>
      <c r="E32" s="239"/>
      <c r="F32" s="241" t="s">
        <v>342</v>
      </c>
      <c r="G32" s="241"/>
      <c r="H32" s="239"/>
      <c r="I32" s="239"/>
      <c r="J32" s="241" t="s">
        <v>733</v>
      </c>
      <c r="K32" s="241"/>
      <c r="L32" s="241"/>
      <c r="M32" s="241"/>
      <c r="N32" s="241"/>
      <c r="O32" s="241"/>
      <c r="P32" s="239"/>
      <c r="Q32" s="422">
        <v>25000</v>
      </c>
      <c r="R32" s="431" t="s">
        <v>734</v>
      </c>
      <c r="S32" s="432"/>
      <c r="T32" s="432"/>
      <c r="U32" s="432"/>
    </row>
    <row r="33" spans="1:21" s="416" customFormat="1" ht="11.45" customHeight="1">
      <c r="A33" s="241"/>
      <c r="B33" s="241"/>
      <c r="C33" s="241"/>
      <c r="D33" s="239"/>
      <c r="E33" s="239"/>
      <c r="F33" s="241"/>
      <c r="G33" s="241"/>
      <c r="H33" s="239"/>
      <c r="I33" s="239"/>
      <c r="J33" s="241" t="s">
        <v>735</v>
      </c>
      <c r="K33" s="241"/>
      <c r="L33" s="241"/>
      <c r="M33" s="241"/>
      <c r="N33" s="241"/>
      <c r="O33" s="241"/>
      <c r="P33" s="239"/>
      <c r="Q33" s="422">
        <v>30000</v>
      </c>
      <c r="R33" s="431" t="s">
        <v>734</v>
      </c>
      <c r="S33" s="432"/>
      <c r="T33" s="432"/>
      <c r="U33" s="432"/>
    </row>
    <row r="34" spans="1:21" s="416" customFormat="1" ht="11.45" customHeight="1">
      <c r="A34" s="241"/>
      <c r="B34" s="241" t="s">
        <v>2841</v>
      </c>
      <c r="C34" s="241"/>
      <c r="D34" s="239"/>
      <c r="E34" s="239"/>
      <c r="F34" s="241" t="s">
        <v>1732</v>
      </c>
      <c r="G34" s="241"/>
      <c r="H34" s="239"/>
      <c r="I34" s="239"/>
      <c r="J34" s="241" t="s">
        <v>1469</v>
      </c>
      <c r="K34" s="241"/>
      <c r="L34" s="241"/>
      <c r="M34" s="241"/>
      <c r="N34" s="241"/>
      <c r="O34" s="241"/>
      <c r="P34" s="239"/>
      <c r="Q34" s="434" t="s">
        <v>1470</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1470</v>
      </c>
      <c r="R35" s="422">
        <v>500000</v>
      </c>
      <c r="S35" s="432"/>
      <c r="T35" s="432"/>
      <c r="U35" s="432"/>
    </row>
    <row r="36" spans="1:21" s="416" customFormat="1" ht="11.45" customHeight="1">
      <c r="A36" s="241"/>
      <c r="B36" s="241"/>
      <c r="C36" s="241"/>
      <c r="D36" s="239"/>
      <c r="E36" s="239"/>
      <c r="F36" s="241" t="s">
        <v>342</v>
      </c>
      <c r="G36" s="241"/>
      <c r="H36" s="239"/>
      <c r="I36" s="239"/>
      <c r="J36" s="241" t="s">
        <v>1469</v>
      </c>
      <c r="K36" s="241"/>
      <c r="L36" s="241"/>
      <c r="M36" s="241"/>
      <c r="N36" s="241"/>
      <c r="O36" s="241"/>
      <c r="P36" s="239"/>
      <c r="Q36" s="434" t="s">
        <v>1470</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1470</v>
      </c>
      <c r="R37" s="422">
        <v>500000</v>
      </c>
      <c r="S37" s="432"/>
      <c r="T37" s="432"/>
      <c r="U37" s="432"/>
    </row>
    <row r="38" spans="1:21" s="416" customFormat="1" ht="11.45" customHeight="1">
      <c r="A38" s="241"/>
      <c r="B38" s="241" t="s">
        <v>2922</v>
      </c>
      <c r="C38" s="241"/>
      <c r="D38" s="239"/>
      <c r="E38" s="239"/>
      <c r="F38" s="241" t="s">
        <v>2587</v>
      </c>
      <c r="G38" s="241"/>
      <c r="H38" s="239"/>
      <c r="I38" s="239"/>
      <c r="J38" s="241" t="s">
        <v>431</v>
      </c>
      <c r="K38" s="241"/>
      <c r="L38" s="241"/>
      <c r="M38" s="241"/>
      <c r="N38" s="241"/>
      <c r="O38" s="241"/>
      <c r="P38" s="239"/>
      <c r="Q38" s="431" t="s">
        <v>2587</v>
      </c>
      <c r="R38" s="434">
        <v>0.06</v>
      </c>
      <c r="S38" s="432"/>
      <c r="T38" s="432"/>
      <c r="U38" s="432"/>
    </row>
    <row r="39" spans="1:21" s="416" customFormat="1" ht="11.45" customHeight="1">
      <c r="A39" s="241"/>
      <c r="B39" s="241" t="s">
        <v>2923</v>
      </c>
      <c r="C39" s="241"/>
      <c r="D39" s="239"/>
      <c r="E39" s="239"/>
      <c r="F39" s="241" t="s">
        <v>2587</v>
      </c>
      <c r="G39" s="241"/>
      <c r="H39" s="239"/>
      <c r="I39" s="239"/>
      <c r="J39" s="241" t="s">
        <v>431</v>
      </c>
      <c r="K39" s="241"/>
      <c r="L39" s="241"/>
      <c r="M39" s="241"/>
      <c r="N39" s="241"/>
      <c r="O39" s="241"/>
      <c r="P39" s="239"/>
      <c r="Q39" s="431" t="s">
        <v>2587</v>
      </c>
      <c r="R39" s="434">
        <v>0.02</v>
      </c>
      <c r="S39" s="432"/>
      <c r="T39" s="432"/>
      <c r="U39" s="432"/>
    </row>
    <row r="40" spans="1:21" s="416" customFormat="1" ht="11.45" customHeight="1">
      <c r="A40" s="241"/>
      <c r="B40" s="241" t="s">
        <v>3855</v>
      </c>
      <c r="C40" s="241"/>
      <c r="D40" s="239"/>
      <c r="E40" s="239"/>
      <c r="F40" s="241" t="s">
        <v>2587</v>
      </c>
      <c r="G40" s="241"/>
      <c r="H40" s="239"/>
      <c r="I40" s="239"/>
      <c r="J40" s="241" t="s">
        <v>431</v>
      </c>
      <c r="K40" s="241"/>
      <c r="L40" s="241"/>
      <c r="M40" s="241"/>
      <c r="N40" s="241"/>
      <c r="O40" s="241"/>
      <c r="P40" s="239"/>
      <c r="Q40" s="431" t="s">
        <v>2587</v>
      </c>
      <c r="R40" s="434">
        <v>0.06</v>
      </c>
      <c r="S40" s="432"/>
      <c r="T40" s="432"/>
      <c r="U40" s="432"/>
    </row>
    <row r="41" spans="1:21" s="416" customFormat="1" ht="11.45" customHeight="1">
      <c r="A41" s="241"/>
      <c r="B41" s="244" t="s">
        <v>1443</v>
      </c>
      <c r="C41" s="241"/>
      <c r="D41" s="239"/>
      <c r="E41" s="239"/>
      <c r="F41" s="241" t="s">
        <v>1444</v>
      </c>
      <c r="G41" s="241"/>
      <c r="H41" s="239"/>
      <c r="I41" s="239"/>
      <c r="J41" s="241" t="s">
        <v>1445</v>
      </c>
      <c r="K41" s="241"/>
      <c r="L41" s="241"/>
      <c r="M41" s="241"/>
      <c r="N41" s="241"/>
      <c r="O41" s="241"/>
      <c r="P41" s="239"/>
      <c r="Q41" s="1228">
        <v>0.08</v>
      </c>
      <c r="R41" s="1228"/>
      <c r="S41" s="432"/>
      <c r="T41" s="432"/>
      <c r="U41" s="432"/>
    </row>
    <row r="42" spans="1:21" s="416" customFormat="1" ht="11.45" customHeight="1">
      <c r="A42" s="241"/>
      <c r="B42" s="244" t="s">
        <v>1446</v>
      </c>
      <c r="C42" s="241"/>
      <c r="D42" s="239"/>
      <c r="E42" s="239"/>
      <c r="F42" s="241" t="s">
        <v>1444</v>
      </c>
      <c r="G42" s="241"/>
      <c r="H42" s="239"/>
      <c r="I42" s="239"/>
      <c r="J42" s="241" t="s">
        <v>1445</v>
      </c>
      <c r="K42" s="241"/>
      <c r="L42" s="241"/>
      <c r="M42" s="241"/>
      <c r="N42" s="241"/>
      <c r="O42" s="241"/>
      <c r="P42" s="239"/>
      <c r="Q42" s="1228">
        <v>0.08</v>
      </c>
      <c r="R42" s="1228"/>
      <c r="S42" s="432"/>
      <c r="T42" s="432"/>
      <c r="U42" s="432"/>
    </row>
    <row r="43" spans="1:21" s="416" customFormat="1" ht="11.45" customHeight="1">
      <c r="A43" s="241"/>
      <c r="B43" s="244" t="s">
        <v>653</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1447</v>
      </c>
      <c r="C44" s="241"/>
      <c r="D44" s="239"/>
      <c r="E44" s="239"/>
      <c r="F44" s="241" t="s">
        <v>2224</v>
      </c>
      <c r="G44" s="241"/>
      <c r="H44" s="239"/>
      <c r="I44" s="239"/>
      <c r="J44" s="241" t="s">
        <v>2132</v>
      </c>
      <c r="K44" s="241"/>
      <c r="L44" s="241"/>
      <c r="M44" s="241"/>
      <c r="N44" s="241"/>
      <c r="O44" s="241"/>
      <c r="P44" s="239"/>
      <c r="Q44" s="431">
        <v>800</v>
      </c>
      <c r="R44" s="431" t="s">
        <v>2587</v>
      </c>
      <c r="S44" s="432"/>
      <c r="T44" s="432"/>
      <c r="U44" s="432"/>
    </row>
    <row r="45" spans="1:21" s="416" customFormat="1" ht="11.45" customHeight="1">
      <c r="A45" s="241"/>
      <c r="B45" s="241"/>
      <c r="C45" s="241"/>
      <c r="D45" s="239"/>
      <c r="E45" s="239"/>
      <c r="F45" s="241" t="s">
        <v>3859</v>
      </c>
      <c r="G45" s="241"/>
      <c r="H45" s="239"/>
      <c r="I45" s="239"/>
      <c r="J45" s="241" t="s">
        <v>2132</v>
      </c>
      <c r="K45" s="241"/>
      <c r="L45" s="241"/>
      <c r="M45" s="241"/>
      <c r="N45" s="241"/>
      <c r="O45" s="241"/>
      <c r="P45" s="239"/>
      <c r="Q45" s="431">
        <v>400</v>
      </c>
      <c r="R45" s="431" t="s">
        <v>2587</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2587</v>
      </c>
      <c r="S46" s="432"/>
      <c r="T46" s="432"/>
      <c r="U46" s="432"/>
    </row>
    <row r="47" spans="1:21" s="416" customFormat="1" ht="11.45" customHeight="1">
      <c r="A47" s="241"/>
      <c r="B47" s="241" t="s">
        <v>2734</v>
      </c>
      <c r="C47" s="241"/>
      <c r="D47" s="239"/>
      <c r="E47" s="239"/>
      <c r="F47" s="241"/>
      <c r="G47" s="241"/>
      <c r="H47" s="241"/>
      <c r="I47" s="239"/>
      <c r="J47" s="241" t="s">
        <v>2584</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2566</v>
      </c>
      <c r="G48" s="241"/>
      <c r="H48" s="241" t="s">
        <v>3214</v>
      </c>
      <c r="I48" s="239"/>
      <c r="J48" s="241" t="s">
        <v>1476</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1472</v>
      </c>
      <c r="I49" s="241" t="s">
        <v>1473</v>
      </c>
      <c r="J49" s="241" t="s">
        <v>1475</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1474</v>
      </c>
      <c r="J50" s="241" t="s">
        <v>1477</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1471</v>
      </c>
      <c r="I51" s="239"/>
      <c r="J51" s="241" t="s">
        <v>1477</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1478</v>
      </c>
      <c r="J52" s="241" t="s">
        <v>1479</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2614</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2615</v>
      </c>
      <c r="C57" s="241"/>
      <c r="D57" s="241"/>
      <c r="E57" s="241"/>
      <c r="F57" s="241"/>
      <c r="G57" s="241"/>
      <c r="H57" s="239"/>
      <c r="I57" s="239"/>
      <c r="J57" s="241" t="s">
        <v>2616</v>
      </c>
      <c r="K57" s="241"/>
      <c r="L57" s="241"/>
      <c r="M57" s="241"/>
      <c r="N57" s="241"/>
      <c r="O57" s="241"/>
      <c r="P57" s="239"/>
      <c r="Q57" s="435">
        <v>6</v>
      </c>
      <c r="R57" s="431" t="s">
        <v>2587</v>
      </c>
      <c r="S57" s="432"/>
      <c r="T57" s="432"/>
      <c r="U57" s="432"/>
    </row>
    <row r="58" spans="1:21" s="416" customFormat="1" ht="11.45" customHeight="1">
      <c r="A58" s="241"/>
      <c r="B58" s="241"/>
      <c r="C58" s="241"/>
      <c r="D58" s="241"/>
      <c r="E58" s="241"/>
      <c r="F58" s="241"/>
      <c r="G58" s="241"/>
      <c r="H58" s="239"/>
      <c r="I58" s="239"/>
      <c r="J58" s="241" t="s">
        <v>2617</v>
      </c>
      <c r="K58" s="241"/>
      <c r="L58" s="241"/>
      <c r="M58" s="241"/>
      <c r="N58" s="241"/>
      <c r="O58" s="241"/>
      <c r="P58" s="239"/>
      <c r="Q58" s="435">
        <v>6</v>
      </c>
      <c r="R58" s="431" t="s">
        <v>2587</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2587</v>
      </c>
      <c r="S59" s="432"/>
      <c r="T59" s="432"/>
      <c r="U59" s="432"/>
    </row>
    <row r="60" spans="1:21" s="416" customFormat="1" ht="11.45" customHeight="1">
      <c r="A60" s="241"/>
      <c r="B60" s="244" t="s">
        <v>2618</v>
      </c>
      <c r="C60" s="241"/>
      <c r="D60" s="239"/>
      <c r="E60" s="241"/>
      <c r="F60" s="241"/>
      <c r="G60" s="241"/>
      <c r="H60" s="239"/>
      <c r="I60" s="239"/>
      <c r="J60" s="241" t="s">
        <v>2619</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2620</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2621</v>
      </c>
      <c r="C65" s="241"/>
      <c r="D65" s="241"/>
      <c r="E65" s="241"/>
      <c r="F65" s="241"/>
      <c r="G65" s="241"/>
      <c r="H65" s="241"/>
      <c r="J65" s="241" t="s">
        <v>2622</v>
      </c>
      <c r="K65" s="241"/>
      <c r="L65" s="241"/>
      <c r="M65" s="241"/>
      <c r="N65" s="241"/>
      <c r="O65" s="241"/>
      <c r="Q65" s="1228">
        <v>0.02</v>
      </c>
      <c r="R65" s="1228"/>
    </row>
    <row r="66" spans="1:26" s="432" customFormat="1" ht="11.45" customHeight="1">
      <c r="A66" s="241"/>
      <c r="B66" s="241" t="s">
        <v>2623</v>
      </c>
      <c r="C66" s="241"/>
      <c r="D66" s="241"/>
      <c r="E66" s="241"/>
      <c r="F66" s="241"/>
      <c r="G66" s="241"/>
      <c r="H66" s="241"/>
      <c r="J66" s="241" t="s">
        <v>2622</v>
      </c>
      <c r="K66" s="241"/>
      <c r="L66" s="241"/>
      <c r="M66" s="241"/>
      <c r="N66" s="241"/>
      <c r="O66" s="241"/>
      <c r="Q66" s="1228">
        <v>7.0000000000000007E-2</v>
      </c>
      <c r="R66" s="1228"/>
    </row>
    <row r="67" spans="1:26" s="432" customFormat="1" ht="11.45" customHeight="1">
      <c r="A67" s="241"/>
      <c r="B67" s="241" t="s">
        <v>2624</v>
      </c>
      <c r="C67" s="241"/>
      <c r="D67" s="241"/>
      <c r="E67" s="241"/>
      <c r="F67" s="241"/>
      <c r="G67" s="241"/>
      <c r="H67" s="241"/>
      <c r="J67" s="241" t="s">
        <v>2622</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2622</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2622</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2622</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612</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2619</v>
      </c>
      <c r="K75" s="241"/>
      <c r="L75" s="241"/>
      <c r="M75" s="241"/>
      <c r="N75" s="241"/>
      <c r="O75" s="241"/>
      <c r="P75" s="239"/>
      <c r="Q75" s="1229">
        <v>1000000</v>
      </c>
      <c r="R75" s="1230"/>
      <c r="S75" s="239"/>
      <c r="T75" s="239"/>
      <c r="U75" s="239"/>
      <c r="V75" s="423"/>
      <c r="W75" s="423"/>
      <c r="X75" s="242"/>
    </row>
    <row r="76" spans="1:26" ht="11.25" customHeight="1">
      <c r="F76" s="241" t="s">
        <v>3850</v>
      </c>
      <c r="J76" s="241" t="s">
        <v>2619</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1291</v>
      </c>
      <c r="K82" s="564"/>
      <c r="L82" s="397"/>
    </row>
    <row r="83" spans="3:12" ht="13.5">
      <c r="C83" s="560" t="s">
        <v>1835</v>
      </c>
      <c r="D83" s="563" t="s">
        <v>1545</v>
      </c>
      <c r="J83" s="565" t="s">
        <v>1294</v>
      </c>
      <c r="K83" s="565" t="s">
        <v>1292</v>
      </c>
      <c r="L83" s="566" t="s">
        <v>1293</v>
      </c>
    </row>
    <row r="84" spans="3:12" ht="10.5" customHeight="1">
      <c r="C84" s="561" t="s">
        <v>2638</v>
      </c>
      <c r="D84" s="734">
        <v>49400</v>
      </c>
      <c r="J84" s="621">
        <v>0</v>
      </c>
      <c r="K84" s="621">
        <v>0.7</v>
      </c>
      <c r="L84" s="621">
        <v>1</v>
      </c>
    </row>
    <row r="85" spans="3:12" ht="10.5" customHeight="1">
      <c r="C85" s="561" t="s">
        <v>1546</v>
      </c>
      <c r="D85" s="734">
        <v>59400</v>
      </c>
      <c r="J85" s="621">
        <v>1</v>
      </c>
      <c r="K85" s="621">
        <v>0.75</v>
      </c>
      <c r="L85" s="621">
        <v>1.5</v>
      </c>
    </row>
    <row r="86" spans="3:12" ht="10.5" customHeight="1">
      <c r="C86" s="561" t="s">
        <v>1245</v>
      </c>
      <c r="D86" s="734">
        <v>69300</v>
      </c>
      <c r="J86" s="621">
        <v>2</v>
      </c>
      <c r="K86" s="621">
        <v>0.9</v>
      </c>
      <c r="L86" s="621">
        <v>3</v>
      </c>
    </row>
    <row r="87" spans="3:12" ht="10.5" customHeight="1">
      <c r="C87" s="561" t="s">
        <v>1246</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1547</v>
      </c>
      <c r="D89" s="734">
        <v>64200</v>
      </c>
      <c r="J89" s="621">
        <v>5</v>
      </c>
      <c r="K89" s="621">
        <v>1.28</v>
      </c>
      <c r="L89" s="621">
        <v>7.5</v>
      </c>
    </row>
    <row r="90" spans="3:12" ht="10.5" customHeight="1">
      <c r="C90" s="561" t="s">
        <v>2123</v>
      </c>
      <c r="D90" s="734">
        <v>57800</v>
      </c>
    </row>
    <row r="91" spans="3:12" ht="10.5" customHeight="1">
      <c r="C91" s="561" t="s">
        <v>199</v>
      </c>
      <c r="D91" s="734">
        <v>52300</v>
      </c>
    </row>
    <row r="92" spans="3:12" ht="10.5" customHeight="1">
      <c r="C92" s="561" t="s">
        <v>405</v>
      </c>
      <c r="D92" s="734">
        <v>50800</v>
      </c>
    </row>
    <row r="93" spans="3:12" ht="10.5" customHeight="1">
      <c r="C93" s="562" t="s">
        <v>1760</v>
      </c>
      <c r="D93" s="734">
        <v>62000</v>
      </c>
    </row>
    <row r="94" spans="3:12" ht="10.5" customHeight="1">
      <c r="C94" s="562" t="s">
        <v>1247</v>
      </c>
      <c r="D94" s="734">
        <v>47400</v>
      </c>
    </row>
    <row r="95" spans="3:12" ht="10.5" customHeight="1">
      <c r="C95" s="562" t="s">
        <v>1548</v>
      </c>
      <c r="D95" s="734">
        <v>47700</v>
      </c>
    </row>
    <row r="96" spans="3:12" ht="10.5" customHeight="1">
      <c r="C96" s="561" t="s">
        <v>1248</v>
      </c>
      <c r="D96" s="734">
        <v>43200</v>
      </c>
    </row>
    <row r="97" spans="3:4" ht="10.5" customHeight="1">
      <c r="C97" s="562" t="s">
        <v>2046</v>
      </c>
      <c r="D97" s="734">
        <v>49100</v>
      </c>
    </row>
    <row r="98" spans="3:4" ht="10.5" customHeight="1">
      <c r="C98" s="561" t="s">
        <v>1888</v>
      </c>
      <c r="D98" s="734">
        <v>54700</v>
      </c>
    </row>
    <row r="99" spans="3:4" ht="10.5" customHeight="1">
      <c r="C99" s="562" t="s">
        <v>1250</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1894</v>
      </c>
      <c r="D103" s="734">
        <v>60800</v>
      </c>
    </row>
    <row r="104" spans="3:4" ht="10.5" customHeight="1">
      <c r="C104" s="561" t="s">
        <v>2544</v>
      </c>
      <c r="D104" s="734">
        <v>50900</v>
      </c>
    </row>
    <row r="105" spans="3:4" ht="10.5" customHeight="1">
      <c r="C105" s="561" t="s">
        <v>2557</v>
      </c>
      <c r="D105" s="734">
        <v>71400</v>
      </c>
    </row>
    <row r="106" spans="3:4" ht="10.5" customHeight="1">
      <c r="C106" s="562" t="s">
        <v>1751</v>
      </c>
      <c r="D106" s="734">
        <v>45100</v>
      </c>
    </row>
    <row r="107" spans="3:4" ht="10.5" customHeight="1">
      <c r="C107" s="562" t="s">
        <v>2634</v>
      </c>
      <c r="D107" s="734">
        <v>37000</v>
      </c>
    </row>
    <row r="108" spans="3:4" ht="10.5" customHeight="1">
      <c r="C108" s="562" t="s">
        <v>2636</v>
      </c>
      <c r="D108" s="734">
        <v>45700</v>
      </c>
    </row>
    <row r="109" spans="3:4" ht="10.5" customHeight="1">
      <c r="C109" s="561" t="s">
        <v>194</v>
      </c>
      <c r="D109" s="734">
        <v>50300</v>
      </c>
    </row>
    <row r="110" spans="3:4" ht="10.5" customHeight="1">
      <c r="C110" s="562" t="s">
        <v>1880</v>
      </c>
      <c r="D110" s="734">
        <v>49000</v>
      </c>
    </row>
    <row r="111" spans="3:4" ht="10.5" customHeight="1">
      <c r="C111" s="562" t="s">
        <v>1549</v>
      </c>
      <c r="D111" s="734">
        <v>37000</v>
      </c>
    </row>
    <row r="112" spans="3:4" ht="10.5" customHeight="1">
      <c r="C112" s="562" t="s">
        <v>1886</v>
      </c>
      <c r="D112" s="734">
        <v>44300</v>
      </c>
    </row>
    <row r="113" spans="3:4" ht="10.5" customHeight="1">
      <c r="C113" s="561" t="s">
        <v>1890</v>
      </c>
      <c r="D113" s="734">
        <v>53000</v>
      </c>
    </row>
    <row r="114" spans="3:4" ht="10.5" customHeight="1">
      <c r="C114" s="561" t="s">
        <v>1896</v>
      </c>
      <c r="D114" s="734">
        <v>56700</v>
      </c>
    </row>
    <row r="115" spans="3:4" ht="10.5" customHeight="1">
      <c r="C115" s="562" t="s">
        <v>1901</v>
      </c>
      <c r="D115" s="734">
        <v>43800</v>
      </c>
    </row>
    <row r="116" spans="3:4" ht="10.5" customHeight="1">
      <c r="C116" s="561" t="s">
        <v>1127</v>
      </c>
      <c r="D116" s="734">
        <v>61700</v>
      </c>
    </row>
    <row r="117" spans="3:4" ht="10.5" customHeight="1">
      <c r="C117" s="562" t="s">
        <v>1129</v>
      </c>
      <c r="D117" s="734">
        <v>41300</v>
      </c>
    </row>
    <row r="118" spans="3:4" ht="10.5" customHeight="1">
      <c r="C118" s="562" t="s">
        <v>196</v>
      </c>
      <c r="D118" s="734">
        <v>48900</v>
      </c>
    </row>
    <row r="119" spans="3:4" ht="10.5" customHeight="1">
      <c r="C119" s="562" t="s">
        <v>201</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233</v>
      </c>
      <c r="D125" s="734">
        <v>40900</v>
      </c>
    </row>
    <row r="126" spans="3:4" ht="10.5" customHeight="1">
      <c r="C126" s="562" t="s">
        <v>237</v>
      </c>
      <c r="D126" s="734">
        <v>47400</v>
      </c>
    </row>
    <row r="127" spans="3:4" ht="10.5" customHeight="1">
      <c r="C127" s="562" t="s">
        <v>1448</v>
      </c>
      <c r="D127" s="734">
        <v>46800</v>
      </c>
    </row>
    <row r="128" spans="3:4" ht="10.5" customHeight="1">
      <c r="C128" s="562" t="s">
        <v>1450</v>
      </c>
      <c r="D128" s="734">
        <v>40300</v>
      </c>
    </row>
    <row r="129" spans="3:4" ht="10.5" customHeight="1">
      <c r="C129" s="562" t="s">
        <v>1366</v>
      </c>
      <c r="D129" s="734">
        <v>41800</v>
      </c>
    </row>
    <row r="130" spans="3:4" ht="10.5" customHeight="1">
      <c r="C130" s="562" t="s">
        <v>1370</v>
      </c>
      <c r="D130" s="734">
        <v>40100</v>
      </c>
    </row>
    <row r="131" spans="3:4" ht="10.5" customHeight="1">
      <c r="C131" s="562" t="s">
        <v>3156</v>
      </c>
      <c r="D131" s="734">
        <v>39300</v>
      </c>
    </row>
    <row r="132" spans="3:4" ht="10.5" customHeight="1">
      <c r="C132" s="562" t="s">
        <v>921</v>
      </c>
      <c r="D132" s="734">
        <v>44800</v>
      </c>
    </row>
    <row r="133" spans="3:4" ht="10.5" customHeight="1">
      <c r="C133" s="562" t="s">
        <v>923</v>
      </c>
      <c r="D133" s="734">
        <v>46300</v>
      </c>
    </row>
    <row r="134" spans="3:4" ht="10.5" customHeight="1">
      <c r="C134" s="561" t="s">
        <v>928</v>
      </c>
      <c r="D134" s="734">
        <v>46200</v>
      </c>
    </row>
    <row r="135" spans="3:4" ht="10.5" customHeight="1">
      <c r="C135" s="562" t="s">
        <v>930</v>
      </c>
      <c r="D135" s="734">
        <v>44500</v>
      </c>
    </row>
    <row r="136" spans="3:4" ht="10.5" customHeight="1">
      <c r="C136" s="561" t="s">
        <v>932</v>
      </c>
      <c r="D136" s="734">
        <v>43400</v>
      </c>
    </row>
    <row r="137" spans="3:4" ht="10.5" customHeight="1">
      <c r="C137" s="562" t="s">
        <v>935</v>
      </c>
      <c r="D137" s="734">
        <v>52400</v>
      </c>
    </row>
    <row r="138" spans="3:4" ht="10.5" customHeight="1">
      <c r="C138" s="562" t="s">
        <v>937</v>
      </c>
      <c r="D138" s="734">
        <v>45700</v>
      </c>
    </row>
    <row r="139" spans="3:4" ht="10.5" customHeight="1">
      <c r="C139" s="562" t="s">
        <v>939</v>
      </c>
      <c r="D139" s="734">
        <v>48000</v>
      </c>
    </row>
    <row r="140" spans="3:4" ht="10.5" customHeight="1">
      <c r="C140" s="562" t="s">
        <v>132</v>
      </c>
      <c r="D140" s="734">
        <v>50900</v>
      </c>
    </row>
    <row r="141" spans="3:4" ht="10.5" customHeight="1">
      <c r="C141" s="562" t="s">
        <v>383</v>
      </c>
      <c r="D141" s="734">
        <v>33800</v>
      </c>
    </row>
    <row r="142" spans="3:4" ht="10.5" customHeight="1">
      <c r="C142" s="562" t="s">
        <v>387</v>
      </c>
      <c r="D142" s="734">
        <v>50600</v>
      </c>
    </row>
    <row r="143" spans="3:4" ht="10.5" customHeight="1">
      <c r="C143" s="562" t="s">
        <v>392</v>
      </c>
      <c r="D143" s="734">
        <v>56600</v>
      </c>
    </row>
    <row r="144" spans="3:4" ht="10.5" customHeight="1">
      <c r="C144" s="562" t="s">
        <v>394</v>
      </c>
      <c r="D144" s="734">
        <v>59300</v>
      </c>
    </row>
    <row r="145" spans="3:4" ht="10.5" customHeight="1">
      <c r="C145" s="562" t="s">
        <v>397</v>
      </c>
      <c r="D145" s="734">
        <v>39000</v>
      </c>
    </row>
    <row r="146" spans="3:4" ht="10.5" customHeight="1">
      <c r="C146" s="562" t="s">
        <v>399</v>
      </c>
      <c r="D146" s="734">
        <v>39000</v>
      </c>
    </row>
    <row r="147" spans="3:4" ht="10.5" customHeight="1">
      <c r="C147" s="562" t="s">
        <v>401</v>
      </c>
      <c r="D147" s="734">
        <v>37000</v>
      </c>
    </row>
    <row r="148" spans="3:4" ht="10.5" customHeight="1">
      <c r="C148" s="562" t="s">
        <v>403</v>
      </c>
      <c r="D148" s="734">
        <v>33300</v>
      </c>
    </row>
    <row r="149" spans="3:4" ht="10.5" customHeight="1">
      <c r="C149" s="562" t="s">
        <v>2040</v>
      </c>
      <c r="D149" s="734">
        <v>51300</v>
      </c>
    </row>
    <row r="150" spans="3:4" ht="10.5" customHeight="1">
      <c r="C150" s="562" t="s">
        <v>2044</v>
      </c>
      <c r="D150" s="734">
        <v>43700</v>
      </c>
    </row>
    <row r="151" spans="3:4" ht="10.5" customHeight="1">
      <c r="C151" s="561" t="s">
        <v>216</v>
      </c>
      <c r="D151" s="734">
        <v>53100</v>
      </c>
    </row>
    <row r="152" spans="3:4" ht="10.5" customHeight="1">
      <c r="C152" s="562" t="s">
        <v>217</v>
      </c>
      <c r="D152" s="734">
        <v>39200</v>
      </c>
    </row>
    <row r="153" spans="3:4" ht="10.5" customHeight="1">
      <c r="C153" s="562" t="s">
        <v>2384</v>
      </c>
      <c r="D153" s="734">
        <v>45300</v>
      </c>
    </row>
    <row r="154" spans="3:4" ht="10.5" customHeight="1">
      <c r="C154" s="562" t="s">
        <v>2386</v>
      </c>
      <c r="D154" s="734">
        <v>48300</v>
      </c>
    </row>
    <row r="155" spans="3:4" ht="10.5" customHeight="1">
      <c r="C155" s="562" t="s">
        <v>224</v>
      </c>
      <c r="D155" s="734">
        <v>48100</v>
      </c>
    </row>
    <row r="156" spans="3:4" ht="10.5" customHeight="1">
      <c r="C156" s="561" t="s">
        <v>3624</v>
      </c>
      <c r="D156" s="734">
        <v>57500</v>
      </c>
    </row>
    <row r="157" spans="3:4" ht="10.5" customHeight="1">
      <c r="C157" s="562" t="s">
        <v>1606</v>
      </c>
      <c r="D157" s="734">
        <v>59600</v>
      </c>
    </row>
    <row r="158" spans="3:4" ht="10.5" customHeight="1">
      <c r="C158" s="562" t="s">
        <v>1609</v>
      </c>
      <c r="D158" s="734">
        <v>49400</v>
      </c>
    </row>
    <row r="159" spans="3:4" ht="10.5" customHeight="1">
      <c r="C159" s="562" t="s">
        <v>1612</v>
      </c>
      <c r="D159" s="734">
        <v>48600</v>
      </c>
    </row>
    <row r="160" spans="3:4" ht="10.5" customHeight="1">
      <c r="C160" s="561" t="s">
        <v>1614</v>
      </c>
      <c r="D160" s="734">
        <v>47200</v>
      </c>
    </row>
    <row r="161" spans="3:4" ht="10.5" customHeight="1">
      <c r="C161" s="561" t="s">
        <v>1616</v>
      </c>
      <c r="D161" s="734">
        <v>52700</v>
      </c>
    </row>
    <row r="162" spans="3:4" ht="10.5" customHeight="1">
      <c r="C162" s="562" t="s">
        <v>1618</v>
      </c>
      <c r="D162" s="734">
        <v>40900</v>
      </c>
    </row>
    <row r="163" spans="3:4" ht="10.5" customHeight="1">
      <c r="C163" s="562" t="s">
        <v>1620</v>
      </c>
      <c r="D163" s="734">
        <v>53300</v>
      </c>
    </row>
    <row r="164" spans="3:4" ht="10.5" customHeight="1">
      <c r="C164" s="562" t="s">
        <v>1622</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1361</v>
      </c>
      <c r="D174" s="734">
        <v>37500</v>
      </c>
    </row>
    <row r="175" spans="3:4" ht="10.5" customHeight="1">
      <c r="C175" s="562" t="s">
        <v>1363</v>
      </c>
      <c r="D175" s="734">
        <v>40800</v>
      </c>
    </row>
    <row r="176" spans="3:4" ht="10.5" customHeight="1">
      <c r="C176" s="561" t="s">
        <v>2502</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1480</v>
      </c>
    </row>
    <row r="2" spans="1:6" ht="16.5">
      <c r="A2" s="1281" t="str">
        <f>'Part I-Project Information'!F22</f>
        <v>Silver Comet Senior Village</v>
      </c>
    </row>
    <row r="3" spans="1:6" ht="16.5">
      <c r="A3" s="1281" t="str">
        <f>CONCATENATE('Part I-Project Information'!F24,", ", 'Part I-Project Information'!J25," County")</f>
        <v>Powder Springs, Cobb County</v>
      </c>
    </row>
    <row r="4" spans="1:6" ht="12" customHeight="1"/>
    <row r="5" spans="1:6" ht="115.5" customHeight="1">
      <c r="A5" s="1282" t="s">
        <v>4041</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- 2012-056 Silver Comet Senior Village, Powder Springs, Cobb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615</v>
      </c>
      <c r="L3" s="450"/>
      <c r="O3" s="887" t="s">
        <v>3868</v>
      </c>
      <c r="P3" s="887"/>
    </row>
    <row r="4" spans="1:16" s="449" customFormat="1" ht="12" customHeight="1" thickBot="1">
      <c r="A4" s="846"/>
      <c r="B4" s="452"/>
      <c r="C4" s="452"/>
      <c r="D4" s="453"/>
      <c r="E4" s="400" t="s">
        <v>616</v>
      </c>
      <c r="H4" s="839"/>
      <c r="I4" s="839"/>
      <c r="J4" s="839"/>
      <c r="O4" s="1284" t="s">
        <v>4073</v>
      </c>
      <c r="P4" s="1285"/>
    </row>
    <row r="5" spans="1:16" s="449" customFormat="1" ht="12" customHeight="1">
      <c r="A5" s="846"/>
      <c r="B5" s="452"/>
      <c r="C5" s="452"/>
      <c r="D5" s="452"/>
      <c r="E5" s="839"/>
      <c r="H5" s="839"/>
      <c r="I5" s="839"/>
      <c r="J5" s="839"/>
      <c r="K5" s="394"/>
      <c r="M5" s="839"/>
    </row>
    <row r="6" spans="1:16" s="449" customFormat="1" ht="13.15" customHeight="1">
      <c r="A6" s="452" t="s">
        <v>874</v>
      </c>
      <c r="C6" s="452" t="s">
        <v>3349</v>
      </c>
      <c r="D6" s="416"/>
      <c r="E6" s="454"/>
      <c r="F6" s="455" t="s">
        <v>2568</v>
      </c>
      <c r="J6" s="906">
        <f>'Part IV-Uses of Funds'!J165</f>
        <v>840000</v>
      </c>
      <c r="K6" s="907"/>
      <c r="O6" s="888" t="s">
        <v>3867</v>
      </c>
      <c r="P6" s="888"/>
    </row>
    <row r="7" spans="1:16" s="2" customFormat="1" ht="13.15" customHeight="1">
      <c r="A7" s="5"/>
      <c r="C7" s="5"/>
      <c r="D7" s="31"/>
      <c r="E7" s="549"/>
      <c r="F7" s="449" t="s">
        <v>1851</v>
      </c>
      <c r="J7" s="908">
        <f>'Part III A-Sources of Funds'!J5</f>
        <v>0</v>
      </c>
      <c r="K7" s="909"/>
      <c r="M7" s="449"/>
      <c r="N7" s="449"/>
      <c r="O7" s="1286" t="s">
        <v>3969</v>
      </c>
      <c r="P7" s="1287"/>
    </row>
    <row r="8" spans="1:16" s="449" customFormat="1" ht="7.15" customHeight="1">
      <c r="A8" s="452"/>
      <c r="C8" s="452"/>
      <c r="D8" s="416"/>
      <c r="E8" s="454"/>
      <c r="F8" s="454"/>
      <c r="I8" s="456"/>
      <c r="N8" s="457"/>
    </row>
    <row r="9" spans="1:16" s="449" customFormat="1" ht="13.15" customHeight="1">
      <c r="A9" s="456" t="s">
        <v>1137</v>
      </c>
      <c r="C9" s="452" t="s">
        <v>2926</v>
      </c>
      <c r="F9" s="1288" t="s">
        <v>3977</v>
      </c>
      <c r="G9" s="1289"/>
      <c r="H9" s="1290"/>
      <c r="I9" s="1291" t="s">
        <v>1138</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1139</v>
      </c>
      <c r="B11" s="454"/>
      <c r="C11" s="452" t="s">
        <v>2065</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3978</v>
      </c>
      <c r="G13" s="1293"/>
      <c r="H13" s="1293"/>
      <c r="I13" s="1293"/>
      <c r="J13" s="1293"/>
      <c r="K13" s="1293"/>
      <c r="L13" s="1294"/>
      <c r="M13" s="826" t="s">
        <v>2860</v>
      </c>
      <c r="N13" s="1292" t="s">
        <v>3980</v>
      </c>
      <c r="O13" s="1293"/>
      <c r="P13" s="1294"/>
    </row>
    <row r="14" spans="1:16" s="449" customFormat="1" ht="13.15" customHeight="1">
      <c r="C14" s="455" t="s">
        <v>2861</v>
      </c>
      <c r="F14" s="1292" t="s">
        <v>3979</v>
      </c>
      <c r="G14" s="1293"/>
      <c r="H14" s="1293"/>
      <c r="I14" s="1293"/>
      <c r="J14" s="1293"/>
      <c r="K14" s="1293"/>
      <c r="L14" s="1294"/>
      <c r="M14" s="826" t="s">
        <v>2574</v>
      </c>
      <c r="O14" s="1295"/>
      <c r="P14" s="1296"/>
    </row>
    <row r="15" spans="1:16" s="449" customFormat="1" ht="13.15" customHeight="1">
      <c r="C15" s="455" t="s">
        <v>877</v>
      </c>
      <c r="F15" s="1297" t="s">
        <v>993</v>
      </c>
      <c r="G15" s="1298"/>
      <c r="H15" s="1299"/>
      <c r="M15" s="826" t="s">
        <v>2659</v>
      </c>
      <c r="O15" s="1300"/>
      <c r="P15" s="1301"/>
    </row>
    <row r="16" spans="1:16" s="449" customFormat="1" ht="13.15" customHeight="1">
      <c r="C16" s="455" t="s">
        <v>2656</v>
      </c>
      <c r="F16" s="1302" t="s">
        <v>1338</v>
      </c>
      <c r="I16" s="839" t="s">
        <v>3139</v>
      </c>
      <c r="J16" s="1303">
        <v>300960000</v>
      </c>
      <c r="K16" s="1304"/>
      <c r="M16" s="826" t="s">
        <v>2859</v>
      </c>
      <c r="O16" s="1300">
        <v>6784676861</v>
      </c>
      <c r="P16" s="1301"/>
    </row>
    <row r="17" spans="1:16" s="449" customFormat="1" ht="13.15" customHeight="1">
      <c r="B17" s="833"/>
      <c r="C17" s="455" t="s">
        <v>2573</v>
      </c>
      <c r="F17" s="1300">
        <v>6784676861</v>
      </c>
      <c r="G17" s="1305"/>
      <c r="H17" s="1301"/>
      <c r="I17" s="830" t="s">
        <v>2572</v>
      </c>
      <c r="J17" s="1306"/>
      <c r="K17" s="839" t="s">
        <v>2864</v>
      </c>
      <c r="L17" s="1292" t="s">
        <v>3981</v>
      </c>
      <c r="M17" s="1293"/>
      <c r="N17" s="1293"/>
      <c r="O17" s="1293"/>
      <c r="P17" s="1294"/>
    </row>
    <row r="18" spans="1:16" s="449" customFormat="1" ht="13.15" customHeight="1">
      <c r="A18" s="452"/>
      <c r="B18" s="454"/>
      <c r="C18" s="440" t="s">
        <v>920</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2649</v>
      </c>
      <c r="B20" s="452"/>
      <c r="C20" s="452" t="s">
        <v>2066</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875</v>
      </c>
      <c r="D22" s="461"/>
      <c r="F22" s="1307" t="s">
        <v>3987</v>
      </c>
      <c r="G22" s="1308"/>
      <c r="H22" s="1308"/>
      <c r="I22" s="1308"/>
      <c r="J22" s="1308"/>
      <c r="K22" s="1308"/>
      <c r="L22" s="1309"/>
      <c r="M22" s="826" t="s">
        <v>3088</v>
      </c>
      <c r="O22" s="1292" t="s">
        <v>4067</v>
      </c>
      <c r="P22" s="1294"/>
    </row>
    <row r="23" spans="1:16" s="449" customFormat="1" ht="13.15" customHeight="1">
      <c r="A23" s="462"/>
      <c r="B23" s="452"/>
      <c r="C23" s="449" t="s">
        <v>876</v>
      </c>
      <c r="D23" s="463"/>
      <c r="F23" s="1292" t="s">
        <v>4054</v>
      </c>
      <c r="G23" s="1293"/>
      <c r="H23" s="1293"/>
      <c r="I23" s="1293"/>
      <c r="J23" s="1293"/>
      <c r="K23" s="1293"/>
      <c r="L23" s="1294"/>
      <c r="M23" s="826" t="s">
        <v>2939</v>
      </c>
      <c r="O23" s="1292" t="s">
        <v>3983</v>
      </c>
      <c r="P23" s="1294"/>
    </row>
    <row r="24" spans="1:16" s="449" customFormat="1" ht="13.15" customHeight="1">
      <c r="A24" s="846"/>
      <c r="B24" s="452"/>
      <c r="C24" s="449" t="s">
        <v>877</v>
      </c>
      <c r="F24" s="1292" t="s">
        <v>2605</v>
      </c>
      <c r="G24" s="1293"/>
      <c r="H24" s="1294"/>
      <c r="I24" s="839" t="s">
        <v>419</v>
      </c>
      <c r="J24" s="1303">
        <v>301270000</v>
      </c>
      <c r="K24" s="1304"/>
      <c r="L24" s="540" t="str">
        <f>IF(AND(NOT(F22=""),NOT(F24="Select from list"),J24=""),"Enter Zip!","")</f>
        <v/>
      </c>
      <c r="M24" s="826" t="s">
        <v>3198</v>
      </c>
      <c r="O24" s="1292">
        <v>7.6</v>
      </c>
      <c r="P24" s="1294"/>
    </row>
    <row r="25" spans="1:16" s="449" customFormat="1" ht="13.15" customHeight="1">
      <c r="A25" s="846"/>
      <c r="B25" s="452"/>
      <c r="C25" s="889" t="s">
        <v>2938</v>
      </c>
      <c r="D25" s="889"/>
      <c r="F25" s="1310" t="s">
        <v>3984</v>
      </c>
      <c r="I25" s="494" t="s">
        <v>878</v>
      </c>
      <c r="J25" s="1311" t="str">
        <f>IF($F$24="","",VLOOKUP($F$24,$N$181:$O$784,2,FALSE))</f>
        <v>Cobb</v>
      </c>
      <c r="K25" s="1312"/>
      <c r="M25" s="465" t="s">
        <v>3213</v>
      </c>
      <c r="O25" s="1292">
        <v>13113140404</v>
      </c>
      <c r="P25" s="1313"/>
    </row>
    <row r="26" spans="1:16" s="449" customFormat="1" ht="13.15" customHeight="1">
      <c r="A26" s="846"/>
      <c r="B26" s="452"/>
      <c r="C26" s="449" t="s">
        <v>2163</v>
      </c>
      <c r="F26" s="1314" t="s">
        <v>3983</v>
      </c>
      <c r="H26" s="457" t="s">
        <v>3657</v>
      </c>
      <c r="I26" s="682" t="str">
        <f>VLOOKUP($J$25,$C$181:$F$340,4)</f>
        <v>MSA</v>
      </c>
      <c r="J26" s="1315" t="str">
        <f>IF($F$24="","",VLOOKUP($J$25,$C$181:$H$340,3,FALSE))</f>
        <v>Atlanta-Sandy Springs-Marietta</v>
      </c>
      <c r="K26" s="1316"/>
      <c r="L26" s="1317"/>
      <c r="M26" s="826" t="s">
        <v>626</v>
      </c>
      <c r="N26" s="1318" t="s">
        <v>3983</v>
      </c>
      <c r="O26" s="457" t="s">
        <v>627</v>
      </c>
      <c r="P26" s="1318" t="s">
        <v>3983</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420</v>
      </c>
      <c r="G28" s="905"/>
      <c r="H28" s="888" t="s">
        <v>1133</v>
      </c>
      <c r="I28" s="888"/>
      <c r="J28" s="888" t="s">
        <v>1134</v>
      </c>
      <c r="K28" s="888"/>
      <c r="L28" s="459"/>
    </row>
    <row r="29" spans="1:16" s="449" customFormat="1" ht="13.15" customHeight="1">
      <c r="A29" s="846"/>
      <c r="B29" s="452"/>
      <c r="C29" s="449" t="s">
        <v>879</v>
      </c>
      <c r="D29" s="452"/>
      <c r="F29" s="1319">
        <v>13</v>
      </c>
      <c r="G29" s="1320"/>
      <c r="H29" s="1319">
        <v>33</v>
      </c>
      <c r="I29" s="1320"/>
      <c r="J29" s="1319">
        <v>33</v>
      </c>
      <c r="K29" s="1320"/>
    </row>
    <row r="30" spans="1:16" s="449" customFormat="1" ht="13.15" customHeight="1">
      <c r="A30" s="846"/>
      <c r="B30" s="452"/>
      <c r="C30" s="455" t="s">
        <v>1135</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897</v>
      </c>
      <c r="F32" s="1321" t="s">
        <v>4055</v>
      </c>
      <c r="G32" s="1322"/>
      <c r="H32" s="1322"/>
      <c r="I32" s="1322"/>
      <c r="J32" s="1322"/>
      <c r="K32" s="1323"/>
      <c r="L32" s="466"/>
      <c r="M32" s="466"/>
      <c r="N32" s="466"/>
    </row>
    <row r="33" spans="1:19" s="449" customFormat="1" ht="13.15" customHeight="1">
      <c r="A33" s="846"/>
      <c r="B33" s="846"/>
      <c r="C33" s="449" t="s">
        <v>898</v>
      </c>
      <c r="F33" s="1324" t="s">
        <v>4056</v>
      </c>
      <c r="G33" s="1325"/>
      <c r="H33" s="1325"/>
      <c r="I33" s="1325"/>
      <c r="J33" s="1326"/>
      <c r="K33" s="467" t="s">
        <v>2860</v>
      </c>
      <c r="L33" s="1321" t="s">
        <v>3985</v>
      </c>
      <c r="M33" s="1322"/>
      <c r="N33" s="1323"/>
    </row>
    <row r="34" spans="1:19" s="449" customFormat="1" ht="13.15" customHeight="1">
      <c r="A34" s="846"/>
      <c r="B34" s="846"/>
      <c r="C34" s="449" t="s">
        <v>2861</v>
      </c>
      <c r="F34" s="1321" t="s">
        <v>4057</v>
      </c>
      <c r="G34" s="1322"/>
      <c r="H34" s="1322"/>
      <c r="I34" s="1322"/>
      <c r="J34" s="1323"/>
      <c r="K34" s="468" t="s">
        <v>877</v>
      </c>
      <c r="L34" s="1292" t="s">
        <v>2605</v>
      </c>
      <c r="M34" s="1293"/>
      <c r="N34" s="1294"/>
    </row>
    <row r="35" spans="1:19" s="449" customFormat="1" ht="13.15" customHeight="1">
      <c r="A35" s="846"/>
      <c r="B35" s="846"/>
      <c r="C35" s="826" t="s">
        <v>3139</v>
      </c>
      <c r="F35" s="1327">
        <v>301270000</v>
      </c>
      <c r="G35" s="1328"/>
      <c r="H35" s="830" t="s">
        <v>2862</v>
      </c>
      <c r="I35" s="1329">
        <v>7709431666</v>
      </c>
      <c r="J35" s="1330"/>
      <c r="K35" s="1331"/>
      <c r="L35" s="830" t="s">
        <v>2659</v>
      </c>
      <c r="M35" s="1329"/>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2651</v>
      </c>
      <c r="C37" s="452" t="s">
        <v>2067</v>
      </c>
      <c r="F37" s="471"/>
      <c r="I37" s="455"/>
      <c r="J37" s="683" t="s">
        <v>3663</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3215</v>
      </c>
      <c r="F39" s="1306" t="s">
        <v>3983</v>
      </c>
      <c r="J39" s="590" t="s">
        <v>1842</v>
      </c>
      <c r="K39" s="833"/>
      <c r="L39" s="901" t="s">
        <v>1843</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997</v>
      </c>
      <c r="J41" s="593" t="s">
        <v>1846</v>
      </c>
      <c r="K41" s="594"/>
      <c r="L41" s="899" t="s">
        <v>1841</v>
      </c>
      <c r="M41" s="899"/>
      <c r="N41" s="899"/>
      <c r="O41" s="899"/>
      <c r="P41" s="900"/>
      <c r="Q41" s="839"/>
    </row>
    <row r="42" spans="1:19" ht="13.15" customHeight="1">
      <c r="B42" s="846"/>
      <c r="C42" s="449" t="s">
        <v>3214</v>
      </c>
      <c r="D42" s="449"/>
      <c r="E42" s="449"/>
      <c r="F42" s="473">
        <f>'Part VI-Revenues &amp; Expenses'!$M$74</f>
        <v>84</v>
      </c>
      <c r="J42" s="397"/>
      <c r="L42" s="449"/>
      <c r="Q42" s="839"/>
    </row>
    <row r="43" spans="1:19" s="449" customFormat="1" ht="13.15" customHeight="1">
      <c r="A43" s="846"/>
      <c r="B43" s="846"/>
      <c r="C43" s="455" t="s">
        <v>440</v>
      </c>
      <c r="D43" s="833"/>
      <c r="F43" s="473">
        <f>'Part VI-Revenues &amp; Expenses'!$M$81</f>
        <v>0</v>
      </c>
      <c r="Q43" s="839"/>
    </row>
    <row r="44" spans="1:19" s="449" customFormat="1" ht="13.15" customHeight="1">
      <c r="A44" s="846"/>
      <c r="B44" s="846"/>
      <c r="C44" s="455" t="s">
        <v>416</v>
      </c>
      <c r="D44" s="833"/>
      <c r="F44" s="473">
        <f>'Part VI-Revenues &amp; Expenses'!$M$77</f>
        <v>0</v>
      </c>
      <c r="G44" s="449" t="s">
        <v>418</v>
      </c>
      <c r="L44" s="1332"/>
      <c r="M44" s="472"/>
      <c r="N44" s="472"/>
      <c r="O44" s="472"/>
      <c r="P44" s="472"/>
      <c r="Q44" s="839"/>
    </row>
    <row r="45" spans="1:19" s="449" customFormat="1" ht="13.15" customHeight="1">
      <c r="A45" s="846"/>
      <c r="B45" s="846"/>
      <c r="C45" s="474" t="s">
        <v>417</v>
      </c>
      <c r="F45" s="473">
        <f>'Part VI-Revenues &amp; Expenses'!$M$80</f>
        <v>0</v>
      </c>
      <c r="L45" s="472"/>
    </row>
    <row r="46" spans="1:19" s="449" customFormat="1" ht="13.15" customHeight="1">
      <c r="A46" s="846"/>
      <c r="B46" s="846"/>
      <c r="C46" s="474" t="s">
        <v>441</v>
      </c>
      <c r="F46" s="473">
        <f>'Part VI-Revenues &amp; Expenses'!$M$82</f>
        <v>0</v>
      </c>
      <c r="P46" s="833"/>
    </row>
    <row r="47" spans="1:19" s="449" customFormat="1" ht="3.6" customHeight="1">
      <c r="A47" s="846"/>
      <c r="P47" s="833"/>
    </row>
    <row r="48" spans="1:19" s="449" customFormat="1" ht="13.15" customHeight="1">
      <c r="A48" s="846"/>
      <c r="B48" s="462" t="s">
        <v>1146</v>
      </c>
      <c r="C48" s="461" t="s">
        <v>3191</v>
      </c>
      <c r="D48" s="833"/>
      <c r="I48" s="896" t="s">
        <v>1994</v>
      </c>
      <c r="J48" s="462" t="s">
        <v>3005</v>
      </c>
      <c r="K48" s="475" t="s">
        <v>3221</v>
      </c>
      <c r="M48" s="833"/>
      <c r="N48" s="833"/>
      <c r="O48" s="833"/>
      <c r="P48" s="839"/>
      <c r="Q48" s="839"/>
      <c r="R48" s="839"/>
      <c r="S48" s="833"/>
    </row>
    <row r="49" spans="1:16" s="449" customFormat="1" ht="13.15" customHeight="1">
      <c r="A49" s="846"/>
      <c r="B49" s="829"/>
      <c r="C49" s="459" t="s">
        <v>3192</v>
      </c>
      <c r="D49" s="833"/>
      <c r="E49" s="833"/>
      <c r="H49" s="476">
        <f>SUM(H50:H51)</f>
        <v>71</v>
      </c>
      <c r="I49" s="897"/>
      <c r="J49" s="846"/>
      <c r="K49" s="459" t="s">
        <v>3222</v>
      </c>
      <c r="M49" s="833"/>
      <c r="N49" s="833"/>
      <c r="O49" s="833"/>
      <c r="P49" s="476">
        <f>'Part VI-Revenues &amp; Expenses'!$M$96</f>
        <v>57670</v>
      </c>
    </row>
    <row r="50" spans="1:16" s="449" customFormat="1" ht="13.15" customHeight="1">
      <c r="A50" s="846"/>
      <c r="B50" s="472"/>
      <c r="D50" s="477" t="s">
        <v>460</v>
      </c>
      <c r="E50" s="477"/>
      <c r="H50" s="476">
        <f>'Part VI-Revenues &amp; Expenses'!$M$57</f>
        <v>14</v>
      </c>
      <c r="I50" s="476">
        <f>'Part VI-Revenues &amp; Expenses'!$M$65</f>
        <v>0</v>
      </c>
      <c r="K50" s="459" t="s">
        <v>307</v>
      </c>
      <c r="M50" s="833"/>
      <c r="N50" s="833"/>
      <c r="O50" s="833"/>
      <c r="P50" s="476">
        <f>'Part VI-Revenues &amp; Expenses'!$M$97</f>
        <v>10706</v>
      </c>
    </row>
    <row r="51" spans="1:16" s="449" customFormat="1" ht="13.15" customHeight="1">
      <c r="A51" s="846"/>
      <c r="D51" s="477" t="s">
        <v>2687</v>
      </c>
      <c r="E51" s="477"/>
      <c r="H51" s="476">
        <f>'Part VI-Revenues &amp; Expenses'!$M$56</f>
        <v>57</v>
      </c>
      <c r="I51" s="476">
        <f>'Part VI-Revenues &amp; Expenses'!$M$64</f>
        <v>0</v>
      </c>
      <c r="K51" s="459" t="s">
        <v>3223</v>
      </c>
      <c r="M51" s="833"/>
      <c r="N51" s="833"/>
      <c r="O51" s="833"/>
      <c r="P51" s="476">
        <f>+P49+P50</f>
        <v>68376</v>
      </c>
    </row>
    <row r="52" spans="1:16" s="449" customFormat="1" ht="13.15" customHeight="1">
      <c r="A52" s="846"/>
      <c r="C52" s="459" t="s">
        <v>308</v>
      </c>
      <c r="D52" s="833"/>
      <c r="E52" s="833"/>
      <c r="H52" s="476">
        <f>'Part VI-Revenues &amp; Expenses'!$M$59</f>
        <v>13</v>
      </c>
      <c r="J52" s="846"/>
      <c r="K52" s="459" t="s">
        <v>1997</v>
      </c>
      <c r="M52" s="833"/>
      <c r="N52" s="833"/>
      <c r="O52" s="833"/>
      <c r="P52" s="476">
        <f>'Part VI-Revenues &amp; Expenses'!$M$99</f>
        <v>0</v>
      </c>
    </row>
    <row r="53" spans="1:16" s="449" customFormat="1" ht="13.15" customHeight="1">
      <c r="A53" s="846"/>
      <c r="C53" s="459" t="s">
        <v>3390</v>
      </c>
      <c r="D53" s="833"/>
      <c r="E53" s="833"/>
      <c r="H53" s="476">
        <f>+H49+H52</f>
        <v>84</v>
      </c>
      <c r="J53" s="846"/>
      <c r="K53" s="459" t="s">
        <v>1996</v>
      </c>
      <c r="M53" s="833"/>
      <c r="N53" s="833"/>
      <c r="O53" s="833"/>
      <c r="P53" s="476">
        <f>+P51+P52</f>
        <v>68376</v>
      </c>
    </row>
    <row r="54" spans="1:16" s="449" customFormat="1" ht="13.15" customHeight="1">
      <c r="A54" s="846"/>
      <c r="C54" s="459" t="s">
        <v>3391</v>
      </c>
      <c r="D54" s="833"/>
      <c r="E54" s="833"/>
      <c r="H54" s="476">
        <f>'Part VI-Revenues &amp; Expenses'!$M$61</f>
        <v>0</v>
      </c>
      <c r="J54" s="846"/>
    </row>
    <row r="55" spans="1:16" s="449" customFormat="1" ht="13.15" customHeight="1">
      <c r="A55" s="846"/>
      <c r="C55" s="459" t="s">
        <v>2650</v>
      </c>
      <c r="D55" s="833"/>
      <c r="E55" s="833"/>
      <c r="H55" s="476">
        <f>+H53+H54</f>
        <v>84</v>
      </c>
      <c r="J55" s="833"/>
    </row>
    <row r="56" spans="1:16" s="449" customFormat="1" ht="3" customHeight="1">
      <c r="A56" s="846"/>
      <c r="I56" s="839"/>
      <c r="L56" s="839"/>
      <c r="M56" s="839"/>
      <c r="N56" s="833"/>
      <c r="P56" s="460"/>
    </row>
    <row r="57" spans="1:16" s="449" customFormat="1" ht="13.15" customHeight="1">
      <c r="A57" s="846"/>
      <c r="B57" s="846" t="s">
        <v>2589</v>
      </c>
      <c r="C57" s="461" t="s">
        <v>3216</v>
      </c>
      <c r="D57" s="477" t="s">
        <v>2877</v>
      </c>
      <c r="G57" s="833"/>
      <c r="H57" s="1333">
        <v>1</v>
      </c>
      <c r="K57" s="459" t="s">
        <v>1642</v>
      </c>
      <c r="O57" s="833"/>
      <c r="P57" s="1333">
        <v>18000</v>
      </c>
    </row>
    <row r="58" spans="1:16" s="449" customFormat="1" ht="13.15" customHeight="1">
      <c r="A58" s="846"/>
      <c r="B58" s="846"/>
      <c r="D58" s="829" t="s">
        <v>2878</v>
      </c>
      <c r="H58" s="1333">
        <v>0</v>
      </c>
      <c r="I58" s="833"/>
      <c r="K58" s="459" t="s">
        <v>306</v>
      </c>
      <c r="O58" s="833"/>
      <c r="P58" s="476">
        <f>+P53+P57</f>
        <v>86376</v>
      </c>
    </row>
    <row r="59" spans="1:16" s="449" customFormat="1" ht="13.15" customHeight="1">
      <c r="A59" s="846"/>
      <c r="B59" s="846"/>
      <c r="D59" s="829" t="s">
        <v>2879</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2590</v>
      </c>
      <c r="C61" s="461" t="s">
        <v>998</v>
      </c>
      <c r="D61" s="833"/>
      <c r="E61" s="833"/>
      <c r="F61" s="833"/>
      <c r="G61" s="833"/>
      <c r="H61" s="1333">
        <v>84</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766</v>
      </c>
      <c r="C63" s="478" t="s">
        <v>1715</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3965</v>
      </c>
      <c r="D65" s="827"/>
      <c r="E65" s="827"/>
      <c r="F65" s="833"/>
      <c r="G65" s="839"/>
      <c r="H65" s="1334" t="s">
        <v>3986</v>
      </c>
      <c r="I65" s="1335"/>
      <c r="K65" s="889" t="s">
        <v>2628</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1986</v>
      </c>
      <c r="D67" s="833"/>
      <c r="E67" s="477"/>
      <c r="G67" s="479" t="s">
        <v>1283</v>
      </c>
      <c r="H67" s="1333">
        <v>8</v>
      </c>
      <c r="K67" s="889" t="s">
        <v>756</v>
      </c>
      <c r="L67" s="889"/>
      <c r="P67" s="480">
        <f>IF('Part VI-Revenues &amp; Expenses'!$M$62=0,0,$H67/'Part VI-Revenues &amp; Expenses'!$M$62)</f>
        <v>9.5238095238095233E-2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1146</v>
      </c>
      <c r="C69" s="461" t="s">
        <v>2712</v>
      </c>
      <c r="D69" s="477"/>
      <c r="E69" s="477"/>
      <c r="G69" s="479" t="s">
        <v>1283</v>
      </c>
      <c r="H69" s="1333">
        <v>2</v>
      </c>
      <c r="K69" s="889" t="s">
        <v>756</v>
      </c>
      <c r="L69" s="889"/>
      <c r="P69" s="480">
        <f>IF('Part VI-Revenues &amp; Expenses'!$M$62=0,0,$H69/'Part VI-Revenues &amp; Expenses'!$M$62)</f>
        <v>2.3809523809523808E-2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1848</v>
      </c>
      <c r="D71" s="477"/>
      <c r="E71" s="477"/>
      <c r="G71" s="479" t="s">
        <v>1849</v>
      </c>
      <c r="H71" s="1333"/>
      <c r="K71" s="889" t="s">
        <v>756</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1253</v>
      </c>
      <c r="B73" s="846"/>
      <c r="C73" s="827" t="s">
        <v>3351</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3350</v>
      </c>
      <c r="D75" s="829"/>
      <c r="E75" s="829"/>
      <c r="F75" s="829"/>
      <c r="H75" s="1336" t="s">
        <v>1360</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2136</v>
      </c>
      <c r="K77" s="455" t="s">
        <v>1359</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360</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3984</v>
      </c>
      <c r="F81" s="477" t="s">
        <v>3640</v>
      </c>
      <c r="H81" s="1306" t="s">
        <v>3983</v>
      </c>
      <c r="I81" s="826" t="s">
        <v>3639</v>
      </c>
      <c r="K81" s="1306" t="s">
        <v>3983</v>
      </c>
      <c r="L81" s="449" t="s">
        <v>340</v>
      </c>
    </row>
    <row r="82" spans="1:16" s="449" customFormat="1" ht="13.15" customHeight="1">
      <c r="A82" s="846"/>
      <c r="B82" s="846"/>
      <c r="D82" s="470"/>
      <c r="E82" s="1306" t="s">
        <v>3983</v>
      </c>
      <c r="F82" s="826" t="s">
        <v>612</v>
      </c>
      <c r="H82" s="1306" t="s">
        <v>3983</v>
      </c>
      <c r="I82" s="829" t="s">
        <v>3026</v>
      </c>
    </row>
    <row r="83" spans="1:16" s="449" customFormat="1" ht="9" customHeight="1">
      <c r="A83" s="846"/>
      <c r="B83" s="846"/>
      <c r="D83" s="470"/>
      <c r="E83" s="833"/>
      <c r="I83" s="470"/>
      <c r="J83" s="459"/>
      <c r="K83" s="833"/>
      <c r="P83" s="460"/>
    </row>
    <row r="84" spans="1:16" s="449" customFormat="1" ht="13.15" customHeight="1">
      <c r="A84" s="481" t="s">
        <v>506</v>
      </c>
      <c r="B84" s="846"/>
      <c r="C84" s="475" t="s">
        <v>1713</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789</v>
      </c>
      <c r="D86" s="833"/>
      <c r="E86" s="1292"/>
      <c r="F86" s="1293"/>
      <c r="G86" s="1293"/>
      <c r="H86" s="1293"/>
      <c r="I86" s="1293"/>
      <c r="J86" s="1293"/>
      <c r="K86" s="1293"/>
      <c r="L86" s="1294"/>
      <c r="M86" s="898" t="s">
        <v>790</v>
      </c>
      <c r="N86" s="898"/>
      <c r="O86" s="1339"/>
      <c r="P86" s="1340"/>
    </row>
    <row r="87" spans="1:16" s="449" customFormat="1" ht="13.15" customHeight="1">
      <c r="C87" s="455" t="s">
        <v>1528</v>
      </c>
      <c r="D87" s="463"/>
      <c r="E87" s="1292"/>
      <c r="F87" s="1293"/>
      <c r="G87" s="1293"/>
      <c r="H87" s="1293"/>
      <c r="I87" s="1293"/>
      <c r="J87" s="1293"/>
      <c r="K87" s="1293"/>
      <c r="L87" s="1294"/>
      <c r="M87" s="898" t="s">
        <v>1295</v>
      </c>
      <c r="N87" s="898"/>
      <c r="O87" s="1307"/>
      <c r="P87" s="1309"/>
    </row>
    <row r="88" spans="1:16" s="449" customFormat="1" ht="13.15" customHeight="1">
      <c r="C88" s="455" t="s">
        <v>877</v>
      </c>
      <c r="E88" s="1292"/>
      <c r="F88" s="1341"/>
      <c r="G88" s="1342"/>
      <c r="H88" s="830" t="s">
        <v>2656</v>
      </c>
      <c r="I88" s="1306"/>
      <c r="J88" s="483" t="s">
        <v>3139</v>
      </c>
      <c r="K88" s="1303"/>
      <c r="L88" s="1342"/>
      <c r="M88" s="416"/>
      <c r="N88" s="416"/>
      <c r="O88" s="416"/>
      <c r="P88" s="416"/>
    </row>
    <row r="89" spans="1:16" s="449" customFormat="1" ht="13.15" customHeight="1">
      <c r="C89" s="449" t="s">
        <v>3090</v>
      </c>
      <c r="E89" s="1292"/>
      <c r="F89" s="1341"/>
      <c r="G89" s="1342"/>
      <c r="H89" s="839" t="s">
        <v>2860</v>
      </c>
      <c r="I89" s="1292"/>
      <c r="J89" s="1341"/>
      <c r="K89" s="1342"/>
      <c r="L89" s="844" t="s">
        <v>2864</v>
      </c>
      <c r="M89" s="1292"/>
      <c r="N89" s="1341"/>
      <c r="O89" s="1341"/>
      <c r="P89" s="1342"/>
    </row>
    <row r="90" spans="1:16" s="449" customFormat="1" ht="13.15" customHeight="1">
      <c r="C90" s="455" t="s">
        <v>3089</v>
      </c>
      <c r="E90" s="1300"/>
      <c r="F90" s="1305"/>
      <c r="G90" s="1301"/>
      <c r="H90" s="839" t="s">
        <v>2659</v>
      </c>
      <c r="I90" s="1329"/>
      <c r="J90" s="1342"/>
      <c r="K90" s="483" t="s">
        <v>2660</v>
      </c>
      <c r="L90" s="1329"/>
      <c r="M90" s="1342"/>
      <c r="N90" s="483" t="s">
        <v>2859</v>
      </c>
      <c r="O90" s="1329"/>
      <c r="P90" s="1342"/>
    </row>
    <row r="91" spans="1:16" s="449" customFormat="1" ht="3" customHeight="1">
      <c r="A91" s="846"/>
      <c r="B91" s="846"/>
      <c r="G91" s="470"/>
      <c r="H91" s="839"/>
      <c r="I91" s="839"/>
      <c r="M91" s="460"/>
    </row>
    <row r="92" spans="1:16" s="449" customFormat="1" ht="13.15" customHeight="1">
      <c r="A92" s="481" t="s">
        <v>436</v>
      </c>
      <c r="B92" s="846"/>
      <c r="C92" s="827" t="s">
        <v>2504</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1987</v>
      </c>
      <c r="D96" s="829"/>
      <c r="E96" s="829"/>
      <c r="F96" s="839"/>
      <c r="G96" s="839"/>
      <c r="H96" s="1343">
        <v>3</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494</v>
      </c>
      <c r="D98" s="829"/>
      <c r="E98" s="829"/>
      <c r="F98" s="839"/>
      <c r="G98" s="839"/>
      <c r="H98" s="1344">
        <v>2540000</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1146</v>
      </c>
      <c r="C100" s="827" t="s">
        <v>370</v>
      </c>
      <c r="D100" s="829"/>
      <c r="E100" s="829"/>
      <c r="F100" s="839"/>
      <c r="G100" s="839"/>
      <c r="H100" s="839"/>
      <c r="I100" s="839"/>
      <c r="J100" s="470"/>
      <c r="K100" s="839"/>
      <c r="L100" s="839"/>
      <c r="N100" s="833"/>
      <c r="O100" s="833"/>
    </row>
    <row r="101" spans="1:16" s="449" customFormat="1" ht="13.15" customHeight="1">
      <c r="B101" s="846"/>
      <c r="C101" s="829" t="s">
        <v>3027</v>
      </c>
      <c r="D101" s="829"/>
      <c r="F101" s="829" t="s">
        <v>1653</v>
      </c>
      <c r="G101" s="839"/>
      <c r="H101" s="839"/>
      <c r="I101" s="839"/>
      <c r="J101" s="829" t="s">
        <v>3027</v>
      </c>
      <c r="K101" s="829"/>
      <c r="M101" s="829" t="s">
        <v>1653</v>
      </c>
      <c r="N101" s="839"/>
      <c r="O101" s="839"/>
      <c r="P101" s="839"/>
    </row>
    <row r="102" spans="1:16" s="449" customFormat="1" ht="13.15" customHeight="1">
      <c r="A102" s="846"/>
      <c r="B102" s="846"/>
      <c r="C102" s="1345" t="s">
        <v>3988</v>
      </c>
      <c r="D102" s="1346"/>
      <c r="E102" s="1346"/>
      <c r="F102" s="1346" t="s">
        <v>3989</v>
      </c>
      <c r="G102" s="1346"/>
      <c r="H102" s="1346"/>
      <c r="I102" s="1347"/>
      <c r="J102" s="1348">
        <v>8</v>
      </c>
      <c r="K102" s="1349"/>
      <c r="L102" s="1349"/>
      <c r="M102" s="1349"/>
      <c r="N102" s="1349"/>
      <c r="O102" s="1349"/>
      <c r="P102" s="1350"/>
    </row>
    <row r="103" spans="1:16" s="449" customFormat="1" ht="13.15" customHeight="1">
      <c r="A103" s="846"/>
      <c r="B103" s="846"/>
      <c r="C103" s="1345" t="s">
        <v>3988</v>
      </c>
      <c r="D103" s="1346"/>
      <c r="E103" s="1346"/>
      <c r="F103" s="1346" t="s">
        <v>3982</v>
      </c>
      <c r="G103" s="1346"/>
      <c r="H103" s="1346"/>
      <c r="I103" s="1347"/>
      <c r="J103" s="1345">
        <v>9</v>
      </c>
      <c r="K103" s="1346"/>
      <c r="L103" s="1346"/>
      <c r="M103" s="1346"/>
      <c r="N103" s="1346"/>
      <c r="O103" s="1346"/>
      <c r="P103" s="1347"/>
    </row>
    <row r="104" spans="1:16" s="449" customFormat="1" ht="13.15" customHeight="1">
      <c r="A104" s="846"/>
      <c r="B104" s="846"/>
      <c r="C104" s="1345">
        <v>3</v>
      </c>
      <c r="D104" s="1346"/>
      <c r="E104" s="1346"/>
      <c r="F104" s="1346"/>
      <c r="G104" s="1346"/>
      <c r="H104" s="1346"/>
      <c r="I104" s="1347"/>
      <c r="J104" s="1345">
        <v>10</v>
      </c>
      <c r="K104" s="1346"/>
      <c r="L104" s="1346"/>
      <c r="M104" s="1346"/>
      <c r="N104" s="1346"/>
      <c r="O104" s="1346"/>
      <c r="P104" s="1347"/>
    </row>
    <row r="105" spans="1:16" s="449" customFormat="1" ht="13.15" customHeight="1">
      <c r="A105" s="846"/>
      <c r="B105" s="846"/>
      <c r="C105" s="1345">
        <v>4</v>
      </c>
      <c r="D105" s="1346"/>
      <c r="E105" s="1346"/>
      <c r="F105" s="1346"/>
      <c r="G105" s="1346"/>
      <c r="H105" s="1346"/>
      <c r="I105" s="1347"/>
      <c r="J105" s="1345">
        <v>11</v>
      </c>
      <c r="K105" s="1346"/>
      <c r="L105" s="1346"/>
      <c r="M105" s="1346"/>
      <c r="N105" s="1346"/>
      <c r="O105" s="1346"/>
      <c r="P105" s="1347"/>
    </row>
    <row r="106" spans="1:16" s="449" customFormat="1" ht="13.15" customHeight="1">
      <c r="A106" s="846"/>
      <c r="B106" s="846"/>
      <c r="C106" s="1345">
        <v>5</v>
      </c>
      <c r="D106" s="1346"/>
      <c r="E106" s="1346"/>
      <c r="F106" s="1346"/>
      <c r="G106" s="1346"/>
      <c r="H106" s="1346"/>
      <c r="I106" s="1347"/>
      <c r="J106" s="1345">
        <v>12</v>
      </c>
      <c r="K106" s="1346"/>
      <c r="L106" s="1346"/>
      <c r="M106" s="1346"/>
      <c r="N106" s="1346"/>
      <c r="O106" s="1346"/>
      <c r="P106" s="1347"/>
    </row>
    <row r="107" spans="1:16" s="449" customFormat="1" ht="13.15" customHeight="1">
      <c r="A107" s="846"/>
      <c r="B107" s="846"/>
      <c r="C107" s="1345">
        <v>6</v>
      </c>
      <c r="D107" s="1346"/>
      <c r="E107" s="1346"/>
      <c r="F107" s="1346"/>
      <c r="G107" s="1346"/>
      <c r="H107" s="1346"/>
      <c r="I107" s="1347"/>
      <c r="J107" s="1345">
        <v>13</v>
      </c>
      <c r="K107" s="1346"/>
      <c r="L107" s="1346"/>
      <c r="M107" s="1346"/>
      <c r="N107" s="1346"/>
      <c r="O107" s="1346"/>
      <c r="P107" s="1347"/>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5" t="s">
        <v>2719</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3027</v>
      </c>
      <c r="D112" s="829"/>
      <c r="F112" s="829" t="s">
        <v>1653</v>
      </c>
      <c r="G112" s="839"/>
      <c r="H112" s="839"/>
      <c r="I112" s="839"/>
      <c r="J112" s="829" t="s">
        <v>3027</v>
      </c>
      <c r="K112" s="829"/>
      <c r="M112" s="829" t="s">
        <v>1653</v>
      </c>
      <c r="N112" s="839"/>
      <c r="O112" s="839"/>
      <c r="P112" s="839"/>
    </row>
    <row r="113" spans="1:16" s="449" customFormat="1" ht="13.15" customHeight="1">
      <c r="A113" s="846"/>
      <c r="B113" s="846"/>
      <c r="C113" s="1348">
        <v>1</v>
      </c>
      <c r="D113" s="1349"/>
      <c r="E113" s="1349"/>
      <c r="F113" s="1349"/>
      <c r="G113" s="1349"/>
      <c r="H113" s="1349"/>
      <c r="I113" s="1350"/>
      <c r="J113" s="1348">
        <v>8</v>
      </c>
      <c r="K113" s="1349"/>
      <c r="L113" s="1349"/>
      <c r="M113" s="1349"/>
      <c r="N113" s="1349"/>
      <c r="O113" s="1349"/>
      <c r="P113" s="1350"/>
    </row>
    <row r="114" spans="1:16" s="449" customFormat="1" ht="13.15" customHeight="1">
      <c r="A114" s="846"/>
      <c r="B114" s="846"/>
      <c r="C114" s="1345">
        <v>2</v>
      </c>
      <c r="D114" s="1346"/>
      <c r="E114" s="1346"/>
      <c r="F114" s="1346"/>
      <c r="G114" s="1346"/>
      <c r="H114" s="1346"/>
      <c r="I114" s="1347"/>
      <c r="J114" s="1345">
        <v>9</v>
      </c>
      <c r="K114" s="1346"/>
      <c r="L114" s="1346"/>
      <c r="M114" s="1346"/>
      <c r="N114" s="1346"/>
      <c r="O114" s="1346"/>
      <c r="P114" s="1347"/>
    </row>
    <row r="115" spans="1:16" s="449" customFormat="1" ht="13.15" customHeight="1">
      <c r="A115" s="846"/>
      <c r="B115" s="846"/>
      <c r="C115" s="1345">
        <v>3</v>
      </c>
      <c r="D115" s="1346"/>
      <c r="E115" s="1346"/>
      <c r="F115" s="1346"/>
      <c r="G115" s="1346"/>
      <c r="H115" s="1346"/>
      <c r="I115" s="1347"/>
      <c r="J115" s="1345">
        <v>10</v>
      </c>
      <c r="K115" s="1346"/>
      <c r="L115" s="1346"/>
      <c r="M115" s="1346"/>
      <c r="N115" s="1346"/>
      <c r="O115" s="1346"/>
      <c r="P115" s="1347"/>
    </row>
    <row r="116" spans="1:16" s="449" customFormat="1" ht="13.15" customHeight="1">
      <c r="A116" s="846"/>
      <c r="B116" s="846"/>
      <c r="C116" s="1345">
        <v>4</v>
      </c>
      <c r="D116" s="1346"/>
      <c r="E116" s="1346"/>
      <c r="F116" s="1346"/>
      <c r="G116" s="1346"/>
      <c r="H116" s="1346"/>
      <c r="I116" s="1347"/>
      <c r="J116" s="1345">
        <v>11</v>
      </c>
      <c r="K116" s="1346"/>
      <c r="L116" s="1346"/>
      <c r="M116" s="1346"/>
      <c r="N116" s="1346"/>
      <c r="O116" s="1346"/>
      <c r="P116" s="1347"/>
    </row>
    <row r="117" spans="1:16" s="449" customFormat="1" ht="13.15" customHeight="1">
      <c r="A117" s="846"/>
      <c r="B117" s="846"/>
      <c r="C117" s="1345">
        <v>5</v>
      </c>
      <c r="D117" s="1346"/>
      <c r="E117" s="1346"/>
      <c r="F117" s="1346"/>
      <c r="G117" s="1346"/>
      <c r="H117" s="1346"/>
      <c r="I117" s="1347"/>
      <c r="J117" s="1345">
        <v>12</v>
      </c>
      <c r="K117" s="1346"/>
      <c r="L117" s="1346"/>
      <c r="M117" s="1346"/>
      <c r="N117" s="1346"/>
      <c r="O117" s="1346"/>
      <c r="P117" s="1347"/>
    </row>
    <row r="118" spans="1:16" s="449" customFormat="1" ht="13.15" customHeight="1">
      <c r="A118" s="846"/>
      <c r="B118" s="846"/>
      <c r="C118" s="1345">
        <v>6</v>
      </c>
      <c r="D118" s="1346"/>
      <c r="E118" s="1346"/>
      <c r="F118" s="1346"/>
      <c r="G118" s="1346"/>
      <c r="H118" s="1346"/>
      <c r="I118" s="1347"/>
      <c r="J118" s="1345">
        <v>13</v>
      </c>
      <c r="K118" s="1346"/>
      <c r="L118" s="1346"/>
      <c r="M118" s="1346"/>
      <c r="N118" s="1346"/>
      <c r="O118" s="1346"/>
      <c r="P118" s="1347"/>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437</v>
      </c>
      <c r="B121" s="846"/>
      <c r="C121" s="478" t="s">
        <v>3403</v>
      </c>
      <c r="D121" s="478"/>
      <c r="E121" s="478"/>
      <c r="F121" s="478"/>
      <c r="H121" s="1306" t="s">
        <v>3983</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2561</v>
      </c>
      <c r="H123" s="1306"/>
      <c r="M123" s="839"/>
      <c r="N123" s="833"/>
      <c r="O123" s="833"/>
      <c r="P123" s="460"/>
    </row>
    <row r="124" spans="1:16" s="449" customFormat="1" ht="13.15" customHeight="1">
      <c r="A124" s="846"/>
      <c r="B124" s="846"/>
      <c r="C124" s="829" t="s">
        <v>3405</v>
      </c>
      <c r="D124" s="829"/>
      <c r="E124" s="829"/>
      <c r="F124" s="839"/>
      <c r="H124" s="1354"/>
      <c r="N124" s="833"/>
      <c r="O124" s="833"/>
      <c r="P124" s="460"/>
    </row>
    <row r="125" spans="1:16" s="449" customFormat="1" ht="13.15" customHeight="1">
      <c r="A125" s="846"/>
      <c r="B125" s="846"/>
      <c r="C125" s="486" t="s">
        <v>2560</v>
      </c>
      <c r="D125" s="455"/>
      <c r="H125" s="1292"/>
      <c r="I125" s="1294"/>
      <c r="P125" s="460"/>
    </row>
    <row r="126" spans="1:16" s="449" customFormat="1" ht="13.15" customHeight="1">
      <c r="A126" s="846"/>
      <c r="B126" s="846"/>
      <c r="C126" s="829" t="s">
        <v>3406</v>
      </c>
      <c r="D126" s="829"/>
      <c r="E126" s="829"/>
      <c r="F126" s="839"/>
      <c r="H126" s="1354"/>
      <c r="K126" s="416" t="s">
        <v>3158</v>
      </c>
      <c r="O126" s="1292" t="s">
        <v>672</v>
      </c>
      <c r="P126" s="1294"/>
    </row>
    <row r="127" spans="1:16" s="449" customFormat="1" ht="13.15" customHeight="1">
      <c r="A127" s="846"/>
      <c r="B127" s="846"/>
      <c r="C127" s="829" t="s">
        <v>3404</v>
      </c>
      <c r="F127" s="839"/>
      <c r="H127" s="1343"/>
      <c r="K127" s="416" t="s">
        <v>3159</v>
      </c>
      <c r="O127" s="1292" t="s">
        <v>672</v>
      </c>
      <c r="P127" s="1294"/>
    </row>
    <row r="128" spans="1:16" s="449" customFormat="1" ht="13.15" customHeight="1">
      <c r="A128" s="846"/>
      <c r="B128" s="846"/>
      <c r="C128" s="829" t="s">
        <v>3061</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3498</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1146</v>
      </c>
      <c r="C132" s="827" t="s">
        <v>905</v>
      </c>
      <c r="D132" s="829"/>
      <c r="E132" s="829"/>
      <c r="F132" s="839"/>
      <c r="G132" s="839"/>
      <c r="N132" s="833"/>
      <c r="O132" s="833"/>
      <c r="P132" s="460"/>
    </row>
    <row r="133" spans="1:16" s="449" customFormat="1" ht="13.15" customHeight="1">
      <c r="A133" s="846"/>
      <c r="B133" s="846"/>
      <c r="C133" s="829" t="s">
        <v>999</v>
      </c>
      <c r="D133" s="829"/>
      <c r="E133" s="829"/>
      <c r="F133" s="839"/>
      <c r="G133" s="839"/>
      <c r="H133" s="1343"/>
      <c r="K133" s="829" t="s">
        <v>2137</v>
      </c>
      <c r="L133" s="829"/>
      <c r="M133" s="839"/>
      <c r="N133" s="839"/>
      <c r="O133" s="1343"/>
      <c r="P133" s="460"/>
    </row>
    <row r="134" spans="1:16" s="449" customFormat="1" ht="13.15" customHeight="1">
      <c r="A134" s="846"/>
      <c r="B134" s="846"/>
      <c r="C134" s="829" t="s">
        <v>1000</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438</v>
      </c>
      <c r="B136" s="846"/>
      <c r="C136" s="478" t="s">
        <v>1714</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2688</v>
      </c>
      <c r="F138" s="839"/>
      <c r="G138" s="839"/>
      <c r="H138" s="839"/>
      <c r="I138" s="839"/>
      <c r="J138" s="470"/>
      <c r="K138" s="839"/>
      <c r="L138" s="839"/>
      <c r="N138" s="833"/>
      <c r="O138" s="833"/>
      <c r="P138" s="460"/>
    </row>
    <row r="139" spans="1:16" s="449" customFormat="1" ht="12.6" customHeight="1">
      <c r="A139" s="846"/>
      <c r="B139" s="846"/>
      <c r="C139" s="477" t="s">
        <v>2129</v>
      </c>
      <c r="D139" s="470"/>
      <c r="E139" s="470"/>
      <c r="F139" s="839"/>
      <c r="G139" s="839"/>
      <c r="H139" s="839"/>
      <c r="I139" s="839"/>
      <c r="K139" s="1343" t="s">
        <v>3983</v>
      </c>
      <c r="N139" s="833"/>
      <c r="O139" s="833"/>
      <c r="P139" s="460"/>
    </row>
    <row r="140" spans="1:16" s="449" customFormat="1" ht="12.6" customHeight="1">
      <c r="A140" s="846"/>
      <c r="B140" s="846"/>
      <c r="C140" s="449" t="s">
        <v>873</v>
      </c>
      <c r="K140" s="1333"/>
      <c r="L140" s="455" t="s">
        <v>2652</v>
      </c>
      <c r="P140" s="487">
        <f>IF('Part VI-Revenues &amp; Expenses'!$M$60=0,0,$K140/'Part VI-Revenues &amp; Expenses'!$M$60)</f>
        <v>0</v>
      </c>
    </row>
    <row r="141" spans="1:16" s="449" customFormat="1" ht="12.6" customHeight="1">
      <c r="A141" s="846"/>
      <c r="B141" s="846"/>
      <c r="C141" s="449" t="s">
        <v>3062</v>
      </c>
      <c r="K141" s="1333"/>
      <c r="L141" s="455" t="s">
        <v>2652</v>
      </c>
      <c r="P141" s="487">
        <f>IF('Part VI-Revenues &amp; Expenses'!$M$60=0,0,$K141/'Part VI-Revenues &amp; Expenses'!$M$60)</f>
        <v>0</v>
      </c>
    </row>
    <row r="142" spans="1:16" s="449" customFormat="1" ht="12.6" customHeight="1">
      <c r="A142" s="846"/>
      <c r="B142" s="846"/>
      <c r="C142" s="449" t="s">
        <v>2653</v>
      </c>
      <c r="E142" s="1292"/>
      <c r="F142" s="1293"/>
      <c r="G142" s="1293"/>
      <c r="H142" s="1293"/>
      <c r="I142" s="1293"/>
      <c r="J142" s="1293"/>
      <c r="K142" s="1294"/>
      <c r="L142" s="488" t="s">
        <v>2654</v>
      </c>
      <c r="M142" s="1292"/>
      <c r="N142" s="1293"/>
      <c r="O142" s="1293"/>
      <c r="P142" s="1294"/>
    </row>
    <row r="143" spans="1:16" s="449" customFormat="1" ht="12.6" customHeight="1">
      <c r="A143" s="846"/>
      <c r="B143" s="846"/>
      <c r="C143" s="455" t="s">
        <v>2655</v>
      </c>
      <c r="D143" s="463"/>
      <c r="E143" s="1292"/>
      <c r="F143" s="1293"/>
      <c r="G143" s="1293"/>
      <c r="H143" s="1293"/>
      <c r="I143" s="1293"/>
      <c r="J143" s="1293"/>
      <c r="K143" s="1355"/>
      <c r="L143" s="826" t="s">
        <v>2657</v>
      </c>
      <c r="M143" s="1307"/>
      <c r="N143" s="1308"/>
      <c r="O143" s="1308"/>
      <c r="P143" s="1309"/>
    </row>
    <row r="144" spans="1:16" s="449" customFormat="1" ht="12.6" customHeight="1">
      <c r="A144" s="846"/>
      <c r="B144" s="846"/>
      <c r="C144" s="455" t="s">
        <v>877</v>
      </c>
      <c r="E144" s="1292"/>
      <c r="F144" s="1293"/>
      <c r="G144" s="1293"/>
      <c r="H144" s="1294"/>
      <c r="I144" s="483" t="s">
        <v>3139</v>
      </c>
      <c r="J144" s="1303"/>
      <c r="K144" s="1304"/>
      <c r="L144" s="488" t="s">
        <v>2660</v>
      </c>
      <c r="M144" s="1300"/>
      <c r="N144" s="1305"/>
      <c r="O144" s="1301"/>
    </row>
    <row r="145" spans="1:16" s="449" customFormat="1" ht="12.6" customHeight="1">
      <c r="A145" s="846"/>
      <c r="B145" s="846"/>
      <c r="C145" s="455" t="s">
        <v>2658</v>
      </c>
      <c r="E145" s="1300"/>
      <c r="F145" s="1305"/>
      <c r="G145" s="1301"/>
      <c r="H145" s="489" t="s">
        <v>2659</v>
      </c>
      <c r="I145" s="1300"/>
      <c r="J145" s="1305"/>
      <c r="K145" s="1301"/>
      <c r="L145" s="490" t="s">
        <v>2859</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2220</v>
      </c>
      <c r="D147" s="827"/>
      <c r="E147" s="827"/>
      <c r="F147" s="827"/>
      <c r="G147" s="827"/>
      <c r="I147" s="1343" t="s">
        <v>3983</v>
      </c>
      <c r="J147" s="893" t="s">
        <v>1159</v>
      </c>
      <c r="K147" s="894"/>
      <c r="L147" s="1343"/>
      <c r="M147" s="890" t="s">
        <v>3248</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1146</v>
      </c>
      <c r="C149" s="827" t="s">
        <v>2612</v>
      </c>
      <c r="D149" s="827"/>
      <c r="E149" s="827"/>
      <c r="F149" s="827"/>
      <c r="G149" s="827"/>
      <c r="H149" s="1343" t="s">
        <v>3983</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4" t="s">
        <v>2858</v>
      </c>
      <c r="D151" s="914"/>
      <c r="E151" s="914"/>
      <c r="F151" s="914"/>
      <c r="G151" s="827"/>
      <c r="H151" s="1343" t="s">
        <v>3983</v>
      </c>
    </row>
    <row r="152" spans="1:16" s="449" customFormat="1" ht="12.6" customHeight="1">
      <c r="B152" s="846"/>
      <c r="C152" s="913" t="s">
        <v>2068</v>
      </c>
      <c r="D152" s="913"/>
      <c r="E152" s="827"/>
      <c r="F152" s="827"/>
      <c r="G152" s="827"/>
      <c r="H152" s="1356"/>
    </row>
    <row r="153" spans="1:16" s="449" customFormat="1" ht="12.6" customHeight="1">
      <c r="A153" s="846"/>
      <c r="B153" s="846"/>
      <c r="C153" s="889" t="s">
        <v>1284</v>
      </c>
      <c r="D153" s="889"/>
      <c r="E153" s="452"/>
      <c r="F153" s="827"/>
      <c r="G153" s="827"/>
      <c r="H153" s="1356"/>
      <c r="K153" s="459"/>
      <c r="P153" s="460"/>
    </row>
    <row r="154" spans="1:16" s="449" customFormat="1" ht="12.6" customHeight="1">
      <c r="B154" s="846"/>
      <c r="C154" s="889" t="s">
        <v>2648</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2589</v>
      </c>
      <c r="C156" s="394" t="s">
        <v>2221</v>
      </c>
      <c r="D156" s="829"/>
      <c r="E156" s="829"/>
      <c r="F156" s="829"/>
      <c r="G156" s="829"/>
      <c r="H156" s="839"/>
      <c r="J156" s="459"/>
      <c r="K156" s="470"/>
      <c r="M156" s="833"/>
      <c r="O156" s="839"/>
      <c r="P156" s="460"/>
    </row>
    <row r="157" spans="1:16" s="449" customFormat="1" ht="12.6" customHeight="1">
      <c r="A157" s="846"/>
      <c r="B157" s="846"/>
      <c r="C157" s="833" t="s">
        <v>3114</v>
      </c>
      <c r="D157" s="461"/>
      <c r="E157" s="833"/>
      <c r="F157" s="833"/>
      <c r="H157" s="1343" t="s">
        <v>3983</v>
      </c>
      <c r="L157" s="833" t="s">
        <v>3908</v>
      </c>
      <c r="P157" s="1343" t="s">
        <v>3983</v>
      </c>
    </row>
    <row r="158" spans="1:16" s="449" customFormat="1" ht="12.6" customHeight="1">
      <c r="A158" s="846"/>
      <c r="B158" s="846"/>
      <c r="C158" s="833" t="s">
        <v>3116</v>
      </c>
      <c r="H158" s="1343" t="s">
        <v>3983</v>
      </c>
      <c r="L158" s="833" t="s">
        <v>2223</v>
      </c>
      <c r="P158" s="1343" t="s">
        <v>3983</v>
      </c>
    </row>
    <row r="159" spans="1:16" s="449" customFormat="1" ht="12.6" customHeight="1">
      <c r="A159" s="846"/>
      <c r="C159" s="833" t="s">
        <v>1850</v>
      </c>
      <c r="D159" s="495"/>
      <c r="H159" s="1343" t="s">
        <v>3983</v>
      </c>
      <c r="L159" s="833" t="s">
        <v>2388</v>
      </c>
      <c r="P159" s="1343" t="s">
        <v>3983</v>
      </c>
    </row>
    <row r="160" spans="1:16" s="449" customFormat="1" ht="12.6" customHeight="1">
      <c r="A160" s="846"/>
      <c r="B160" s="846"/>
      <c r="C160" s="833" t="s">
        <v>2222</v>
      </c>
      <c r="D160" s="461"/>
      <c r="E160" s="833"/>
      <c r="F160" s="833"/>
      <c r="H160" s="1343" t="s">
        <v>3983</v>
      </c>
      <c r="K160" s="461"/>
      <c r="L160" s="449" t="s">
        <v>3909</v>
      </c>
      <c r="M160" s="833"/>
      <c r="P160" s="1343" t="s">
        <v>3983</v>
      </c>
    </row>
    <row r="161" spans="1:21" s="449" customFormat="1" ht="12.6" customHeight="1">
      <c r="A161" s="846"/>
      <c r="B161" s="452"/>
      <c r="C161" s="833" t="s">
        <v>2140</v>
      </c>
      <c r="D161" s="461"/>
      <c r="H161" s="1343" t="s">
        <v>3983</v>
      </c>
      <c r="L161" s="833" t="s">
        <v>3955</v>
      </c>
      <c r="M161" s="833"/>
      <c r="P161" s="1343" t="s">
        <v>3983</v>
      </c>
    </row>
    <row r="162" spans="1:21" s="449" customFormat="1" ht="12.6" customHeight="1">
      <c r="A162" s="846"/>
      <c r="B162" s="846"/>
      <c r="C162" s="833" t="s">
        <v>2669</v>
      </c>
      <c r="D162" s="461"/>
      <c r="E162" s="833"/>
      <c r="F162" s="833"/>
      <c r="H162" s="1343" t="s">
        <v>3983</v>
      </c>
      <c r="I162" s="494" t="s">
        <v>3702</v>
      </c>
      <c r="O162" s="1357"/>
      <c r="P162" s="1358"/>
    </row>
    <row r="163" spans="1:21" s="449" customFormat="1" ht="12.6" customHeight="1">
      <c r="A163" s="846"/>
      <c r="B163" s="846"/>
      <c r="C163" s="833" t="s">
        <v>3957</v>
      </c>
      <c r="E163" s="1334"/>
      <c r="F163" s="1359"/>
      <c r="G163" s="1335"/>
      <c r="H163" s="1343"/>
    </row>
    <row r="164" spans="1:21" s="449" customFormat="1" ht="1.9" customHeight="1">
      <c r="A164" s="846"/>
      <c r="B164" s="846"/>
      <c r="P164" s="459"/>
    </row>
    <row r="165" spans="1:21" s="449" customFormat="1" ht="13.15" customHeight="1">
      <c r="B165" s="846" t="s">
        <v>2590</v>
      </c>
      <c r="C165" s="456" t="s">
        <v>1136</v>
      </c>
    </row>
    <row r="166" spans="1:21" s="449" customFormat="1" ht="12.6" customHeight="1">
      <c r="A166" s="846"/>
      <c r="B166" s="846"/>
      <c r="C166" s="455" t="s">
        <v>899</v>
      </c>
      <c r="D166" s="829"/>
      <c r="E166" s="829"/>
      <c r="F166" s="839"/>
      <c r="G166" s="839"/>
      <c r="H166" s="1339"/>
      <c r="I166" s="1340"/>
      <c r="N166" s="833"/>
      <c r="O166" s="833"/>
      <c r="P166" s="460"/>
    </row>
    <row r="167" spans="1:21" s="449" customFormat="1" ht="12.6" customHeight="1">
      <c r="A167" s="846"/>
      <c r="B167" s="846"/>
      <c r="C167" s="455" t="s">
        <v>342</v>
      </c>
      <c r="D167" s="829"/>
      <c r="E167" s="829"/>
      <c r="F167" s="839"/>
      <c r="G167" s="839"/>
      <c r="H167" s="1339"/>
      <c r="I167" s="1340"/>
      <c r="N167" s="833"/>
      <c r="O167" s="833"/>
      <c r="P167" s="460"/>
    </row>
    <row r="168" spans="1:21" s="449" customFormat="1" ht="12.6" customHeight="1">
      <c r="A168" s="846"/>
      <c r="B168" s="846"/>
      <c r="C168" s="455" t="s">
        <v>3214</v>
      </c>
      <c r="D168" s="829"/>
      <c r="E168" s="829"/>
      <c r="F168" s="839"/>
      <c r="G168" s="839"/>
      <c r="H168" s="1339">
        <v>41760</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2579</v>
      </c>
      <c r="C170" s="481" t="s">
        <v>816</v>
      </c>
      <c r="K170" s="481" t="s">
        <v>3164</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2656</v>
      </c>
      <c r="C180" s="759" t="s">
        <v>1746</v>
      </c>
      <c r="D180" s="759" t="s">
        <v>1747</v>
      </c>
      <c r="E180" s="759" t="s">
        <v>1748</v>
      </c>
      <c r="F180" s="759" t="s">
        <v>1672</v>
      </c>
      <c r="G180" s="759" t="s">
        <v>503</v>
      </c>
      <c r="H180" s="760" t="s">
        <v>1680</v>
      </c>
      <c r="I180" s="679"/>
      <c r="J180" s="608" t="s">
        <v>3380</v>
      </c>
      <c r="K180" s="608"/>
      <c r="L180" s="609"/>
      <c r="M180" s="610"/>
      <c r="N180" s="610" t="s">
        <v>877</v>
      </c>
      <c r="O180" s="611" t="s">
        <v>878</v>
      </c>
      <c r="P180" s="610" t="s">
        <v>3034</v>
      </c>
      <c r="Q180" s="596"/>
      <c r="S180" s="596"/>
      <c r="T180" s="612" t="s">
        <v>588</v>
      </c>
      <c r="U180" s="611" t="s">
        <v>878</v>
      </c>
      <c r="V180" s="596"/>
      <c r="W180" s="596"/>
      <c r="X180" s="596"/>
      <c r="Y180" s="596"/>
      <c r="Z180" s="596"/>
      <c r="AA180" s="596"/>
    </row>
    <row r="181" spans="2:27" ht="12" customHeight="1">
      <c r="B181" s="761" t="s">
        <v>1328</v>
      </c>
      <c r="C181" s="761" t="s">
        <v>1749</v>
      </c>
      <c r="D181" s="761" t="s">
        <v>1750</v>
      </c>
      <c r="E181" s="762" t="s">
        <v>1751</v>
      </c>
      <c r="F181" s="762" t="s">
        <v>3658</v>
      </c>
      <c r="G181" s="763" t="s">
        <v>1681</v>
      </c>
      <c r="H181" s="764" t="s">
        <v>501</v>
      </c>
      <c r="I181" s="680"/>
      <c r="J181" s="613" t="s">
        <v>2124</v>
      </c>
      <c r="K181" s="614"/>
      <c r="L181" s="609"/>
      <c r="M181" s="610"/>
      <c r="N181" s="615" t="s">
        <v>3381</v>
      </c>
      <c r="O181" s="615" t="s">
        <v>2830</v>
      </c>
      <c r="P181" s="497" t="s">
        <v>2225</v>
      </c>
      <c r="Q181" s="596"/>
      <c r="S181" s="596"/>
      <c r="T181" s="615" t="s">
        <v>1771</v>
      </c>
      <c r="U181" s="615" t="s">
        <v>1621</v>
      </c>
      <c r="V181" s="596"/>
      <c r="W181" s="596"/>
      <c r="X181" s="596"/>
      <c r="Y181" s="596"/>
      <c r="Z181" s="596"/>
      <c r="AA181" s="596"/>
    </row>
    <row r="182" spans="2:27" ht="12" customHeight="1">
      <c r="B182" s="761" t="s">
        <v>1329</v>
      </c>
      <c r="C182" s="761" t="s">
        <v>2633</v>
      </c>
      <c r="D182" s="761" t="s">
        <v>1750</v>
      </c>
      <c r="E182" s="762" t="s">
        <v>2634</v>
      </c>
      <c r="F182" s="762" t="s">
        <v>3658</v>
      </c>
      <c r="G182" s="763" t="s">
        <v>1682</v>
      </c>
      <c r="H182" s="764" t="s">
        <v>501</v>
      </c>
      <c r="I182" s="680"/>
      <c r="J182" s="613" t="s">
        <v>2126</v>
      </c>
      <c r="K182" s="614"/>
      <c r="L182" s="609"/>
      <c r="M182" s="610"/>
      <c r="N182" s="615" t="s">
        <v>2125</v>
      </c>
      <c r="O182" s="615" t="s">
        <v>3492</v>
      </c>
      <c r="P182" s="497" t="s">
        <v>2226</v>
      </c>
      <c r="Q182" s="596"/>
      <c r="S182" s="596"/>
      <c r="T182" s="615" t="s">
        <v>785</v>
      </c>
      <c r="U182" s="615" t="s">
        <v>198</v>
      </c>
      <c r="V182" s="596"/>
      <c r="W182" s="596"/>
      <c r="X182" s="596"/>
      <c r="Y182" s="596"/>
      <c r="Z182" s="596"/>
      <c r="AA182" s="596"/>
    </row>
    <row r="183" spans="2:27" ht="12" customHeight="1">
      <c r="B183" s="761" t="s">
        <v>1330</v>
      </c>
      <c r="C183" s="761" t="s">
        <v>2635</v>
      </c>
      <c r="D183" s="761" t="s">
        <v>1750</v>
      </c>
      <c r="E183" s="762" t="s">
        <v>2636</v>
      </c>
      <c r="F183" s="762" t="s">
        <v>3658</v>
      </c>
      <c r="G183" s="763" t="s">
        <v>1683</v>
      </c>
      <c r="H183" s="764" t="s">
        <v>501</v>
      </c>
      <c r="I183" s="680"/>
      <c r="J183" s="613" t="s">
        <v>637</v>
      </c>
      <c r="K183" s="614"/>
      <c r="L183" s="609"/>
      <c r="M183" s="610"/>
      <c r="N183" s="615" t="s">
        <v>1440</v>
      </c>
      <c r="O183" s="615" t="s">
        <v>1882</v>
      </c>
      <c r="P183" s="497" t="s">
        <v>2227</v>
      </c>
      <c r="Q183" s="596"/>
      <c r="S183" s="596"/>
      <c r="T183" s="615" t="s">
        <v>1398</v>
      </c>
      <c r="U183" s="615" t="s">
        <v>1617</v>
      </c>
      <c r="V183" s="596"/>
      <c r="W183" s="596"/>
      <c r="X183" s="596"/>
      <c r="Y183" s="596"/>
      <c r="Z183" s="596"/>
      <c r="AA183" s="596"/>
    </row>
    <row r="184" spans="2:27" ht="12" customHeight="1">
      <c r="B184" s="761" t="s">
        <v>1331</v>
      </c>
      <c r="C184" s="761" t="s">
        <v>2637</v>
      </c>
      <c r="D184" s="761" t="s">
        <v>1750</v>
      </c>
      <c r="E184" s="765" t="s">
        <v>2638</v>
      </c>
      <c r="F184" s="765" t="s">
        <v>3659</v>
      </c>
      <c r="G184" s="763" t="s">
        <v>1684</v>
      </c>
      <c r="H184" s="764" t="s">
        <v>502</v>
      </c>
      <c r="I184" s="681"/>
      <c r="J184" s="613" t="s">
        <v>2969</v>
      </c>
      <c r="K184" s="614"/>
      <c r="L184" s="609"/>
      <c r="M184" s="610"/>
      <c r="N184" s="615" t="s">
        <v>638</v>
      </c>
      <c r="O184" s="615" t="s">
        <v>3545</v>
      </c>
      <c r="P184" s="497" t="s">
        <v>2228</v>
      </c>
      <c r="Q184" s="596"/>
      <c r="S184" s="596"/>
      <c r="T184" s="615" t="s">
        <v>2217</v>
      </c>
      <c r="U184" s="615" t="s">
        <v>3544</v>
      </c>
      <c r="V184" s="596"/>
      <c r="W184" s="596"/>
      <c r="X184" s="596"/>
      <c r="Y184" s="596"/>
      <c r="Z184" s="596"/>
      <c r="AA184" s="596"/>
    </row>
    <row r="185" spans="2:27" ht="12" customHeight="1">
      <c r="B185" s="761" t="s">
        <v>1332</v>
      </c>
      <c r="C185" s="761" t="s">
        <v>2639</v>
      </c>
      <c r="D185" s="761" t="s">
        <v>1903</v>
      </c>
      <c r="E185" s="765" t="s">
        <v>194</v>
      </c>
      <c r="F185" s="765" t="s">
        <v>3658</v>
      </c>
      <c r="G185" s="763" t="s">
        <v>1685</v>
      </c>
      <c r="H185" s="764" t="s">
        <v>501</v>
      </c>
      <c r="I185" s="681"/>
      <c r="J185" s="613" t="s">
        <v>2971</v>
      </c>
      <c r="K185" s="614"/>
      <c r="L185" s="609"/>
      <c r="M185" s="610"/>
      <c r="N185" s="615" t="s">
        <v>2970</v>
      </c>
      <c r="O185" s="615" t="s">
        <v>402</v>
      </c>
      <c r="P185" s="497" t="s">
        <v>2229</v>
      </c>
      <c r="Q185" s="596"/>
      <c r="S185" s="596"/>
      <c r="T185" s="615" t="s">
        <v>2677</v>
      </c>
      <c r="U185" s="615" t="s">
        <v>119</v>
      </c>
      <c r="V185" s="596"/>
      <c r="W185" s="596"/>
      <c r="X185" s="596"/>
      <c r="Y185" s="596"/>
      <c r="Z185" s="596"/>
      <c r="AA185" s="596"/>
    </row>
    <row r="186" spans="2:27" ht="12" customHeight="1">
      <c r="B186" s="761" t="s">
        <v>1333</v>
      </c>
      <c r="C186" s="761" t="s">
        <v>1878</v>
      </c>
      <c r="D186" s="761" t="s">
        <v>1879</v>
      </c>
      <c r="E186" s="762" t="s">
        <v>1880</v>
      </c>
      <c r="F186" s="762" t="s">
        <v>3658</v>
      </c>
      <c r="G186" s="763" t="s">
        <v>2689</v>
      </c>
      <c r="H186" s="764" t="s">
        <v>501</v>
      </c>
      <c r="I186" s="680"/>
      <c r="J186" s="613" t="s">
        <v>2973</v>
      </c>
      <c r="K186" s="614"/>
      <c r="L186" s="609"/>
      <c r="M186" s="610"/>
      <c r="N186" s="615" t="s">
        <v>2972</v>
      </c>
      <c r="O186" s="615" t="s">
        <v>223</v>
      </c>
      <c r="P186" s="497" t="s">
        <v>2230</v>
      </c>
      <c r="Q186" s="596"/>
      <c r="S186" s="596"/>
      <c r="T186" s="615" t="s">
        <v>3015</v>
      </c>
      <c r="U186" s="615" t="s">
        <v>115</v>
      </c>
      <c r="V186" s="596"/>
      <c r="W186" s="596"/>
      <c r="X186" s="596"/>
      <c r="Y186" s="596"/>
      <c r="Z186" s="596"/>
      <c r="AA186" s="596"/>
    </row>
    <row r="187" spans="2:27" ht="12" customHeight="1">
      <c r="B187" s="761" t="s">
        <v>1334</v>
      </c>
      <c r="C187" s="761" t="s">
        <v>1881</v>
      </c>
      <c r="D187" s="761" t="s">
        <v>1903</v>
      </c>
      <c r="E187" s="765" t="s">
        <v>1245</v>
      </c>
      <c r="F187" s="765" t="s">
        <v>3659</v>
      </c>
      <c r="G187" s="763" t="s">
        <v>3613</v>
      </c>
      <c r="H187" s="764" t="s">
        <v>502</v>
      </c>
      <c r="I187" s="681"/>
      <c r="J187" s="613" t="s">
        <v>2975</v>
      </c>
      <c r="K187" s="614"/>
      <c r="L187" s="609"/>
      <c r="M187" s="610"/>
      <c r="N187" s="615" t="s">
        <v>2974</v>
      </c>
      <c r="O187" s="615" t="s">
        <v>121</v>
      </c>
      <c r="P187" s="497" t="s">
        <v>2231</v>
      </c>
      <c r="Q187" s="596"/>
      <c r="S187" s="596"/>
      <c r="T187" s="615" t="s">
        <v>367</v>
      </c>
      <c r="U187" s="615" t="s">
        <v>119</v>
      </c>
      <c r="V187" s="596"/>
      <c r="W187" s="596"/>
      <c r="X187" s="596"/>
      <c r="Y187" s="596"/>
      <c r="Z187" s="596"/>
      <c r="AA187" s="596"/>
    </row>
    <row r="188" spans="2:27" ht="12" customHeight="1">
      <c r="B188" s="761" t="s">
        <v>1335</v>
      </c>
      <c r="C188" s="761" t="s">
        <v>1882</v>
      </c>
      <c r="D188" s="761" t="s">
        <v>1879</v>
      </c>
      <c r="E188" s="765" t="s">
        <v>1245</v>
      </c>
      <c r="F188" s="765" t="s">
        <v>3659</v>
      </c>
      <c r="G188" s="763" t="s">
        <v>3613</v>
      </c>
      <c r="H188" s="764" t="s">
        <v>502</v>
      </c>
      <c r="I188" s="681"/>
      <c r="J188" s="613" t="s">
        <v>2977</v>
      </c>
      <c r="K188" s="614"/>
      <c r="L188" s="609"/>
      <c r="M188" s="610"/>
      <c r="N188" s="615" t="s">
        <v>2976</v>
      </c>
      <c r="O188" s="615" t="s">
        <v>1885</v>
      </c>
      <c r="P188" s="497" t="s">
        <v>2232</v>
      </c>
      <c r="Q188" s="1366"/>
      <c r="S188" s="596"/>
      <c r="T188" s="596"/>
      <c r="U188" s="596"/>
      <c r="V188" s="596"/>
      <c r="W188" s="596"/>
      <c r="X188" s="596"/>
      <c r="Y188" s="596"/>
      <c r="Z188" s="596"/>
      <c r="AA188" s="596"/>
    </row>
    <row r="189" spans="2:27" ht="12" customHeight="1">
      <c r="B189" s="761" t="s">
        <v>1336</v>
      </c>
      <c r="C189" s="761" t="s">
        <v>1883</v>
      </c>
      <c r="D189" s="761" t="s">
        <v>1750</v>
      </c>
      <c r="E189" s="762" t="s">
        <v>1884</v>
      </c>
      <c r="F189" s="762" t="s">
        <v>3658</v>
      </c>
      <c r="G189" s="763" t="s">
        <v>3614</v>
      </c>
      <c r="H189" s="764" t="s">
        <v>501</v>
      </c>
      <c r="I189" s="680"/>
      <c r="J189" s="613" t="s">
        <v>2842</v>
      </c>
      <c r="K189" s="616"/>
      <c r="L189" s="609"/>
      <c r="M189" s="610"/>
      <c r="N189" s="615" t="s">
        <v>2638</v>
      </c>
      <c r="O189" s="615" t="s">
        <v>1451</v>
      </c>
      <c r="P189" s="497" t="s">
        <v>2233</v>
      </c>
      <c r="Q189" s="1366"/>
      <c r="S189" s="596"/>
      <c r="T189" s="596"/>
      <c r="U189" s="596"/>
      <c r="V189" s="596"/>
      <c r="W189" s="596"/>
      <c r="X189" s="596"/>
      <c r="Y189" s="596"/>
      <c r="Z189" s="596"/>
      <c r="AA189" s="596"/>
    </row>
    <row r="190" spans="2:27" ht="12" customHeight="1">
      <c r="B190" s="761" t="s">
        <v>1337</v>
      </c>
      <c r="C190" s="761" t="s">
        <v>1885</v>
      </c>
      <c r="D190" s="761" t="s">
        <v>1750</v>
      </c>
      <c r="E190" s="762" t="s">
        <v>1886</v>
      </c>
      <c r="F190" s="762" t="s">
        <v>3658</v>
      </c>
      <c r="G190" s="763" t="s">
        <v>3615</v>
      </c>
      <c r="H190" s="764" t="s">
        <v>501</v>
      </c>
      <c r="I190" s="680"/>
      <c r="J190" s="613" t="s">
        <v>219</v>
      </c>
      <c r="K190" s="616"/>
      <c r="L190" s="497"/>
      <c r="M190" s="610"/>
      <c r="N190" s="615" t="s">
        <v>2843</v>
      </c>
      <c r="O190" s="615" t="s">
        <v>596</v>
      </c>
      <c r="P190" s="497" t="s">
        <v>2234</v>
      </c>
      <c r="Q190" s="1366"/>
      <c r="S190" s="596"/>
      <c r="T190" s="596"/>
      <c r="U190" s="596"/>
      <c r="V190" s="596"/>
      <c r="W190" s="596"/>
      <c r="X190" s="596"/>
      <c r="Y190" s="596"/>
      <c r="Z190" s="596"/>
      <c r="AA190" s="596"/>
    </row>
    <row r="191" spans="2:27" ht="12" customHeight="1">
      <c r="B191" s="761" t="s">
        <v>1338</v>
      </c>
      <c r="C191" s="761" t="s">
        <v>1887</v>
      </c>
      <c r="D191" s="761" t="s">
        <v>1903</v>
      </c>
      <c r="E191" s="765" t="s">
        <v>1888</v>
      </c>
      <c r="F191" s="765" t="s">
        <v>3659</v>
      </c>
      <c r="G191" s="763" t="s">
        <v>3616</v>
      </c>
      <c r="H191" s="764" t="s">
        <v>502</v>
      </c>
      <c r="I191" s="681"/>
      <c r="J191" s="613" t="s">
        <v>221</v>
      </c>
      <c r="K191" s="616"/>
      <c r="L191" s="609"/>
      <c r="M191" s="610"/>
      <c r="N191" s="615" t="s">
        <v>220</v>
      </c>
      <c r="O191" s="615" t="s">
        <v>2042</v>
      </c>
      <c r="P191" s="497" t="s">
        <v>2235</v>
      </c>
      <c r="Q191" s="1366"/>
      <c r="S191" s="596"/>
      <c r="T191" s="596"/>
      <c r="U191" s="596"/>
      <c r="V191" s="596"/>
      <c r="W191" s="596"/>
      <c r="X191" s="596"/>
      <c r="Y191" s="596"/>
      <c r="Z191" s="596"/>
      <c r="AA191" s="596"/>
    </row>
    <row r="192" spans="2:27" ht="12" customHeight="1">
      <c r="B192" s="761" t="s">
        <v>1339</v>
      </c>
      <c r="C192" s="761" t="s">
        <v>1889</v>
      </c>
      <c r="D192" s="761" t="s">
        <v>1750</v>
      </c>
      <c r="E192" s="765" t="s">
        <v>1890</v>
      </c>
      <c r="F192" s="765" t="s">
        <v>3658</v>
      </c>
      <c r="G192" s="763" t="s">
        <v>3617</v>
      </c>
      <c r="H192" s="764" t="s">
        <v>501</v>
      </c>
      <c r="I192" s="681"/>
      <c r="J192" s="613" t="s">
        <v>618</v>
      </c>
      <c r="K192" s="614"/>
      <c r="L192" s="609"/>
      <c r="M192" s="610"/>
      <c r="N192" s="615" t="s">
        <v>222</v>
      </c>
      <c r="O192" s="615" t="s">
        <v>3377</v>
      </c>
      <c r="P192" s="497" t="s">
        <v>2236</v>
      </c>
      <c r="Q192" s="1366"/>
      <c r="S192" s="596"/>
      <c r="T192" s="596"/>
      <c r="U192" s="596"/>
      <c r="V192" s="596"/>
      <c r="W192" s="596"/>
      <c r="X192" s="596"/>
      <c r="Y192" s="596"/>
      <c r="Z192" s="596"/>
      <c r="AA192" s="596"/>
    </row>
    <row r="193" spans="2:27" ht="12" customHeight="1">
      <c r="B193" s="761" t="s">
        <v>1340</v>
      </c>
      <c r="C193" s="761" t="s">
        <v>1891</v>
      </c>
      <c r="D193" s="761" t="s">
        <v>1750</v>
      </c>
      <c r="E193" s="762" t="s">
        <v>12</v>
      </c>
      <c r="F193" s="762" t="s">
        <v>3659</v>
      </c>
      <c r="G193" s="763" t="s">
        <v>3618</v>
      </c>
      <c r="H193" s="764" t="s">
        <v>502</v>
      </c>
      <c r="I193" s="680"/>
      <c r="J193" s="613" t="s">
        <v>620</v>
      </c>
      <c r="K193" s="614"/>
      <c r="L193" s="609"/>
      <c r="M193" s="610"/>
      <c r="N193" s="615" t="s">
        <v>619</v>
      </c>
      <c r="O193" s="615" t="s">
        <v>2635</v>
      </c>
      <c r="P193" s="497" t="s">
        <v>2237</v>
      </c>
      <c r="Q193" s="1366"/>
      <c r="S193" s="596"/>
      <c r="T193" s="596"/>
      <c r="U193" s="596"/>
      <c r="V193" s="596"/>
      <c r="W193" s="596"/>
      <c r="X193" s="596"/>
      <c r="Y193" s="596"/>
      <c r="Z193" s="596"/>
      <c r="AA193" s="596"/>
    </row>
    <row r="194" spans="2:27" ht="12" customHeight="1">
      <c r="B194" s="761" t="s">
        <v>1341</v>
      </c>
      <c r="C194" s="761" t="s">
        <v>1892</v>
      </c>
      <c r="D194" s="761" t="s">
        <v>1750</v>
      </c>
      <c r="E194" s="762" t="s">
        <v>2544</v>
      </c>
      <c r="F194" s="762" t="s">
        <v>3659</v>
      </c>
      <c r="G194" s="763" t="s">
        <v>3619</v>
      </c>
      <c r="H194" s="764" t="s">
        <v>502</v>
      </c>
      <c r="I194" s="680"/>
      <c r="J194" s="613" t="s">
        <v>622</v>
      </c>
      <c r="K194" s="614"/>
      <c r="L194" s="609"/>
      <c r="M194" s="610"/>
      <c r="N194" s="615" t="s">
        <v>621</v>
      </c>
      <c r="O194" s="615" t="s">
        <v>1745</v>
      </c>
      <c r="P194" s="497" t="s">
        <v>2238</v>
      </c>
      <c r="Q194" s="1366"/>
      <c r="S194" s="596"/>
      <c r="T194" s="596"/>
      <c r="U194" s="596"/>
      <c r="V194" s="596"/>
      <c r="W194" s="596"/>
      <c r="X194" s="596"/>
      <c r="Y194" s="596"/>
      <c r="Z194" s="596"/>
      <c r="AA194" s="596"/>
    </row>
    <row r="195" spans="2:27" ht="12" customHeight="1">
      <c r="B195" s="761" t="s">
        <v>1342</v>
      </c>
      <c r="C195" s="761" t="s">
        <v>1893</v>
      </c>
      <c r="D195" s="761" t="s">
        <v>1750</v>
      </c>
      <c r="E195" s="765" t="s">
        <v>1894</v>
      </c>
      <c r="F195" s="765" t="s">
        <v>3659</v>
      </c>
      <c r="G195" s="763" t="s">
        <v>2049</v>
      </c>
      <c r="H195" s="764" t="s">
        <v>502</v>
      </c>
      <c r="I195" s="681"/>
      <c r="J195" s="613" t="s">
        <v>624</v>
      </c>
      <c r="K195" s="614"/>
      <c r="L195" s="609"/>
      <c r="M195" s="610"/>
      <c r="N195" s="615" t="s">
        <v>623</v>
      </c>
      <c r="O195" s="615" t="s">
        <v>223</v>
      </c>
      <c r="P195" s="497" t="s">
        <v>2239</v>
      </c>
      <c r="Q195" s="1366"/>
      <c r="S195" s="596"/>
      <c r="T195" s="596"/>
      <c r="U195" s="596"/>
      <c r="V195" s="596"/>
      <c r="W195" s="596"/>
      <c r="X195" s="596"/>
      <c r="Y195" s="596"/>
      <c r="Z195" s="596"/>
      <c r="AA195" s="596"/>
    </row>
    <row r="196" spans="2:27" ht="12" customHeight="1">
      <c r="B196" s="761" t="s">
        <v>1343</v>
      </c>
      <c r="C196" s="761" t="s">
        <v>1895</v>
      </c>
      <c r="D196" s="761" t="s">
        <v>1750</v>
      </c>
      <c r="E196" s="765" t="s">
        <v>1896</v>
      </c>
      <c r="F196" s="765" t="s">
        <v>3658</v>
      </c>
      <c r="G196" s="763" t="s">
        <v>3637</v>
      </c>
      <c r="H196" s="764" t="s">
        <v>501</v>
      </c>
      <c r="I196" s="681"/>
      <c r="J196" s="613" t="s">
        <v>3176</v>
      </c>
      <c r="K196" s="614"/>
      <c r="L196" s="609"/>
      <c r="M196" s="610"/>
      <c r="N196" s="615" t="s">
        <v>625</v>
      </c>
      <c r="O196" s="615" t="s">
        <v>131</v>
      </c>
      <c r="P196" s="497" t="s">
        <v>2240</v>
      </c>
      <c r="Q196" s="1366"/>
      <c r="S196" s="596"/>
      <c r="T196" s="596"/>
      <c r="U196" s="596"/>
      <c r="V196" s="596"/>
      <c r="W196" s="596"/>
      <c r="X196" s="596"/>
      <c r="Y196" s="596"/>
      <c r="Z196" s="596"/>
      <c r="AA196" s="596"/>
    </row>
    <row r="197" spans="2:27" ht="12" customHeight="1">
      <c r="B197" s="761" t="s">
        <v>1344</v>
      </c>
      <c r="C197" s="761" t="s">
        <v>1897</v>
      </c>
      <c r="D197" s="761" t="s">
        <v>1903</v>
      </c>
      <c r="E197" s="765" t="s">
        <v>1246</v>
      </c>
      <c r="F197" s="765" t="s">
        <v>3659</v>
      </c>
      <c r="G197" s="763" t="s">
        <v>3638</v>
      </c>
      <c r="H197" s="764" t="s">
        <v>502</v>
      </c>
      <c r="I197" s="681"/>
      <c r="J197" s="613" t="s">
        <v>3178</v>
      </c>
      <c r="K197" s="614"/>
      <c r="L197" s="609"/>
      <c r="M197" s="610"/>
      <c r="N197" s="615" t="s">
        <v>3177</v>
      </c>
      <c r="O197" s="615" t="s">
        <v>3493</v>
      </c>
      <c r="P197" s="497" t="s">
        <v>2241</v>
      </c>
      <c r="Q197" s="1366"/>
      <c r="S197" s="596"/>
      <c r="T197" s="596"/>
      <c r="U197" s="596"/>
      <c r="V197" s="596"/>
      <c r="W197" s="596"/>
      <c r="X197" s="596"/>
      <c r="Y197" s="596"/>
      <c r="Z197" s="596"/>
      <c r="AA197" s="596"/>
    </row>
    <row r="198" spans="2:27" ht="12" customHeight="1">
      <c r="B198" s="761" t="s">
        <v>1345</v>
      </c>
      <c r="C198" s="761" t="s">
        <v>1899</v>
      </c>
      <c r="D198" s="761" t="s">
        <v>1903</v>
      </c>
      <c r="E198" s="765" t="s">
        <v>1547</v>
      </c>
      <c r="F198" s="765" t="s">
        <v>3659</v>
      </c>
      <c r="G198" s="763" t="s">
        <v>1813</v>
      </c>
      <c r="H198" s="764" t="s">
        <v>502</v>
      </c>
      <c r="I198" s="681"/>
      <c r="J198" s="613" t="s">
        <v>443</v>
      </c>
      <c r="K198" s="614"/>
      <c r="L198" s="609"/>
      <c r="M198" s="610"/>
      <c r="N198" s="615" t="s">
        <v>2720</v>
      </c>
      <c r="O198" s="615" t="s">
        <v>3073</v>
      </c>
      <c r="P198" s="497" t="s">
        <v>2242</v>
      </c>
      <c r="Q198" s="1366"/>
      <c r="S198" s="596"/>
      <c r="T198" s="596"/>
      <c r="U198" s="596"/>
      <c r="V198" s="596"/>
      <c r="W198" s="596"/>
      <c r="X198" s="596"/>
      <c r="Y198" s="596"/>
      <c r="Z198" s="596"/>
      <c r="AA198" s="596"/>
    </row>
    <row r="199" spans="2:27" ht="12" customHeight="1">
      <c r="B199" s="761" t="s">
        <v>1346</v>
      </c>
      <c r="C199" s="761" t="s">
        <v>1900</v>
      </c>
      <c r="D199" s="761" t="s">
        <v>1750</v>
      </c>
      <c r="E199" s="762" t="s">
        <v>1901</v>
      </c>
      <c r="F199" s="762" t="s">
        <v>3658</v>
      </c>
      <c r="G199" s="763" t="s">
        <v>1814</v>
      </c>
      <c r="H199" s="764" t="s">
        <v>501</v>
      </c>
      <c r="I199" s="680"/>
      <c r="J199" s="613" t="s">
        <v>445</v>
      </c>
      <c r="K199" s="614"/>
      <c r="L199" s="609"/>
      <c r="M199" s="610"/>
      <c r="N199" s="615" t="s">
        <v>444</v>
      </c>
      <c r="O199" s="615" t="s">
        <v>3073</v>
      </c>
      <c r="P199" s="497" t="s">
        <v>2243</v>
      </c>
      <c r="Q199" s="1366"/>
      <c r="S199" s="596"/>
      <c r="T199" s="596"/>
      <c r="U199" s="596"/>
      <c r="V199" s="596"/>
      <c r="W199" s="596"/>
      <c r="X199" s="596"/>
      <c r="Y199" s="596"/>
      <c r="Z199" s="596"/>
      <c r="AA199" s="596"/>
    </row>
    <row r="200" spans="2:27" ht="12" customHeight="1">
      <c r="B200" s="761" t="s">
        <v>1347</v>
      </c>
      <c r="C200" s="761" t="s">
        <v>1902</v>
      </c>
      <c r="D200" s="761" t="s">
        <v>1750</v>
      </c>
      <c r="E200" s="765" t="s">
        <v>1127</v>
      </c>
      <c r="F200" s="765" t="s">
        <v>3658</v>
      </c>
      <c r="G200" s="763" t="s">
        <v>1815</v>
      </c>
      <c r="H200" s="764" t="s">
        <v>501</v>
      </c>
      <c r="I200" s="681"/>
      <c r="J200" s="613" t="s">
        <v>3571</v>
      </c>
      <c r="K200" s="614"/>
      <c r="L200" s="609"/>
      <c r="M200" s="610"/>
      <c r="N200" s="615" t="s">
        <v>3572</v>
      </c>
      <c r="O200" s="615" t="s">
        <v>3549</v>
      </c>
      <c r="P200" s="497" t="s">
        <v>2244</v>
      </c>
      <c r="Q200" s="1366"/>
      <c r="S200" s="596"/>
      <c r="T200" s="596"/>
      <c r="U200" s="596"/>
      <c r="V200" s="596"/>
      <c r="W200" s="596"/>
      <c r="X200" s="596"/>
      <c r="Y200" s="596"/>
      <c r="Z200" s="596"/>
      <c r="AA200" s="596"/>
    </row>
    <row r="201" spans="2:27" ht="12" customHeight="1">
      <c r="B201" s="761" t="s">
        <v>1348</v>
      </c>
      <c r="C201" s="761" t="s">
        <v>1128</v>
      </c>
      <c r="D201" s="761" t="s">
        <v>1750</v>
      </c>
      <c r="E201" s="762" t="s">
        <v>1129</v>
      </c>
      <c r="F201" s="762" t="s">
        <v>3658</v>
      </c>
      <c r="G201" s="763" t="s">
        <v>2559</v>
      </c>
      <c r="H201" s="764" t="s">
        <v>501</v>
      </c>
      <c r="I201" s="680"/>
      <c r="J201" s="613" t="s">
        <v>3573</v>
      </c>
      <c r="K201" s="614"/>
      <c r="L201" s="609"/>
      <c r="M201" s="610"/>
      <c r="N201" s="615" t="s">
        <v>3574</v>
      </c>
      <c r="O201" s="615" t="s">
        <v>1611</v>
      </c>
      <c r="P201" s="497" t="s">
        <v>2245</v>
      </c>
      <c r="Q201" s="1366"/>
      <c r="S201" s="596"/>
      <c r="T201" s="596"/>
      <c r="U201" s="596"/>
      <c r="V201" s="596"/>
      <c r="W201" s="596"/>
      <c r="X201" s="596"/>
      <c r="Y201" s="596"/>
      <c r="Z201" s="596"/>
      <c r="AA201" s="596"/>
    </row>
    <row r="202" spans="2:27" ht="12" customHeight="1">
      <c r="B202" s="761" t="s">
        <v>1349</v>
      </c>
      <c r="C202" s="761" t="s">
        <v>1130</v>
      </c>
      <c r="D202" s="761" t="s">
        <v>1903</v>
      </c>
      <c r="E202" s="765" t="s">
        <v>1245</v>
      </c>
      <c r="F202" s="765" t="s">
        <v>3659</v>
      </c>
      <c r="G202" s="763" t="s">
        <v>3613</v>
      </c>
      <c r="H202" s="764" t="s">
        <v>502</v>
      </c>
      <c r="I202" s="681"/>
      <c r="J202" s="613" t="s">
        <v>3575</v>
      </c>
      <c r="K202" s="614"/>
      <c r="L202" s="609"/>
      <c r="M202" s="610"/>
      <c r="N202" s="615" t="s">
        <v>3576</v>
      </c>
      <c r="O202" s="615" t="s">
        <v>393</v>
      </c>
      <c r="P202" s="497" t="s">
        <v>2246</v>
      </c>
      <c r="Q202" s="1366"/>
      <c r="S202" s="596"/>
      <c r="T202" s="596"/>
      <c r="U202" s="596"/>
      <c r="V202" s="596"/>
      <c r="W202" s="596"/>
      <c r="X202" s="596"/>
      <c r="Y202" s="596"/>
      <c r="Z202" s="596"/>
      <c r="AA202" s="596"/>
    </row>
    <row r="203" spans="2:27" ht="12" customHeight="1">
      <c r="B203" s="761" t="s">
        <v>1350</v>
      </c>
      <c r="C203" s="761" t="s">
        <v>2122</v>
      </c>
      <c r="D203" s="761" t="s">
        <v>1879</v>
      </c>
      <c r="E203" s="765" t="s">
        <v>2123</v>
      </c>
      <c r="F203" s="765" t="s">
        <v>3659</v>
      </c>
      <c r="G203" s="763" t="s">
        <v>2528</v>
      </c>
      <c r="H203" s="764" t="s">
        <v>502</v>
      </c>
      <c r="I203" s="681"/>
      <c r="J203" s="613" t="s">
        <v>3577</v>
      </c>
      <c r="K203" s="614"/>
      <c r="L203" s="609"/>
      <c r="M203" s="610"/>
      <c r="N203" s="615" t="s">
        <v>3578</v>
      </c>
      <c r="O203" s="615" t="s">
        <v>3490</v>
      </c>
      <c r="P203" s="497" t="s">
        <v>2247</v>
      </c>
      <c r="Q203" s="1366"/>
      <c r="S203" s="596"/>
      <c r="T203" s="596"/>
      <c r="U203" s="596"/>
      <c r="V203" s="596"/>
      <c r="W203" s="596"/>
      <c r="X203" s="596"/>
      <c r="Y203" s="596"/>
      <c r="Z203" s="596"/>
      <c r="AA203" s="596"/>
    </row>
    <row r="204" spans="2:27" ht="12" customHeight="1">
      <c r="B204" s="761" t="s">
        <v>1351</v>
      </c>
      <c r="C204" s="761" t="s">
        <v>195</v>
      </c>
      <c r="D204" s="761" t="s">
        <v>1750</v>
      </c>
      <c r="E204" s="762" t="s">
        <v>196</v>
      </c>
      <c r="F204" s="762" t="s">
        <v>3658</v>
      </c>
      <c r="G204" s="763" t="s">
        <v>2529</v>
      </c>
      <c r="H204" s="764" t="s">
        <v>501</v>
      </c>
      <c r="I204" s="680"/>
      <c r="J204" s="613" t="s">
        <v>3579</v>
      </c>
      <c r="K204" s="614"/>
      <c r="L204" s="609"/>
      <c r="M204" s="610"/>
      <c r="N204" s="615" t="s">
        <v>3580</v>
      </c>
      <c r="O204" s="615" t="s">
        <v>1900</v>
      </c>
      <c r="P204" s="497" t="s">
        <v>2248</v>
      </c>
      <c r="Q204" s="1366"/>
      <c r="S204" s="596"/>
      <c r="T204" s="596"/>
      <c r="U204" s="596"/>
      <c r="V204" s="596"/>
      <c r="W204" s="596"/>
      <c r="X204" s="596"/>
      <c r="Y204" s="596"/>
      <c r="Z204" s="596"/>
      <c r="AA204" s="596"/>
    </row>
    <row r="205" spans="2:27" ht="12" customHeight="1">
      <c r="B205" s="761" t="s">
        <v>1352</v>
      </c>
      <c r="C205" s="761" t="s">
        <v>197</v>
      </c>
      <c r="D205" s="761" t="s">
        <v>1750</v>
      </c>
      <c r="E205" s="765" t="s">
        <v>1894</v>
      </c>
      <c r="F205" s="765" t="s">
        <v>3659</v>
      </c>
      <c r="G205" s="763" t="s">
        <v>2049</v>
      </c>
      <c r="H205" s="764" t="s">
        <v>502</v>
      </c>
      <c r="I205" s="681"/>
      <c r="J205" s="613" t="s">
        <v>3581</v>
      </c>
      <c r="K205" s="614"/>
      <c r="L205" s="609"/>
      <c r="M205" s="610"/>
      <c r="N205" s="615" t="s">
        <v>3583</v>
      </c>
      <c r="O205" s="615" t="s">
        <v>3630</v>
      </c>
      <c r="P205" s="497" t="s">
        <v>2249</v>
      </c>
      <c r="Q205" s="1366"/>
      <c r="S205" s="596"/>
      <c r="T205" s="596"/>
      <c r="U205" s="596"/>
      <c r="V205" s="596"/>
      <c r="W205" s="596"/>
      <c r="X205" s="596"/>
      <c r="Y205" s="596"/>
      <c r="Z205" s="596"/>
      <c r="AA205" s="596"/>
    </row>
    <row r="206" spans="2:27" ht="12" customHeight="1">
      <c r="B206" s="761" t="s">
        <v>1910</v>
      </c>
      <c r="C206" s="761" t="s">
        <v>198</v>
      </c>
      <c r="D206" s="761" t="s">
        <v>1903</v>
      </c>
      <c r="E206" s="765" t="s">
        <v>199</v>
      </c>
      <c r="F206" s="765" t="s">
        <v>3659</v>
      </c>
      <c r="G206" s="763" t="s">
        <v>2530</v>
      </c>
      <c r="H206" s="764" t="s">
        <v>502</v>
      </c>
      <c r="I206" s="681"/>
      <c r="J206" s="613" t="s">
        <v>3582</v>
      </c>
      <c r="K206" s="614"/>
      <c r="L206" s="609"/>
      <c r="M206" s="610"/>
      <c r="N206" s="615" t="s">
        <v>3585</v>
      </c>
      <c r="O206" s="615" t="s">
        <v>2795</v>
      </c>
      <c r="P206" s="497" t="s">
        <v>2250</v>
      </c>
      <c r="Q206" s="1366"/>
      <c r="S206" s="596"/>
      <c r="T206" s="596"/>
      <c r="U206" s="596"/>
      <c r="V206" s="596"/>
      <c r="W206" s="596"/>
      <c r="X206" s="596"/>
      <c r="Y206" s="596"/>
      <c r="Z206" s="596"/>
      <c r="AA206" s="596"/>
    </row>
    <row r="207" spans="2:27" ht="12" customHeight="1">
      <c r="B207" s="761" t="s">
        <v>1911</v>
      </c>
      <c r="C207" s="761" t="s">
        <v>200</v>
      </c>
      <c r="D207" s="761" t="s">
        <v>1879</v>
      </c>
      <c r="E207" s="762" t="s">
        <v>201</v>
      </c>
      <c r="F207" s="762" t="s">
        <v>3658</v>
      </c>
      <c r="G207" s="763" t="s">
        <v>2531</v>
      </c>
      <c r="H207" s="764" t="s">
        <v>501</v>
      </c>
      <c r="I207" s="680"/>
      <c r="J207" s="613" t="s">
        <v>3584</v>
      </c>
      <c r="K207" s="614"/>
      <c r="L207" s="609"/>
      <c r="M207" s="610"/>
      <c r="N207" s="615" t="s">
        <v>204</v>
      </c>
      <c r="O207" s="615" t="s">
        <v>203</v>
      </c>
      <c r="P207" s="1367" t="s">
        <v>1312</v>
      </c>
      <c r="Q207" s="596"/>
      <c r="S207" s="596"/>
      <c r="T207" s="596"/>
      <c r="U207" s="596"/>
      <c r="V207" s="596"/>
      <c r="W207" s="596"/>
      <c r="X207" s="596"/>
      <c r="Y207" s="596"/>
      <c r="Z207" s="596"/>
      <c r="AA207" s="596"/>
    </row>
    <row r="208" spans="2:27" ht="12" customHeight="1">
      <c r="B208" s="761" t="s">
        <v>1912</v>
      </c>
      <c r="C208" s="761" t="s">
        <v>202</v>
      </c>
      <c r="D208" s="761" t="s">
        <v>1879</v>
      </c>
      <c r="E208" s="765" t="s">
        <v>1245</v>
      </c>
      <c r="F208" s="765" t="s">
        <v>3659</v>
      </c>
      <c r="G208" s="763" t="s">
        <v>3613</v>
      </c>
      <c r="H208" s="764" t="s">
        <v>502</v>
      </c>
      <c r="I208" s="681"/>
      <c r="J208" s="613" t="s">
        <v>495</v>
      </c>
      <c r="K208" s="614"/>
      <c r="L208" s="609"/>
      <c r="M208" s="610"/>
      <c r="N208" s="615" t="s">
        <v>1744</v>
      </c>
      <c r="O208" s="615" t="s">
        <v>1745</v>
      </c>
      <c r="P208" s="497" t="s">
        <v>2251</v>
      </c>
      <c r="Q208" s="1366"/>
      <c r="S208" s="596"/>
      <c r="T208" s="596"/>
      <c r="U208" s="596"/>
      <c r="V208" s="596"/>
      <c r="W208" s="596"/>
      <c r="X208" s="596"/>
      <c r="Y208" s="596"/>
      <c r="Z208" s="596"/>
      <c r="AA208" s="596"/>
    </row>
    <row r="209" spans="2:27" ht="12" customHeight="1">
      <c r="B209" s="761" t="s">
        <v>1913</v>
      </c>
      <c r="C209" s="761" t="s">
        <v>203</v>
      </c>
      <c r="D209" s="761" t="s">
        <v>1903</v>
      </c>
      <c r="E209" s="762" t="s">
        <v>2929</v>
      </c>
      <c r="F209" s="762" t="s">
        <v>3659</v>
      </c>
      <c r="G209" s="763" t="s">
        <v>880</v>
      </c>
      <c r="H209" s="764" t="s">
        <v>502</v>
      </c>
      <c r="I209" s="680"/>
      <c r="J209" s="613" t="s">
        <v>496</v>
      </c>
      <c r="K209" s="614"/>
      <c r="L209" s="497"/>
      <c r="M209" s="610"/>
      <c r="N209" s="615" t="s">
        <v>1263</v>
      </c>
      <c r="O209" s="615" t="s">
        <v>236</v>
      </c>
      <c r="P209" s="497" t="s">
        <v>2252</v>
      </c>
      <c r="Q209" s="1366"/>
      <c r="S209" s="596"/>
      <c r="T209" s="596"/>
      <c r="U209" s="596"/>
      <c r="V209" s="596"/>
      <c r="W209" s="596"/>
      <c r="X209" s="596"/>
      <c r="Y209" s="596"/>
      <c r="Z209" s="596"/>
      <c r="AA209" s="596"/>
    </row>
    <row r="210" spans="2:27" ht="12" customHeight="1">
      <c r="B210" s="761" t="s">
        <v>1914</v>
      </c>
      <c r="C210" s="761" t="s">
        <v>3487</v>
      </c>
      <c r="D210" s="761" t="s">
        <v>1750</v>
      </c>
      <c r="E210" s="762" t="s">
        <v>3488</v>
      </c>
      <c r="F210" s="762" t="s">
        <v>3658</v>
      </c>
      <c r="G210" s="763" t="s">
        <v>881</v>
      </c>
      <c r="H210" s="764" t="s">
        <v>501</v>
      </c>
      <c r="I210" s="680"/>
      <c r="J210" s="613" t="s">
        <v>1262</v>
      </c>
      <c r="K210" s="616"/>
      <c r="L210" s="609"/>
      <c r="M210" s="610"/>
      <c r="N210" s="615" t="s">
        <v>2960</v>
      </c>
      <c r="O210" s="615" t="s">
        <v>1881</v>
      </c>
      <c r="P210" s="497" t="s">
        <v>2253</v>
      </c>
      <c r="Q210" s="1366"/>
      <c r="S210" s="596"/>
      <c r="T210" s="596"/>
      <c r="U210" s="596"/>
      <c r="V210" s="596"/>
      <c r="W210" s="596"/>
      <c r="X210" s="596"/>
      <c r="Y210" s="596"/>
      <c r="Z210" s="596"/>
      <c r="AA210" s="596"/>
    </row>
    <row r="211" spans="2:27" ht="12" customHeight="1">
      <c r="B211" s="761" t="s">
        <v>1915</v>
      </c>
      <c r="C211" s="761" t="s">
        <v>3489</v>
      </c>
      <c r="D211" s="761" t="s">
        <v>1903</v>
      </c>
      <c r="E211" s="765" t="s">
        <v>1245</v>
      </c>
      <c r="F211" s="765" t="s">
        <v>3659</v>
      </c>
      <c r="G211" s="763" t="s">
        <v>3613</v>
      </c>
      <c r="H211" s="764" t="s">
        <v>502</v>
      </c>
      <c r="I211" s="681"/>
      <c r="J211" s="613" t="s">
        <v>1264</v>
      </c>
      <c r="K211" s="616"/>
      <c r="L211" s="609"/>
      <c r="M211" s="610"/>
      <c r="N211" s="615" t="s">
        <v>1898</v>
      </c>
      <c r="O211" s="615" t="s">
        <v>1623</v>
      </c>
      <c r="P211" s="1367" t="s">
        <v>1312</v>
      </c>
      <c r="Q211" s="596"/>
      <c r="S211" s="596"/>
      <c r="T211" s="596"/>
      <c r="U211" s="596"/>
      <c r="V211" s="596"/>
      <c r="W211" s="596"/>
      <c r="X211" s="596"/>
      <c r="Y211" s="596"/>
      <c r="Z211" s="596"/>
      <c r="AA211" s="596"/>
    </row>
    <row r="212" spans="2:27" ht="12" customHeight="1">
      <c r="B212" s="761" t="s">
        <v>1916</v>
      </c>
      <c r="C212" s="761" t="s">
        <v>3490</v>
      </c>
      <c r="D212" s="761" t="s">
        <v>1750</v>
      </c>
      <c r="E212" s="762" t="s">
        <v>3491</v>
      </c>
      <c r="F212" s="762" t="s">
        <v>3658</v>
      </c>
      <c r="G212" s="763" t="s">
        <v>882</v>
      </c>
      <c r="H212" s="764" t="s">
        <v>501</v>
      </c>
      <c r="I212" s="680"/>
      <c r="J212" s="613" t="s">
        <v>2961</v>
      </c>
      <c r="K212" s="616"/>
      <c r="L212" s="609"/>
      <c r="M212" s="610"/>
      <c r="N212" s="615" t="s">
        <v>2963</v>
      </c>
      <c r="O212" s="615" t="s">
        <v>3492</v>
      </c>
      <c r="P212" s="497" t="s">
        <v>2254</v>
      </c>
      <c r="Q212" s="1366"/>
      <c r="S212" s="596"/>
      <c r="T212" s="596"/>
      <c r="U212" s="596"/>
      <c r="V212" s="596"/>
      <c r="W212" s="596"/>
      <c r="X212" s="596"/>
      <c r="Y212" s="596"/>
      <c r="Z212" s="596"/>
      <c r="AA212" s="596"/>
    </row>
    <row r="213" spans="2:27" ht="12" customHeight="1">
      <c r="B213" s="761" t="s">
        <v>1917</v>
      </c>
      <c r="C213" s="761" t="s">
        <v>3492</v>
      </c>
      <c r="D213" s="761" t="s">
        <v>1879</v>
      </c>
      <c r="E213" s="765" t="s">
        <v>1245</v>
      </c>
      <c r="F213" s="765" t="s">
        <v>3659</v>
      </c>
      <c r="G213" s="763" t="s">
        <v>3613</v>
      </c>
      <c r="H213" s="764" t="s">
        <v>502</v>
      </c>
      <c r="I213" s="681"/>
      <c r="J213" s="613" t="s">
        <v>2962</v>
      </c>
      <c r="K213" s="616"/>
      <c r="L213" s="609"/>
      <c r="M213" s="610"/>
      <c r="N213" s="615" t="s">
        <v>2880</v>
      </c>
      <c r="O213" s="615" t="s">
        <v>3069</v>
      </c>
      <c r="P213" s="497" t="s">
        <v>2255</v>
      </c>
      <c r="Q213" s="1366"/>
      <c r="S213" s="596"/>
      <c r="T213" s="596"/>
      <c r="U213" s="596"/>
      <c r="V213" s="596"/>
      <c r="W213" s="596"/>
      <c r="X213" s="596"/>
      <c r="Y213" s="596"/>
      <c r="Z213" s="596"/>
      <c r="AA213" s="596"/>
    </row>
    <row r="214" spans="2:27" ht="12" customHeight="1">
      <c r="B214" s="761" t="s">
        <v>1918</v>
      </c>
      <c r="C214" s="761" t="s">
        <v>3493</v>
      </c>
      <c r="D214" s="761" t="s">
        <v>1750</v>
      </c>
      <c r="E214" s="762" t="s">
        <v>3494</v>
      </c>
      <c r="F214" s="762" t="s">
        <v>3658</v>
      </c>
      <c r="G214" s="763" t="s">
        <v>883</v>
      </c>
      <c r="H214" s="764" t="s">
        <v>501</v>
      </c>
      <c r="I214" s="680"/>
      <c r="J214" s="613" t="s">
        <v>2964</v>
      </c>
      <c r="K214" s="616"/>
      <c r="L214" s="609"/>
      <c r="M214" s="610"/>
      <c r="N214" s="615" t="s">
        <v>2965</v>
      </c>
      <c r="O214" s="615" t="s">
        <v>398</v>
      </c>
      <c r="P214" s="497" t="s">
        <v>2256</v>
      </c>
      <c r="Q214" s="1366"/>
      <c r="S214" s="596"/>
      <c r="T214" s="596"/>
      <c r="U214" s="596"/>
      <c r="V214" s="596"/>
      <c r="W214" s="596"/>
      <c r="X214" s="596"/>
      <c r="Y214" s="596"/>
      <c r="Z214" s="596"/>
      <c r="AA214" s="596"/>
    </row>
    <row r="215" spans="2:27" ht="12" customHeight="1">
      <c r="B215" s="761" t="s">
        <v>1919</v>
      </c>
      <c r="C215" s="761" t="s">
        <v>3495</v>
      </c>
      <c r="D215" s="761" t="s">
        <v>1750</v>
      </c>
      <c r="E215" s="762" t="s">
        <v>3543</v>
      </c>
      <c r="F215" s="762" t="s">
        <v>3658</v>
      </c>
      <c r="G215" s="763" t="s">
        <v>884</v>
      </c>
      <c r="H215" s="764" t="s">
        <v>501</v>
      </c>
      <c r="I215" s="680"/>
      <c r="J215" s="613" t="s">
        <v>2996</v>
      </c>
      <c r="K215" s="616"/>
      <c r="L215" s="609"/>
      <c r="M215" s="610"/>
      <c r="N215" s="615" t="s">
        <v>2997</v>
      </c>
      <c r="O215" s="615" t="s">
        <v>888</v>
      </c>
      <c r="P215" s="497" t="s">
        <v>2257</v>
      </c>
      <c r="Q215" s="1366"/>
      <c r="S215" s="596"/>
      <c r="T215" s="596"/>
      <c r="U215" s="596"/>
      <c r="V215" s="596"/>
      <c r="W215" s="596"/>
      <c r="X215" s="596"/>
      <c r="Y215" s="596"/>
      <c r="Z215" s="596"/>
      <c r="AA215" s="596"/>
    </row>
    <row r="216" spans="2:27" ht="12" customHeight="1">
      <c r="B216" s="761" t="s">
        <v>1920</v>
      </c>
      <c r="C216" s="761" t="s">
        <v>3544</v>
      </c>
      <c r="D216" s="761" t="s">
        <v>1903</v>
      </c>
      <c r="E216" s="765" t="s">
        <v>1246</v>
      </c>
      <c r="F216" s="765" t="s">
        <v>3659</v>
      </c>
      <c r="G216" s="763" t="s">
        <v>3638</v>
      </c>
      <c r="H216" s="764" t="s">
        <v>502</v>
      </c>
      <c r="I216" s="681"/>
      <c r="J216" s="613" t="s">
        <v>2998</v>
      </c>
      <c r="K216" s="616"/>
      <c r="L216" s="609"/>
      <c r="M216" s="610"/>
      <c r="N216" s="615" t="s">
        <v>2999</v>
      </c>
      <c r="O216" s="615" t="s">
        <v>2385</v>
      </c>
      <c r="P216" s="497" t="s">
        <v>2258</v>
      </c>
      <c r="Q216" s="1366"/>
      <c r="S216" s="596"/>
      <c r="T216" s="596"/>
      <c r="U216" s="596"/>
      <c r="V216" s="596"/>
      <c r="W216" s="596"/>
      <c r="X216" s="596"/>
      <c r="Y216" s="596"/>
      <c r="Z216" s="596"/>
      <c r="AA216" s="596"/>
    </row>
    <row r="217" spans="2:27" ht="12" customHeight="1">
      <c r="B217" s="761" t="s">
        <v>1921</v>
      </c>
      <c r="C217" s="761" t="s">
        <v>3545</v>
      </c>
      <c r="D217" s="761" t="s">
        <v>1750</v>
      </c>
      <c r="E217" s="762" t="s">
        <v>3546</v>
      </c>
      <c r="F217" s="762" t="s">
        <v>3658</v>
      </c>
      <c r="G217" s="763" t="s">
        <v>885</v>
      </c>
      <c r="H217" s="764" t="s">
        <v>501</v>
      </c>
      <c r="I217" s="680"/>
      <c r="J217" s="613" t="s">
        <v>3000</v>
      </c>
      <c r="K217" s="616"/>
      <c r="L217" s="609"/>
      <c r="M217" s="610"/>
      <c r="N217" s="615" t="s">
        <v>3001</v>
      </c>
      <c r="O217" s="615" t="s">
        <v>236</v>
      </c>
      <c r="P217" s="497" t="s">
        <v>2259</v>
      </c>
      <c r="Q217" s="1366"/>
      <c r="S217" s="596"/>
      <c r="T217" s="596"/>
      <c r="U217" s="596"/>
      <c r="V217" s="596"/>
      <c r="W217" s="596"/>
      <c r="X217" s="596"/>
      <c r="Y217" s="596"/>
      <c r="Z217" s="596"/>
      <c r="AA217" s="596"/>
    </row>
    <row r="218" spans="2:27" ht="12" customHeight="1">
      <c r="B218" s="761" t="s">
        <v>1922</v>
      </c>
      <c r="C218" s="761" t="s">
        <v>3547</v>
      </c>
      <c r="D218" s="761" t="s">
        <v>1903</v>
      </c>
      <c r="E218" s="765" t="s">
        <v>1245</v>
      </c>
      <c r="F218" s="765" t="s">
        <v>3659</v>
      </c>
      <c r="G218" s="763" t="s">
        <v>3613</v>
      </c>
      <c r="H218" s="764" t="s">
        <v>502</v>
      </c>
      <c r="I218" s="681"/>
      <c r="J218" s="613" t="s">
        <v>3002</v>
      </c>
      <c r="K218" s="616"/>
      <c r="L218" s="609"/>
      <c r="M218" s="610"/>
      <c r="N218" s="615" t="s">
        <v>2639</v>
      </c>
      <c r="O218" s="615" t="s">
        <v>131</v>
      </c>
      <c r="P218" s="497" t="s">
        <v>2260</v>
      </c>
      <c r="Q218" s="1366"/>
      <c r="S218" s="596"/>
      <c r="T218" s="596"/>
      <c r="U218" s="596"/>
      <c r="V218" s="596"/>
      <c r="W218" s="596"/>
      <c r="X218" s="596"/>
      <c r="Y218" s="596"/>
      <c r="Z218" s="596"/>
      <c r="AA218" s="596"/>
    </row>
    <row r="219" spans="2:27" ht="12" customHeight="1">
      <c r="B219" s="761" t="s">
        <v>1923</v>
      </c>
      <c r="C219" s="761" t="s">
        <v>3548</v>
      </c>
      <c r="D219" s="761" t="s">
        <v>1903</v>
      </c>
      <c r="E219" s="765" t="s">
        <v>1888</v>
      </c>
      <c r="F219" s="765" t="s">
        <v>3659</v>
      </c>
      <c r="G219" s="763" t="s">
        <v>3616</v>
      </c>
      <c r="H219" s="764" t="s">
        <v>502</v>
      </c>
      <c r="I219" s="681"/>
      <c r="J219" s="613" t="s">
        <v>3565</v>
      </c>
      <c r="K219" s="616"/>
      <c r="L219" s="609"/>
      <c r="M219" s="610"/>
      <c r="N219" s="615" t="s">
        <v>3566</v>
      </c>
      <c r="O219" s="615" t="s">
        <v>202</v>
      </c>
      <c r="P219" s="497" t="s">
        <v>2261</v>
      </c>
      <c r="Q219" s="1366"/>
      <c r="S219" s="596"/>
      <c r="T219" s="596"/>
      <c r="U219" s="596"/>
      <c r="V219" s="596"/>
      <c r="W219" s="596"/>
      <c r="X219" s="596"/>
      <c r="Y219" s="596"/>
      <c r="Z219" s="596"/>
      <c r="AA219" s="596"/>
    </row>
    <row r="220" spans="2:27" ht="12" customHeight="1">
      <c r="B220" s="761" t="s">
        <v>1924</v>
      </c>
      <c r="C220" s="761" t="s">
        <v>3549</v>
      </c>
      <c r="D220" s="761" t="s">
        <v>1750</v>
      </c>
      <c r="E220" s="762" t="s">
        <v>233</v>
      </c>
      <c r="F220" s="762" t="s">
        <v>3658</v>
      </c>
      <c r="G220" s="763" t="s">
        <v>886</v>
      </c>
      <c r="H220" s="764" t="s">
        <v>501</v>
      </c>
      <c r="I220" s="680"/>
      <c r="J220" s="613" t="s">
        <v>1508</v>
      </c>
      <c r="K220" s="616"/>
      <c r="L220" s="609"/>
      <c r="M220" s="610"/>
      <c r="N220" s="615" t="s">
        <v>1509</v>
      </c>
      <c r="O220" s="615" t="s">
        <v>596</v>
      </c>
      <c r="P220" s="497" t="s">
        <v>2262</v>
      </c>
      <c r="Q220" s="1366"/>
      <c r="S220" s="596"/>
      <c r="T220" s="596"/>
      <c r="U220" s="596"/>
      <c r="V220" s="596"/>
      <c r="W220" s="596"/>
      <c r="X220" s="596"/>
      <c r="Y220" s="596"/>
      <c r="Z220" s="596"/>
      <c r="AA220" s="596"/>
    </row>
    <row r="221" spans="2:27" ht="12" customHeight="1">
      <c r="B221" s="761" t="s">
        <v>1925</v>
      </c>
      <c r="C221" s="761" t="s">
        <v>234</v>
      </c>
      <c r="D221" s="761" t="s">
        <v>1879</v>
      </c>
      <c r="E221" s="765" t="s">
        <v>2123</v>
      </c>
      <c r="F221" s="765" t="s">
        <v>3659</v>
      </c>
      <c r="G221" s="763" t="s">
        <v>2528</v>
      </c>
      <c r="H221" s="764" t="s">
        <v>502</v>
      </c>
      <c r="I221" s="681"/>
      <c r="J221" s="613" t="s">
        <v>2884</v>
      </c>
      <c r="K221" s="616"/>
      <c r="L221" s="609"/>
      <c r="M221" s="610"/>
      <c r="N221" s="615" t="s">
        <v>1882</v>
      </c>
      <c r="O221" s="615" t="s">
        <v>398</v>
      </c>
      <c r="P221" s="497" t="s">
        <v>2263</v>
      </c>
      <c r="Q221" s="1366"/>
      <c r="S221" s="596"/>
      <c r="T221" s="596"/>
      <c r="U221" s="596"/>
      <c r="V221" s="596"/>
      <c r="W221" s="596"/>
      <c r="X221" s="596"/>
      <c r="Y221" s="596"/>
      <c r="Z221" s="596"/>
      <c r="AA221" s="596"/>
    </row>
    <row r="222" spans="2:27" ht="12" customHeight="1">
      <c r="B222" s="761" t="s">
        <v>1926</v>
      </c>
      <c r="C222" s="761" t="s">
        <v>235</v>
      </c>
      <c r="D222" s="761" t="s">
        <v>1879</v>
      </c>
      <c r="E222" s="765" t="s">
        <v>1245</v>
      </c>
      <c r="F222" s="765" t="s">
        <v>3659</v>
      </c>
      <c r="G222" s="763" t="s">
        <v>3613</v>
      </c>
      <c r="H222" s="764" t="s">
        <v>502</v>
      </c>
      <c r="I222" s="681"/>
      <c r="J222" s="613" t="s">
        <v>16</v>
      </c>
      <c r="K222" s="616"/>
      <c r="L222" s="609"/>
      <c r="M222" s="610"/>
      <c r="N222" s="615" t="s">
        <v>17</v>
      </c>
      <c r="O222" s="615" t="s">
        <v>2501</v>
      </c>
      <c r="P222" s="497" t="s">
        <v>2264</v>
      </c>
      <c r="Q222" s="1366"/>
      <c r="S222" s="596"/>
      <c r="T222" s="596"/>
      <c r="U222" s="596"/>
      <c r="V222" s="596"/>
      <c r="W222" s="596"/>
      <c r="X222" s="596"/>
      <c r="Y222" s="596"/>
      <c r="Z222" s="596"/>
      <c r="AA222" s="596"/>
    </row>
    <row r="223" spans="2:27" ht="12" customHeight="1">
      <c r="B223" s="761" t="s">
        <v>1927</v>
      </c>
      <c r="C223" s="761" t="s">
        <v>236</v>
      </c>
      <c r="D223" s="761" t="s">
        <v>1750</v>
      </c>
      <c r="E223" s="762" t="s">
        <v>237</v>
      </c>
      <c r="F223" s="762" t="s">
        <v>3658</v>
      </c>
      <c r="G223" s="763" t="s">
        <v>887</v>
      </c>
      <c r="H223" s="764" t="s">
        <v>501</v>
      </c>
      <c r="I223" s="680"/>
      <c r="J223" s="613" t="s">
        <v>3148</v>
      </c>
      <c r="K223" s="616"/>
      <c r="L223" s="609"/>
      <c r="M223" s="610"/>
      <c r="N223" s="615" t="s">
        <v>3149</v>
      </c>
      <c r="O223" s="615" t="s">
        <v>1749</v>
      </c>
      <c r="P223" s="497" t="s">
        <v>2265</v>
      </c>
      <c r="Q223" s="1366"/>
      <c r="S223" s="596"/>
      <c r="T223" s="596"/>
      <c r="U223" s="596"/>
      <c r="V223" s="596"/>
      <c r="W223" s="596"/>
      <c r="X223" s="596"/>
      <c r="Y223" s="596"/>
      <c r="Z223" s="596"/>
      <c r="AA223" s="596"/>
    </row>
    <row r="224" spans="2:27" ht="12" customHeight="1">
      <c r="B224" s="761" t="s">
        <v>1928</v>
      </c>
      <c r="C224" s="761" t="s">
        <v>238</v>
      </c>
      <c r="D224" s="761" t="s">
        <v>1903</v>
      </c>
      <c r="E224" s="765" t="s">
        <v>1245</v>
      </c>
      <c r="F224" s="765" t="s">
        <v>3659</v>
      </c>
      <c r="G224" s="763" t="s">
        <v>3613</v>
      </c>
      <c r="H224" s="764" t="s">
        <v>502</v>
      </c>
      <c r="I224" s="681"/>
      <c r="J224" s="613" t="s">
        <v>3150</v>
      </c>
      <c r="K224" s="616"/>
      <c r="L224" s="609"/>
      <c r="M224" s="610"/>
      <c r="N224" s="615" t="s">
        <v>3151</v>
      </c>
      <c r="O224" s="615" t="s">
        <v>3157</v>
      </c>
      <c r="P224" s="497" t="s">
        <v>2266</v>
      </c>
      <c r="Q224" s="1366"/>
      <c r="S224" s="596"/>
      <c r="T224" s="596"/>
      <c r="U224" s="596"/>
      <c r="V224" s="596"/>
      <c r="W224" s="596"/>
      <c r="X224" s="596"/>
      <c r="Y224" s="596"/>
      <c r="Z224" s="596"/>
      <c r="AA224" s="596"/>
    </row>
    <row r="225" spans="2:27" ht="12" customHeight="1">
      <c r="B225" s="761" t="s">
        <v>1929</v>
      </c>
      <c r="C225" s="761" t="s">
        <v>239</v>
      </c>
      <c r="D225" s="761" t="s">
        <v>1750</v>
      </c>
      <c r="E225" s="762" t="s">
        <v>1448</v>
      </c>
      <c r="F225" s="762" t="s">
        <v>3658</v>
      </c>
      <c r="G225" s="763" t="s">
        <v>2838</v>
      </c>
      <c r="H225" s="764" t="s">
        <v>501</v>
      </c>
      <c r="I225" s="680"/>
      <c r="J225" s="613" t="s">
        <v>3152</v>
      </c>
      <c r="K225" s="616"/>
      <c r="L225" s="609"/>
      <c r="M225" s="610"/>
      <c r="N225" s="497" t="s">
        <v>3592</v>
      </c>
      <c r="O225" s="497" t="s">
        <v>888</v>
      </c>
      <c r="P225" s="1368" t="s">
        <v>3033</v>
      </c>
      <c r="Q225" s="1366"/>
      <c r="R225" s="432"/>
      <c r="S225" s="497"/>
      <c r="T225" s="596"/>
      <c r="U225" s="596"/>
      <c r="V225" s="596"/>
      <c r="W225" s="596"/>
      <c r="X225" s="596"/>
      <c r="Y225" s="596"/>
      <c r="Z225" s="596"/>
      <c r="AA225" s="596"/>
    </row>
    <row r="226" spans="2:27" ht="12" customHeight="1">
      <c r="B226" s="761" t="s">
        <v>1930</v>
      </c>
      <c r="C226" s="761" t="s">
        <v>1449</v>
      </c>
      <c r="D226" s="761" t="s">
        <v>1750</v>
      </c>
      <c r="E226" s="762" t="s">
        <v>1450</v>
      </c>
      <c r="F226" s="762" t="s">
        <v>3658</v>
      </c>
      <c r="G226" s="763" t="s">
        <v>2839</v>
      </c>
      <c r="H226" s="764" t="s">
        <v>501</v>
      </c>
      <c r="I226" s="680"/>
      <c r="J226" s="613" t="s">
        <v>3184</v>
      </c>
      <c r="K226" s="616"/>
      <c r="L226" s="609"/>
      <c r="M226" s="610"/>
      <c r="N226" s="615" t="s">
        <v>3153</v>
      </c>
      <c r="O226" s="615" t="s">
        <v>130</v>
      </c>
      <c r="P226" s="497" t="s">
        <v>2267</v>
      </c>
      <c r="Q226" s="1366"/>
      <c r="R226" s="432"/>
      <c r="S226" s="497"/>
      <c r="T226" s="596"/>
      <c r="U226" s="596"/>
      <c r="V226" s="596"/>
      <c r="W226" s="596"/>
      <c r="X226" s="596"/>
      <c r="Y226" s="596"/>
      <c r="Z226" s="596"/>
      <c r="AA226" s="596"/>
    </row>
    <row r="227" spans="2:27" ht="12" customHeight="1">
      <c r="B227" s="761" t="s">
        <v>1931</v>
      </c>
      <c r="C227" s="761" t="s">
        <v>1451</v>
      </c>
      <c r="D227" s="761" t="s">
        <v>1750</v>
      </c>
      <c r="E227" s="765" t="s">
        <v>2638</v>
      </c>
      <c r="F227" s="765" t="s">
        <v>3659</v>
      </c>
      <c r="G227" s="763" t="s">
        <v>1684</v>
      </c>
      <c r="H227" s="764" t="s">
        <v>502</v>
      </c>
      <c r="I227" s="681"/>
      <c r="J227" s="613" t="s">
        <v>2629</v>
      </c>
      <c r="K227" s="616"/>
      <c r="L227" s="609"/>
      <c r="M227" s="610"/>
      <c r="N227" s="615" t="s">
        <v>2604</v>
      </c>
      <c r="O227" s="615" t="s">
        <v>3495</v>
      </c>
      <c r="P227" s="497" t="s">
        <v>2268</v>
      </c>
      <c r="Q227" s="1366"/>
      <c r="R227" s="432"/>
      <c r="S227" s="497"/>
      <c r="T227" s="596"/>
      <c r="U227" s="596"/>
      <c r="V227" s="596"/>
      <c r="W227" s="596"/>
      <c r="X227" s="596"/>
      <c r="Y227" s="596"/>
      <c r="Z227" s="596"/>
      <c r="AA227" s="596"/>
    </row>
    <row r="228" spans="2:27" ht="12" customHeight="1">
      <c r="B228" s="761" t="s">
        <v>1932</v>
      </c>
      <c r="C228" s="761" t="s">
        <v>1364</v>
      </c>
      <c r="D228" s="761" t="s">
        <v>1903</v>
      </c>
      <c r="E228" s="765" t="s">
        <v>1245</v>
      </c>
      <c r="F228" s="765" t="s">
        <v>3659</v>
      </c>
      <c r="G228" s="763" t="s">
        <v>3613</v>
      </c>
      <c r="H228" s="764" t="s">
        <v>502</v>
      </c>
      <c r="I228" s="681"/>
      <c r="J228" s="613" t="s">
        <v>2631</v>
      </c>
      <c r="K228" s="616"/>
      <c r="L228" s="609"/>
      <c r="M228" s="610"/>
      <c r="N228" s="615" t="s">
        <v>2630</v>
      </c>
      <c r="O228" s="615" t="s">
        <v>1881</v>
      </c>
      <c r="P228" s="497" t="s">
        <v>2269</v>
      </c>
      <c r="Q228" s="1366"/>
      <c r="R228" s="432"/>
      <c r="S228" s="497"/>
      <c r="T228" s="596"/>
      <c r="U228" s="596"/>
      <c r="V228" s="596"/>
      <c r="W228" s="596"/>
      <c r="X228" s="596"/>
      <c r="Y228" s="596"/>
      <c r="Z228" s="596"/>
      <c r="AA228" s="596"/>
    </row>
    <row r="229" spans="2:27" ht="12" customHeight="1">
      <c r="B229" s="761" t="s">
        <v>1933</v>
      </c>
      <c r="C229" s="761" t="s">
        <v>1365</v>
      </c>
      <c r="D229" s="761" t="s">
        <v>1750</v>
      </c>
      <c r="E229" s="762" t="s">
        <v>1366</v>
      </c>
      <c r="F229" s="762" t="s">
        <v>3658</v>
      </c>
      <c r="G229" s="763" t="s">
        <v>2840</v>
      </c>
      <c r="H229" s="764" t="s">
        <v>501</v>
      </c>
      <c r="I229" s="680"/>
      <c r="J229" s="613" t="s">
        <v>3052</v>
      </c>
      <c r="K229" s="616"/>
      <c r="L229" s="609"/>
      <c r="M229" s="610"/>
      <c r="N229" s="615" t="s">
        <v>2632</v>
      </c>
      <c r="O229" s="615" t="s">
        <v>2890</v>
      </c>
      <c r="P229" s="497" t="s">
        <v>2270</v>
      </c>
      <c r="Q229" s="596"/>
      <c r="S229" s="596"/>
      <c r="T229" s="596"/>
      <c r="U229" s="596"/>
      <c r="V229" s="596"/>
      <c r="W229" s="596"/>
      <c r="X229" s="596"/>
      <c r="Y229" s="596"/>
      <c r="Z229" s="596"/>
      <c r="AA229" s="596"/>
    </row>
    <row r="230" spans="2:27" ht="12" customHeight="1">
      <c r="B230" s="761" t="s">
        <v>1934</v>
      </c>
      <c r="C230" s="761" t="s">
        <v>1367</v>
      </c>
      <c r="D230" s="761" t="s">
        <v>1750</v>
      </c>
      <c r="E230" s="762" t="s">
        <v>2544</v>
      </c>
      <c r="F230" s="762" t="s">
        <v>3659</v>
      </c>
      <c r="G230" s="763" t="s">
        <v>3619</v>
      </c>
      <c r="H230" s="764" t="s">
        <v>502</v>
      </c>
      <c r="I230" s="680"/>
      <c r="J230" s="613" t="s">
        <v>3053</v>
      </c>
      <c r="K230" s="616"/>
      <c r="L230" s="609"/>
      <c r="M230" s="610"/>
      <c r="N230" s="615" t="s">
        <v>1313</v>
      </c>
      <c r="O230" s="615" t="s">
        <v>3627</v>
      </c>
      <c r="P230" s="1367" t="s">
        <v>1312</v>
      </c>
      <c r="Q230" s="596"/>
      <c r="S230" s="596"/>
      <c r="T230" s="596"/>
      <c r="U230" s="596"/>
      <c r="V230" s="596"/>
      <c r="W230" s="596"/>
      <c r="X230" s="596"/>
      <c r="Y230" s="596"/>
      <c r="Z230" s="596"/>
      <c r="AA230" s="596"/>
    </row>
    <row r="231" spans="2:27" ht="12" customHeight="1">
      <c r="B231" s="761" t="s">
        <v>1935</v>
      </c>
      <c r="C231" s="761" t="s">
        <v>1368</v>
      </c>
      <c r="D231" s="761" t="s">
        <v>1750</v>
      </c>
      <c r="E231" s="765" t="s">
        <v>1894</v>
      </c>
      <c r="F231" s="765" t="s">
        <v>3659</v>
      </c>
      <c r="G231" s="763" t="s">
        <v>2049</v>
      </c>
      <c r="H231" s="764" t="s">
        <v>502</v>
      </c>
      <c r="I231" s="681"/>
      <c r="J231" s="613" t="s">
        <v>3429</v>
      </c>
      <c r="K231" s="614"/>
      <c r="L231" s="609"/>
      <c r="M231" s="610"/>
      <c r="N231" s="615" t="s">
        <v>3054</v>
      </c>
      <c r="O231" s="615" t="s">
        <v>3629</v>
      </c>
      <c r="P231" s="497" t="s">
        <v>2271</v>
      </c>
      <c r="Q231" s="1366"/>
      <c r="S231" s="596"/>
      <c r="T231" s="596"/>
      <c r="U231" s="596"/>
      <c r="V231" s="596"/>
      <c r="W231" s="596"/>
      <c r="X231" s="596"/>
      <c r="Y231" s="596"/>
      <c r="Z231" s="596"/>
      <c r="AA231" s="596"/>
    </row>
    <row r="232" spans="2:27" ht="12" customHeight="1">
      <c r="B232" s="766"/>
      <c r="C232" s="761" t="s">
        <v>1369</v>
      </c>
      <c r="D232" s="761" t="s">
        <v>1903</v>
      </c>
      <c r="E232" s="762" t="s">
        <v>1370</v>
      </c>
      <c r="F232" s="762" t="s">
        <v>3658</v>
      </c>
      <c r="G232" s="763" t="s">
        <v>1904</v>
      </c>
      <c r="H232" s="764" t="s">
        <v>501</v>
      </c>
      <c r="I232" s="680"/>
      <c r="J232" s="613" t="s">
        <v>3431</v>
      </c>
      <c r="K232" s="614"/>
      <c r="L232" s="609"/>
      <c r="M232" s="610"/>
      <c r="N232" s="615" t="s">
        <v>3430</v>
      </c>
      <c r="O232" s="615" t="s">
        <v>1608</v>
      </c>
      <c r="P232" s="497" t="s">
        <v>2272</v>
      </c>
      <c r="Q232" s="1366"/>
      <c r="S232" s="596"/>
      <c r="T232" s="596"/>
      <c r="U232" s="596"/>
      <c r="V232" s="596"/>
      <c r="W232" s="596"/>
      <c r="X232" s="596"/>
      <c r="Y232" s="596"/>
      <c r="Z232" s="596"/>
      <c r="AA232" s="596"/>
    </row>
    <row r="233" spans="2:27" ht="12" customHeight="1">
      <c r="B233" s="766"/>
      <c r="C233" s="761" t="s">
        <v>3155</v>
      </c>
      <c r="D233" s="761" t="s">
        <v>1750</v>
      </c>
      <c r="E233" s="762" t="s">
        <v>3156</v>
      </c>
      <c r="F233" s="762" t="s">
        <v>3658</v>
      </c>
      <c r="G233" s="763" t="s">
        <v>1905</v>
      </c>
      <c r="H233" s="764" t="s">
        <v>501</v>
      </c>
      <c r="I233" s="680"/>
      <c r="J233" s="613" t="s">
        <v>3433</v>
      </c>
      <c r="K233" s="614"/>
      <c r="L233" s="609"/>
      <c r="M233" s="610"/>
      <c r="N233" s="497" t="s">
        <v>3593</v>
      </c>
      <c r="O233" s="497" t="s">
        <v>389</v>
      </c>
      <c r="P233" s="1368" t="s">
        <v>3033</v>
      </c>
      <c r="Q233" s="1366"/>
      <c r="S233" s="596"/>
      <c r="T233" s="596"/>
      <c r="U233" s="596"/>
      <c r="V233" s="596"/>
      <c r="W233" s="596"/>
      <c r="X233" s="596"/>
      <c r="Y233" s="596"/>
      <c r="Z233" s="596"/>
      <c r="AA233" s="596"/>
    </row>
    <row r="234" spans="2:27" ht="12" customHeight="1">
      <c r="B234" s="766"/>
      <c r="C234" s="761" t="s">
        <v>3157</v>
      </c>
      <c r="D234" s="761" t="s">
        <v>1750</v>
      </c>
      <c r="E234" s="762" t="s">
        <v>921</v>
      </c>
      <c r="F234" s="762" t="s">
        <v>3658</v>
      </c>
      <c r="G234" s="763" t="s">
        <v>1906</v>
      </c>
      <c r="H234" s="764" t="s">
        <v>501</v>
      </c>
      <c r="I234" s="680"/>
      <c r="J234" s="613" t="s">
        <v>3435</v>
      </c>
      <c r="K234" s="614"/>
      <c r="L234" s="609"/>
      <c r="M234" s="610"/>
      <c r="N234" s="615" t="s">
        <v>3432</v>
      </c>
      <c r="O234" s="615" t="s">
        <v>2798</v>
      </c>
      <c r="P234" s="497" t="s">
        <v>2273</v>
      </c>
      <c r="Q234" s="1366"/>
      <c r="S234" s="596"/>
      <c r="T234" s="596"/>
      <c r="U234" s="596"/>
      <c r="V234" s="596"/>
      <c r="W234" s="596"/>
      <c r="X234" s="596"/>
      <c r="Y234" s="596"/>
      <c r="Z234" s="596"/>
      <c r="AA234" s="596"/>
    </row>
    <row r="235" spans="2:27" ht="12" customHeight="1">
      <c r="B235" s="766"/>
      <c r="C235" s="761" t="s">
        <v>922</v>
      </c>
      <c r="D235" s="761" t="s">
        <v>1879</v>
      </c>
      <c r="E235" s="762" t="s">
        <v>923</v>
      </c>
      <c r="F235" s="762" t="s">
        <v>3658</v>
      </c>
      <c r="G235" s="763" t="s">
        <v>1907</v>
      </c>
      <c r="H235" s="764" t="s">
        <v>501</v>
      </c>
      <c r="I235" s="680"/>
      <c r="J235" s="613" t="s">
        <v>3436</v>
      </c>
      <c r="K235" s="614"/>
      <c r="L235" s="609"/>
      <c r="M235" s="610"/>
      <c r="N235" s="615" t="s">
        <v>3434</v>
      </c>
      <c r="O235" s="615" t="s">
        <v>1365</v>
      </c>
      <c r="P235" s="497" t="s">
        <v>2274</v>
      </c>
      <c r="Q235" s="1366"/>
      <c r="S235" s="596"/>
      <c r="T235" s="596"/>
      <c r="U235" s="596"/>
      <c r="V235" s="596"/>
      <c r="W235" s="596"/>
      <c r="X235" s="596"/>
      <c r="Y235" s="596"/>
      <c r="Z235" s="596"/>
      <c r="AA235" s="596"/>
    </row>
    <row r="236" spans="2:27" ht="12" customHeight="1">
      <c r="B236" s="766"/>
      <c r="C236" s="761" t="s">
        <v>924</v>
      </c>
      <c r="D236" s="761" t="s">
        <v>1903</v>
      </c>
      <c r="E236" s="765" t="s">
        <v>1245</v>
      </c>
      <c r="F236" s="765" t="s">
        <v>3659</v>
      </c>
      <c r="G236" s="763" t="s">
        <v>3613</v>
      </c>
      <c r="H236" s="764" t="s">
        <v>502</v>
      </c>
      <c r="I236" s="681"/>
      <c r="J236" s="613" t="s">
        <v>3140</v>
      </c>
      <c r="K236" s="614"/>
      <c r="L236" s="609"/>
      <c r="M236" s="610"/>
      <c r="N236" s="615" t="s">
        <v>3437</v>
      </c>
      <c r="O236" s="615" t="s">
        <v>197</v>
      </c>
      <c r="P236" s="497" t="s">
        <v>2275</v>
      </c>
      <c r="Q236" s="1366"/>
      <c r="S236" s="596"/>
      <c r="T236" s="596"/>
      <c r="U236" s="596"/>
      <c r="V236" s="596"/>
      <c r="W236" s="596"/>
      <c r="X236" s="596"/>
      <c r="Y236" s="596"/>
      <c r="Z236" s="596"/>
      <c r="AA236" s="596"/>
    </row>
    <row r="237" spans="2:27" ht="12" customHeight="1">
      <c r="B237" s="766"/>
      <c r="C237" s="761" t="s">
        <v>925</v>
      </c>
      <c r="D237" s="761" t="s">
        <v>1879</v>
      </c>
      <c r="E237" s="765" t="s">
        <v>3183</v>
      </c>
      <c r="F237" s="765" t="s">
        <v>3659</v>
      </c>
      <c r="G237" s="763" t="s">
        <v>1908</v>
      </c>
      <c r="H237" s="764" t="s">
        <v>502</v>
      </c>
      <c r="I237" s="681"/>
      <c r="J237" s="613" t="s">
        <v>984</v>
      </c>
      <c r="K237" s="614"/>
      <c r="L237" s="609"/>
      <c r="M237" s="610"/>
      <c r="N237" s="615" t="s">
        <v>3141</v>
      </c>
      <c r="O237" s="615" t="s">
        <v>922</v>
      </c>
      <c r="P237" s="497" t="s">
        <v>2276</v>
      </c>
      <c r="Q237" s="1366"/>
      <c r="S237" s="596"/>
      <c r="T237" s="596"/>
      <c r="U237" s="596"/>
      <c r="V237" s="596"/>
      <c r="W237" s="596"/>
      <c r="X237" s="596"/>
      <c r="Y237" s="596"/>
      <c r="Z237" s="596"/>
      <c r="AA237" s="596"/>
    </row>
    <row r="238" spans="2:27" ht="12" customHeight="1">
      <c r="B238" s="766"/>
      <c r="C238" s="761" t="s">
        <v>926</v>
      </c>
      <c r="D238" s="761" t="s">
        <v>1879</v>
      </c>
      <c r="E238" s="765" t="s">
        <v>1245</v>
      </c>
      <c r="F238" s="765" t="s">
        <v>3659</v>
      </c>
      <c r="G238" s="763" t="s">
        <v>3613</v>
      </c>
      <c r="H238" s="764" t="s">
        <v>502</v>
      </c>
      <c r="I238" s="681"/>
      <c r="J238" s="613" t="s">
        <v>986</v>
      </c>
      <c r="K238" s="614"/>
      <c r="L238" s="609"/>
      <c r="M238" s="610"/>
      <c r="N238" s="615" t="s">
        <v>985</v>
      </c>
      <c r="O238" s="615" t="s">
        <v>3487</v>
      </c>
      <c r="P238" s="497" t="s">
        <v>2277</v>
      </c>
      <c r="Q238" s="1366"/>
      <c r="S238" s="596"/>
      <c r="T238" s="596"/>
      <c r="U238" s="596"/>
      <c r="V238" s="596"/>
      <c r="W238" s="596"/>
      <c r="X238" s="596"/>
      <c r="Y238" s="596"/>
      <c r="Z238" s="596"/>
      <c r="AA238" s="596"/>
    </row>
    <row r="239" spans="2:27" ht="12" customHeight="1">
      <c r="B239" s="766"/>
      <c r="C239" s="761" t="s">
        <v>927</v>
      </c>
      <c r="D239" s="761" t="s">
        <v>1879</v>
      </c>
      <c r="E239" s="765" t="s">
        <v>928</v>
      </c>
      <c r="F239" s="765" t="s">
        <v>3658</v>
      </c>
      <c r="G239" s="763" t="s">
        <v>1909</v>
      </c>
      <c r="H239" s="764" t="s">
        <v>501</v>
      </c>
      <c r="I239" s="681"/>
      <c r="J239" s="613" t="s">
        <v>988</v>
      </c>
      <c r="K239" s="614"/>
      <c r="L239" s="609"/>
      <c r="M239" s="610"/>
      <c r="N239" s="615" t="s">
        <v>987</v>
      </c>
      <c r="O239" s="615" t="s">
        <v>1623</v>
      </c>
      <c r="P239" s="497" t="s">
        <v>2278</v>
      </c>
      <c r="Q239" s="1366"/>
      <c r="S239" s="596"/>
      <c r="T239" s="596"/>
      <c r="U239" s="596"/>
      <c r="V239" s="596"/>
      <c r="W239" s="596"/>
      <c r="X239" s="596"/>
      <c r="Y239" s="596"/>
      <c r="Z239" s="596"/>
      <c r="AA239" s="596"/>
    </row>
    <row r="240" spans="2:27" ht="12" customHeight="1">
      <c r="B240" s="766"/>
      <c r="C240" s="761" t="s">
        <v>1745</v>
      </c>
      <c r="D240" s="761" t="s">
        <v>1903</v>
      </c>
      <c r="E240" s="765" t="s">
        <v>1245</v>
      </c>
      <c r="F240" s="765" t="s">
        <v>3659</v>
      </c>
      <c r="G240" s="763" t="s">
        <v>3613</v>
      </c>
      <c r="H240" s="764" t="s">
        <v>502</v>
      </c>
      <c r="I240" s="681"/>
      <c r="J240" s="613" t="s">
        <v>990</v>
      </c>
      <c r="K240" s="614"/>
      <c r="L240" s="609"/>
      <c r="M240" s="610"/>
      <c r="N240" s="615" t="s">
        <v>989</v>
      </c>
      <c r="O240" s="615" t="s">
        <v>3629</v>
      </c>
      <c r="P240" s="497" t="s">
        <v>2279</v>
      </c>
      <c r="Q240" s="1366"/>
      <c r="S240" s="596"/>
      <c r="T240" s="596"/>
      <c r="U240" s="596"/>
      <c r="V240" s="596"/>
      <c r="W240" s="596"/>
      <c r="X240" s="596"/>
      <c r="Y240" s="596"/>
      <c r="Z240" s="596"/>
      <c r="AA240" s="596"/>
    </row>
    <row r="241" spans="2:27" ht="12" customHeight="1">
      <c r="B241" s="766"/>
      <c r="C241" s="761" t="s">
        <v>929</v>
      </c>
      <c r="D241" s="761" t="s">
        <v>1879</v>
      </c>
      <c r="E241" s="762" t="s">
        <v>930</v>
      </c>
      <c r="F241" s="762" t="s">
        <v>3658</v>
      </c>
      <c r="G241" s="763" t="s">
        <v>287</v>
      </c>
      <c r="H241" s="764" t="s">
        <v>501</v>
      </c>
      <c r="I241" s="680"/>
      <c r="J241" s="613" t="s">
        <v>3131</v>
      </c>
      <c r="K241" s="614"/>
      <c r="L241" s="609"/>
      <c r="M241" s="610"/>
      <c r="N241" s="497" t="s">
        <v>3594</v>
      </c>
      <c r="O241" s="497" t="s">
        <v>3489</v>
      </c>
      <c r="P241" s="1368" t="s">
        <v>3033</v>
      </c>
      <c r="Q241" s="1366"/>
      <c r="S241" s="596"/>
      <c r="T241" s="596"/>
      <c r="U241" s="596"/>
      <c r="V241" s="596"/>
      <c r="W241" s="596"/>
      <c r="X241" s="596"/>
      <c r="Y241" s="596"/>
      <c r="Z241" s="596"/>
      <c r="AA241" s="596"/>
    </row>
    <row r="242" spans="2:27" ht="12" customHeight="1">
      <c r="B242" s="766"/>
      <c r="C242" s="761" t="s">
        <v>931</v>
      </c>
      <c r="D242" s="761" t="s">
        <v>1903</v>
      </c>
      <c r="E242" s="765" t="s">
        <v>932</v>
      </c>
      <c r="F242" s="765" t="s">
        <v>3658</v>
      </c>
      <c r="G242" s="763" t="s">
        <v>288</v>
      </c>
      <c r="H242" s="764" t="s">
        <v>501</v>
      </c>
      <c r="I242" s="681"/>
      <c r="J242" s="613" t="s">
        <v>3132</v>
      </c>
      <c r="K242" s="614"/>
      <c r="L242" s="609"/>
      <c r="M242" s="610"/>
      <c r="N242" s="615" t="s">
        <v>3133</v>
      </c>
      <c r="O242" s="615" t="s">
        <v>2501</v>
      </c>
      <c r="P242" s="497" t="s">
        <v>2280</v>
      </c>
      <c r="Q242" s="1366"/>
      <c r="S242" s="596"/>
      <c r="T242" s="596"/>
      <c r="U242" s="596"/>
      <c r="V242" s="596"/>
      <c r="W242" s="596"/>
      <c r="X242" s="596"/>
      <c r="Y242" s="596"/>
      <c r="Z242" s="596"/>
      <c r="AA242" s="596"/>
    </row>
    <row r="243" spans="2:27" ht="12" customHeight="1">
      <c r="B243" s="766"/>
      <c r="C243" s="761" t="s">
        <v>933</v>
      </c>
      <c r="D243" s="761" t="s">
        <v>1750</v>
      </c>
      <c r="E243" s="762" t="s">
        <v>12</v>
      </c>
      <c r="F243" s="762" t="s">
        <v>3659</v>
      </c>
      <c r="G243" s="763" t="s">
        <v>3618</v>
      </c>
      <c r="H243" s="764" t="s">
        <v>502</v>
      </c>
      <c r="I243" s="680"/>
      <c r="J243" s="613" t="s">
        <v>3134</v>
      </c>
      <c r="K243" s="614"/>
      <c r="L243" s="609"/>
      <c r="M243" s="610"/>
      <c r="N243" s="615" t="s">
        <v>3135</v>
      </c>
      <c r="O243" s="615" t="s">
        <v>3623</v>
      </c>
      <c r="P243" s="497" t="s">
        <v>2281</v>
      </c>
      <c r="Q243" s="1366"/>
      <c r="S243" s="596"/>
      <c r="T243" s="596"/>
      <c r="U243" s="596"/>
      <c r="V243" s="596"/>
      <c r="W243" s="596"/>
      <c r="X243" s="596"/>
      <c r="Y243" s="596"/>
      <c r="Z243" s="596"/>
      <c r="AA243" s="596"/>
    </row>
    <row r="244" spans="2:27" ht="12" customHeight="1">
      <c r="B244" s="766"/>
      <c r="C244" s="761" t="s">
        <v>934</v>
      </c>
      <c r="D244" s="761" t="s">
        <v>1879</v>
      </c>
      <c r="E244" s="762" t="s">
        <v>935</v>
      </c>
      <c r="F244" s="762" t="s">
        <v>3658</v>
      </c>
      <c r="G244" s="763" t="s">
        <v>289</v>
      </c>
      <c r="H244" s="764" t="s">
        <v>501</v>
      </c>
      <c r="I244" s="680"/>
      <c r="J244" s="613" t="s">
        <v>955</v>
      </c>
      <c r="K244" s="614"/>
      <c r="L244" s="609"/>
      <c r="M244" s="610"/>
      <c r="N244" s="615" t="s">
        <v>956</v>
      </c>
      <c r="O244" s="615" t="s">
        <v>1130</v>
      </c>
      <c r="P244" s="497" t="s">
        <v>2282</v>
      </c>
      <c r="Q244" s="1366"/>
      <c r="S244" s="596"/>
      <c r="T244" s="596"/>
      <c r="U244" s="596"/>
      <c r="V244" s="596"/>
      <c r="W244" s="596"/>
      <c r="X244" s="596"/>
      <c r="Y244" s="596"/>
      <c r="Z244" s="596"/>
      <c r="AA244" s="596"/>
    </row>
    <row r="245" spans="2:27" ht="12" customHeight="1">
      <c r="B245" s="766"/>
      <c r="C245" s="761" t="s">
        <v>936</v>
      </c>
      <c r="D245" s="761" t="s">
        <v>1750</v>
      </c>
      <c r="E245" s="762" t="s">
        <v>937</v>
      </c>
      <c r="F245" s="762" t="s">
        <v>3658</v>
      </c>
      <c r="G245" s="763" t="s">
        <v>480</v>
      </c>
      <c r="H245" s="764" t="s">
        <v>501</v>
      </c>
      <c r="I245" s="680"/>
      <c r="J245" s="613" t="s">
        <v>1276</v>
      </c>
      <c r="K245" s="614"/>
      <c r="L245" s="609"/>
      <c r="M245" s="610"/>
      <c r="N245" s="615" t="s">
        <v>3185</v>
      </c>
      <c r="O245" s="615" t="s">
        <v>386</v>
      </c>
      <c r="P245" s="497" t="s">
        <v>2283</v>
      </c>
      <c r="Q245" s="1366"/>
      <c r="S245" s="596"/>
      <c r="T245" s="596"/>
      <c r="U245" s="596"/>
      <c r="V245" s="596"/>
      <c r="W245" s="596"/>
      <c r="X245" s="596"/>
      <c r="Y245" s="596"/>
      <c r="Z245" s="596"/>
      <c r="AA245" s="596"/>
    </row>
    <row r="246" spans="2:27" ht="12" customHeight="1">
      <c r="B246" s="766"/>
      <c r="C246" s="761" t="s">
        <v>938</v>
      </c>
      <c r="D246" s="761" t="s">
        <v>1903</v>
      </c>
      <c r="E246" s="762" t="s">
        <v>939</v>
      </c>
      <c r="F246" s="762" t="s">
        <v>3658</v>
      </c>
      <c r="G246" s="763" t="s">
        <v>481</v>
      </c>
      <c r="H246" s="764" t="s">
        <v>501</v>
      </c>
      <c r="I246" s="680"/>
      <c r="J246" s="613" t="s">
        <v>3186</v>
      </c>
      <c r="K246" s="614"/>
      <c r="L246" s="609"/>
      <c r="M246" s="610"/>
      <c r="N246" s="615" t="s">
        <v>3255</v>
      </c>
      <c r="O246" s="615" t="s">
        <v>1369</v>
      </c>
      <c r="P246" s="497" t="s">
        <v>2284</v>
      </c>
      <c r="Q246" s="1366"/>
      <c r="S246" s="596"/>
      <c r="T246" s="596"/>
      <c r="U246" s="596"/>
      <c r="V246" s="596"/>
      <c r="W246" s="596"/>
      <c r="X246" s="596"/>
      <c r="Y246" s="596"/>
      <c r="Z246" s="596"/>
      <c r="AA246" s="596"/>
    </row>
    <row r="247" spans="2:27" ht="12" customHeight="1">
      <c r="B247" s="766"/>
      <c r="C247" s="761" t="s">
        <v>130</v>
      </c>
      <c r="D247" s="761" t="s">
        <v>1903</v>
      </c>
      <c r="E247" s="765" t="s">
        <v>1245</v>
      </c>
      <c r="F247" s="765" t="s">
        <v>3659</v>
      </c>
      <c r="G247" s="763" t="s">
        <v>3613</v>
      </c>
      <c r="H247" s="764" t="s">
        <v>502</v>
      </c>
      <c r="I247" s="681"/>
      <c r="J247" s="613" t="s">
        <v>3219</v>
      </c>
      <c r="K247" s="614"/>
      <c r="L247" s="609"/>
      <c r="M247" s="610"/>
      <c r="N247" s="615" t="s">
        <v>52</v>
      </c>
      <c r="O247" s="615" t="s">
        <v>393</v>
      </c>
      <c r="P247" s="497" t="s">
        <v>2285</v>
      </c>
      <c r="Q247" s="1366"/>
      <c r="S247" s="596"/>
      <c r="T247" s="596"/>
      <c r="U247" s="596"/>
      <c r="V247" s="596"/>
      <c r="W247" s="596"/>
      <c r="X247" s="596"/>
      <c r="Y247" s="596"/>
      <c r="Z247" s="596"/>
      <c r="AA247" s="596"/>
    </row>
    <row r="248" spans="2:27" ht="12" customHeight="1">
      <c r="B248" s="766"/>
      <c r="C248" s="761" t="s">
        <v>131</v>
      </c>
      <c r="D248" s="761" t="s">
        <v>1879</v>
      </c>
      <c r="E248" s="762" t="s">
        <v>132</v>
      </c>
      <c r="F248" s="762" t="s">
        <v>3658</v>
      </c>
      <c r="G248" s="763" t="s">
        <v>482</v>
      </c>
      <c r="H248" s="764" t="s">
        <v>501</v>
      </c>
      <c r="I248" s="680"/>
      <c r="J248" s="613" t="s">
        <v>51</v>
      </c>
      <c r="K248" s="614"/>
      <c r="L248" s="609"/>
      <c r="M248" s="610"/>
      <c r="N248" s="615" t="s">
        <v>894</v>
      </c>
      <c r="O248" s="615" t="s">
        <v>3631</v>
      </c>
      <c r="P248" s="497" t="s">
        <v>2286</v>
      </c>
      <c r="Q248" s="1366"/>
      <c r="S248" s="596"/>
      <c r="T248" s="596"/>
      <c r="U248" s="596"/>
      <c r="V248" s="596"/>
      <c r="W248" s="596"/>
      <c r="X248" s="596"/>
      <c r="Y248" s="596"/>
      <c r="Z248" s="596"/>
      <c r="AA248" s="596"/>
    </row>
    <row r="249" spans="2:27" ht="12" customHeight="1">
      <c r="B249" s="766"/>
      <c r="C249" s="761" t="s">
        <v>381</v>
      </c>
      <c r="D249" s="761" t="s">
        <v>1879</v>
      </c>
      <c r="E249" s="762" t="s">
        <v>1760</v>
      </c>
      <c r="F249" s="762" t="s">
        <v>3659</v>
      </c>
      <c r="G249" s="763" t="s">
        <v>483</v>
      </c>
      <c r="H249" s="764" t="s">
        <v>502</v>
      </c>
      <c r="I249" s="680"/>
      <c r="J249" s="613" t="s">
        <v>893</v>
      </c>
      <c r="K249" s="614"/>
      <c r="L249" s="609"/>
      <c r="M249" s="610"/>
      <c r="N249" s="615" t="s">
        <v>373</v>
      </c>
      <c r="O249" s="615" t="s">
        <v>384</v>
      </c>
      <c r="P249" s="497" t="s">
        <v>2287</v>
      </c>
      <c r="Q249" s="1366"/>
      <c r="S249" s="596"/>
      <c r="T249" s="596"/>
      <c r="U249" s="596"/>
      <c r="V249" s="596"/>
      <c r="W249" s="596"/>
      <c r="X249" s="596"/>
      <c r="Y249" s="596"/>
      <c r="Z249" s="596"/>
      <c r="AA249" s="596"/>
    </row>
    <row r="250" spans="2:27" ht="12" customHeight="1">
      <c r="B250" s="766"/>
      <c r="C250" s="767" t="s">
        <v>382</v>
      </c>
      <c r="D250" s="761" t="s">
        <v>1903</v>
      </c>
      <c r="E250" s="762" t="s">
        <v>383</v>
      </c>
      <c r="F250" s="762" t="s">
        <v>3658</v>
      </c>
      <c r="G250" s="763" t="s">
        <v>484</v>
      </c>
      <c r="H250" s="764" t="s">
        <v>501</v>
      </c>
      <c r="I250" s="680"/>
      <c r="J250" s="613" t="s">
        <v>372</v>
      </c>
      <c r="K250" s="614"/>
      <c r="L250" s="609"/>
      <c r="M250" s="610"/>
      <c r="N250" s="615" t="s">
        <v>3340</v>
      </c>
      <c r="O250" s="615" t="s">
        <v>236</v>
      </c>
      <c r="P250" s="497" t="s">
        <v>2288</v>
      </c>
      <c r="Q250" s="1366"/>
      <c r="S250" s="596"/>
      <c r="T250" s="596"/>
      <c r="U250" s="596"/>
      <c r="V250" s="596"/>
      <c r="W250" s="596"/>
      <c r="X250" s="596"/>
      <c r="Y250" s="596"/>
      <c r="Z250" s="596"/>
      <c r="AA250" s="596"/>
    </row>
    <row r="251" spans="2:27" ht="12" customHeight="1">
      <c r="B251" s="766"/>
      <c r="C251" s="761" t="s">
        <v>384</v>
      </c>
      <c r="D251" s="761" t="s">
        <v>1879</v>
      </c>
      <c r="E251" s="765" t="s">
        <v>1247</v>
      </c>
      <c r="F251" s="765" t="s">
        <v>3659</v>
      </c>
      <c r="G251" s="763" t="s">
        <v>485</v>
      </c>
      <c r="H251" s="764" t="s">
        <v>502</v>
      </c>
      <c r="I251" s="681"/>
      <c r="J251" s="613" t="s">
        <v>3339</v>
      </c>
      <c r="K251" s="614"/>
      <c r="L251" s="609"/>
      <c r="M251" s="610"/>
      <c r="N251" s="615" t="s">
        <v>3371</v>
      </c>
      <c r="O251" s="615" t="s">
        <v>2500</v>
      </c>
      <c r="P251" s="497" t="s">
        <v>2289</v>
      </c>
      <c r="Q251" s="1366"/>
      <c r="S251" s="596"/>
      <c r="T251" s="596"/>
      <c r="U251" s="596"/>
      <c r="V251" s="596"/>
      <c r="W251" s="596"/>
      <c r="X251" s="596"/>
      <c r="Y251" s="596"/>
      <c r="Z251" s="596"/>
      <c r="AA251" s="596"/>
    </row>
    <row r="252" spans="2:27" ht="12" customHeight="1">
      <c r="B252" s="766"/>
      <c r="C252" s="761" t="s">
        <v>385</v>
      </c>
      <c r="D252" s="761" t="s">
        <v>1903</v>
      </c>
      <c r="E252" s="765" t="s">
        <v>199</v>
      </c>
      <c r="F252" s="765" t="s">
        <v>3659</v>
      </c>
      <c r="G252" s="763" t="s">
        <v>2530</v>
      </c>
      <c r="H252" s="764" t="s">
        <v>502</v>
      </c>
      <c r="I252" s="681"/>
      <c r="J252" s="613" t="s">
        <v>3370</v>
      </c>
      <c r="K252" s="614"/>
      <c r="L252" s="609"/>
      <c r="M252" s="610"/>
      <c r="N252" s="615" t="s">
        <v>889</v>
      </c>
      <c r="O252" s="615" t="s">
        <v>1895</v>
      </c>
      <c r="P252" s="497" t="s">
        <v>2290</v>
      </c>
      <c r="Q252" s="1366"/>
      <c r="S252" s="596"/>
      <c r="T252" s="596"/>
      <c r="U252" s="596"/>
      <c r="V252" s="596"/>
      <c r="W252" s="596"/>
      <c r="X252" s="596"/>
      <c r="Y252" s="596"/>
      <c r="Z252" s="596"/>
      <c r="AA252" s="596"/>
    </row>
    <row r="253" spans="2:27" ht="12" customHeight="1">
      <c r="B253" s="766"/>
      <c r="C253" s="761" t="s">
        <v>386</v>
      </c>
      <c r="D253" s="761" t="s">
        <v>1903</v>
      </c>
      <c r="E253" s="762" t="s">
        <v>387</v>
      </c>
      <c r="F253" s="762" t="s">
        <v>3658</v>
      </c>
      <c r="G253" s="763" t="s">
        <v>486</v>
      </c>
      <c r="H253" s="764" t="s">
        <v>501</v>
      </c>
      <c r="I253" s="680"/>
      <c r="J253" s="613" t="s">
        <v>3372</v>
      </c>
      <c r="K253" s="614"/>
      <c r="L253" s="609"/>
      <c r="M253" s="610"/>
      <c r="N253" s="615" t="s">
        <v>1892</v>
      </c>
      <c r="O253" s="615" t="s">
        <v>924</v>
      </c>
      <c r="P253" s="497" t="s">
        <v>2291</v>
      </c>
      <c r="Q253" s="1366"/>
      <c r="S253" s="596"/>
      <c r="T253" s="596"/>
      <c r="U253" s="596"/>
      <c r="V253" s="596"/>
      <c r="W253" s="596"/>
      <c r="X253" s="596"/>
      <c r="Y253" s="596"/>
      <c r="Z253" s="596"/>
      <c r="AA253" s="596"/>
    </row>
    <row r="254" spans="2:27" ht="12" customHeight="1">
      <c r="B254" s="766"/>
      <c r="C254" s="761" t="s">
        <v>388</v>
      </c>
      <c r="D254" s="761" t="s">
        <v>1903</v>
      </c>
      <c r="E254" s="765" t="s">
        <v>1245</v>
      </c>
      <c r="F254" s="765" t="s">
        <v>3659</v>
      </c>
      <c r="G254" s="763" t="s">
        <v>3613</v>
      </c>
      <c r="H254" s="764" t="s">
        <v>502</v>
      </c>
      <c r="I254" s="681"/>
      <c r="J254" s="613" t="s">
        <v>3373</v>
      </c>
      <c r="K254" s="614"/>
      <c r="L254" s="609"/>
      <c r="M254" s="610"/>
      <c r="N254" s="615" t="s">
        <v>3329</v>
      </c>
      <c r="O254" s="615" t="s">
        <v>3493</v>
      </c>
      <c r="P254" s="497" t="s">
        <v>2292</v>
      </c>
      <c r="Q254" s="1366"/>
      <c r="S254" s="596"/>
      <c r="T254" s="596"/>
      <c r="U254" s="596"/>
      <c r="V254" s="596"/>
      <c r="W254" s="596"/>
      <c r="X254" s="596"/>
      <c r="Y254" s="596"/>
      <c r="Z254" s="596"/>
      <c r="AA254" s="596"/>
    </row>
    <row r="255" spans="2:27" ht="12" customHeight="1">
      <c r="B255" s="766"/>
      <c r="C255" s="761" t="s">
        <v>389</v>
      </c>
      <c r="D255" s="761" t="s">
        <v>1903</v>
      </c>
      <c r="E255" s="765" t="s">
        <v>1245</v>
      </c>
      <c r="F255" s="765" t="s">
        <v>3659</v>
      </c>
      <c r="G255" s="763" t="s">
        <v>3613</v>
      </c>
      <c r="H255" s="764" t="s">
        <v>502</v>
      </c>
      <c r="I255" s="681"/>
      <c r="J255" s="613" t="s">
        <v>3328</v>
      </c>
      <c r="K255" s="614"/>
      <c r="L255" s="609"/>
      <c r="M255" s="610"/>
      <c r="N255" s="615" t="s">
        <v>12</v>
      </c>
      <c r="O255" s="615" t="s">
        <v>933</v>
      </c>
      <c r="P255" s="497" t="s">
        <v>2293</v>
      </c>
      <c r="Q255" s="1366"/>
      <c r="S255" s="596"/>
      <c r="T255" s="596"/>
      <c r="U255" s="596"/>
      <c r="V255" s="596"/>
      <c r="W255" s="596"/>
      <c r="X255" s="596"/>
      <c r="Y255" s="596"/>
      <c r="Z255" s="596"/>
      <c r="AA255" s="596"/>
    </row>
    <row r="256" spans="2:27" ht="12" customHeight="1">
      <c r="B256" s="766"/>
      <c r="C256" s="761" t="s">
        <v>390</v>
      </c>
      <c r="D256" s="761" t="s">
        <v>1903</v>
      </c>
      <c r="E256" s="765" t="s">
        <v>2557</v>
      </c>
      <c r="F256" s="765" t="s">
        <v>3659</v>
      </c>
      <c r="G256" s="763" t="s">
        <v>487</v>
      </c>
      <c r="H256" s="764" t="s">
        <v>502</v>
      </c>
      <c r="I256" s="681"/>
      <c r="J256" s="613" t="s">
        <v>11</v>
      </c>
      <c r="K256" s="614"/>
      <c r="L256" s="609"/>
      <c r="M256" s="610"/>
      <c r="N256" s="615" t="s">
        <v>14</v>
      </c>
      <c r="O256" s="615" t="s">
        <v>384</v>
      </c>
      <c r="P256" s="616" t="s">
        <v>2294</v>
      </c>
      <c r="Q256" s="1366"/>
      <c r="S256" s="596"/>
      <c r="T256" s="596"/>
      <c r="U256" s="596"/>
      <c r="V256" s="596"/>
      <c r="W256" s="596"/>
      <c r="X256" s="596"/>
      <c r="Y256" s="596"/>
      <c r="Z256" s="596"/>
      <c r="AA256" s="596"/>
    </row>
    <row r="257" spans="2:27" ht="12" customHeight="1">
      <c r="B257" s="766"/>
      <c r="C257" s="761" t="s">
        <v>391</v>
      </c>
      <c r="D257" s="761" t="s">
        <v>1750</v>
      </c>
      <c r="E257" s="762" t="s">
        <v>392</v>
      </c>
      <c r="F257" s="762" t="s">
        <v>3658</v>
      </c>
      <c r="G257" s="763" t="s">
        <v>914</v>
      </c>
      <c r="H257" s="764" t="s">
        <v>501</v>
      </c>
      <c r="I257" s="680"/>
      <c r="J257" s="613" t="s">
        <v>13</v>
      </c>
      <c r="K257" s="614"/>
      <c r="L257" s="609"/>
      <c r="M257" s="610"/>
      <c r="N257" s="615" t="s">
        <v>63</v>
      </c>
      <c r="O257" s="615" t="s">
        <v>3623</v>
      </c>
      <c r="P257" s="497" t="s">
        <v>2295</v>
      </c>
      <c r="Q257" s="1366"/>
      <c r="S257" s="596"/>
      <c r="T257" s="596"/>
      <c r="U257" s="596"/>
      <c r="V257" s="596"/>
      <c r="W257" s="596"/>
      <c r="X257" s="596"/>
      <c r="Y257" s="596"/>
      <c r="Z257" s="596"/>
      <c r="AA257" s="596"/>
    </row>
    <row r="258" spans="2:27" ht="12" customHeight="1">
      <c r="B258" s="766"/>
      <c r="C258" s="761" t="s">
        <v>393</v>
      </c>
      <c r="D258" s="761" t="s">
        <v>1903</v>
      </c>
      <c r="E258" s="762" t="s">
        <v>394</v>
      </c>
      <c r="F258" s="762" t="s">
        <v>3658</v>
      </c>
      <c r="G258" s="763" t="s">
        <v>915</v>
      </c>
      <c r="H258" s="764" t="s">
        <v>501</v>
      </c>
      <c r="I258" s="680"/>
      <c r="J258" s="613" t="s">
        <v>62</v>
      </c>
      <c r="K258" s="614"/>
      <c r="L258" s="609"/>
      <c r="M258" s="610"/>
      <c r="N258" s="615" t="s">
        <v>65</v>
      </c>
      <c r="O258" s="615" t="s">
        <v>430</v>
      </c>
      <c r="P258" s="497" t="s">
        <v>2296</v>
      </c>
      <c r="Q258" s="1366"/>
      <c r="S258" s="596"/>
      <c r="T258" s="596"/>
      <c r="U258" s="596"/>
      <c r="V258" s="596"/>
      <c r="W258" s="596"/>
      <c r="X258" s="596"/>
      <c r="Y258" s="596"/>
      <c r="Z258" s="596"/>
      <c r="AA258" s="596"/>
    </row>
    <row r="259" spans="2:27" ht="12" customHeight="1">
      <c r="B259" s="766"/>
      <c r="C259" s="761" t="s">
        <v>395</v>
      </c>
      <c r="D259" s="761" t="s">
        <v>1903</v>
      </c>
      <c r="E259" s="765" t="s">
        <v>1245</v>
      </c>
      <c r="F259" s="765" t="s">
        <v>3659</v>
      </c>
      <c r="G259" s="763" t="s">
        <v>3613</v>
      </c>
      <c r="H259" s="764" t="s">
        <v>502</v>
      </c>
      <c r="I259" s="681"/>
      <c r="J259" s="613" t="s">
        <v>64</v>
      </c>
      <c r="K259" s="614"/>
      <c r="L259" s="609"/>
      <c r="M259" s="610"/>
      <c r="N259" s="615" t="s">
        <v>67</v>
      </c>
      <c r="O259" s="615" t="s">
        <v>130</v>
      </c>
      <c r="P259" s="497" t="s">
        <v>2297</v>
      </c>
      <c r="Q259" s="1366"/>
      <c r="S259" s="596"/>
      <c r="T259" s="596"/>
      <c r="U259" s="596"/>
      <c r="V259" s="596"/>
      <c r="W259" s="596"/>
      <c r="X259" s="596"/>
      <c r="Y259" s="596"/>
      <c r="Z259" s="596"/>
      <c r="AA259" s="596"/>
    </row>
    <row r="260" spans="2:27" ht="12" customHeight="1">
      <c r="B260" s="766"/>
      <c r="C260" s="761" t="s">
        <v>396</v>
      </c>
      <c r="D260" s="761" t="s">
        <v>1750</v>
      </c>
      <c r="E260" s="762" t="s">
        <v>397</v>
      </c>
      <c r="F260" s="762" t="s">
        <v>3658</v>
      </c>
      <c r="G260" s="763" t="s">
        <v>916</v>
      </c>
      <c r="H260" s="764" t="s">
        <v>501</v>
      </c>
      <c r="I260" s="680"/>
      <c r="J260" s="613" t="s">
        <v>66</v>
      </c>
      <c r="K260" s="614"/>
      <c r="L260" s="609"/>
      <c r="M260" s="610"/>
      <c r="N260" s="615" t="s">
        <v>425</v>
      </c>
      <c r="O260" s="615" t="s">
        <v>3081</v>
      </c>
      <c r="P260" s="497" t="s">
        <v>2298</v>
      </c>
      <c r="Q260" s="1366"/>
      <c r="S260" s="596"/>
      <c r="T260" s="596"/>
      <c r="U260" s="596"/>
      <c r="V260" s="596"/>
      <c r="W260" s="596"/>
      <c r="X260" s="596"/>
      <c r="Y260" s="596"/>
      <c r="Z260" s="596"/>
      <c r="AA260" s="596"/>
    </row>
    <row r="261" spans="2:27" ht="12" customHeight="1">
      <c r="B261" s="766"/>
      <c r="C261" s="761" t="s">
        <v>398</v>
      </c>
      <c r="D261" s="761" t="s">
        <v>1903</v>
      </c>
      <c r="E261" s="762" t="s">
        <v>399</v>
      </c>
      <c r="F261" s="762" t="s">
        <v>3658</v>
      </c>
      <c r="G261" s="763" t="s">
        <v>327</v>
      </c>
      <c r="H261" s="764" t="s">
        <v>501</v>
      </c>
      <c r="I261" s="680"/>
      <c r="J261" s="613" t="s">
        <v>424</v>
      </c>
      <c r="K261" s="614"/>
      <c r="L261" s="609"/>
      <c r="M261" s="610"/>
      <c r="N261" s="615" t="s">
        <v>427</v>
      </c>
      <c r="O261" s="615" t="s">
        <v>1449</v>
      </c>
      <c r="P261" s="497" t="s">
        <v>2299</v>
      </c>
      <c r="Q261" s="1366"/>
      <c r="S261" s="596"/>
      <c r="T261" s="596"/>
      <c r="U261" s="596"/>
      <c r="V261" s="596"/>
      <c r="W261" s="596"/>
      <c r="X261" s="596"/>
      <c r="Y261" s="596"/>
      <c r="Z261" s="596"/>
      <c r="AA261" s="596"/>
    </row>
    <row r="262" spans="2:27" ht="12" customHeight="1">
      <c r="B262" s="766"/>
      <c r="C262" s="761" t="s">
        <v>400</v>
      </c>
      <c r="D262" s="761" t="s">
        <v>1750</v>
      </c>
      <c r="E262" s="762" t="s">
        <v>401</v>
      </c>
      <c r="F262" s="762" t="s">
        <v>3658</v>
      </c>
      <c r="G262" s="763" t="s">
        <v>328</v>
      </c>
      <c r="H262" s="764" t="s">
        <v>501</v>
      </c>
      <c r="I262" s="680"/>
      <c r="J262" s="613" t="s">
        <v>426</v>
      </c>
      <c r="K262" s="614"/>
      <c r="L262" s="609"/>
      <c r="M262" s="610"/>
      <c r="N262" s="615" t="s">
        <v>429</v>
      </c>
      <c r="O262" s="615" t="s">
        <v>1605</v>
      </c>
      <c r="P262" s="497" t="s">
        <v>2300</v>
      </c>
      <c r="Q262" s="1366"/>
      <c r="S262" s="596"/>
      <c r="T262" s="596"/>
      <c r="U262" s="596"/>
      <c r="V262" s="596"/>
      <c r="W262" s="596"/>
      <c r="X262" s="596"/>
      <c r="Y262" s="596"/>
      <c r="Z262" s="596"/>
      <c r="AA262" s="596"/>
    </row>
    <row r="263" spans="2:27" ht="12" customHeight="1">
      <c r="B263" s="766"/>
      <c r="C263" s="761" t="s">
        <v>402</v>
      </c>
      <c r="D263" s="761" t="s">
        <v>1750</v>
      </c>
      <c r="E263" s="762" t="s">
        <v>403</v>
      </c>
      <c r="F263" s="762" t="s">
        <v>3658</v>
      </c>
      <c r="G263" s="763" t="s">
        <v>329</v>
      </c>
      <c r="H263" s="764" t="s">
        <v>501</v>
      </c>
      <c r="I263" s="680"/>
      <c r="J263" s="613" t="s">
        <v>428</v>
      </c>
      <c r="K263" s="614"/>
      <c r="L263" s="609"/>
      <c r="M263" s="610"/>
      <c r="N263" s="615" t="s">
        <v>890</v>
      </c>
      <c r="O263" s="615" t="s">
        <v>2039</v>
      </c>
      <c r="P263" s="497" t="s">
        <v>2301</v>
      </c>
      <c r="Q263" s="1366"/>
      <c r="S263" s="596"/>
      <c r="T263" s="596"/>
      <c r="U263" s="596"/>
      <c r="V263" s="596"/>
      <c r="W263" s="596"/>
      <c r="X263" s="596"/>
      <c r="Y263" s="596"/>
      <c r="Z263" s="596"/>
      <c r="AA263" s="596"/>
    </row>
    <row r="264" spans="2:27" ht="12" customHeight="1">
      <c r="B264" s="766"/>
      <c r="C264" s="761" t="s">
        <v>595</v>
      </c>
      <c r="D264" s="761" t="s">
        <v>1903</v>
      </c>
      <c r="E264" s="765" t="s">
        <v>1888</v>
      </c>
      <c r="F264" s="765" t="s">
        <v>3659</v>
      </c>
      <c r="G264" s="763" t="s">
        <v>3616</v>
      </c>
      <c r="H264" s="764" t="s">
        <v>502</v>
      </c>
      <c r="I264" s="681"/>
      <c r="J264" s="613" t="s">
        <v>3207</v>
      </c>
      <c r="K264" s="614"/>
      <c r="L264" s="609"/>
      <c r="M264" s="610"/>
      <c r="N264" s="615" t="s">
        <v>3208</v>
      </c>
      <c r="O264" s="615" t="s">
        <v>936</v>
      </c>
      <c r="P264" s="497" t="s">
        <v>2302</v>
      </c>
      <c r="Q264" s="1366"/>
      <c r="S264" s="596"/>
      <c r="T264" s="596"/>
      <c r="U264" s="596"/>
      <c r="V264" s="596"/>
      <c r="W264" s="596"/>
      <c r="X264" s="596"/>
      <c r="Y264" s="596"/>
      <c r="Z264" s="596"/>
      <c r="AA264" s="596"/>
    </row>
    <row r="265" spans="2:27" ht="12" customHeight="1">
      <c r="B265" s="766"/>
      <c r="C265" s="761" t="s">
        <v>596</v>
      </c>
      <c r="D265" s="761" t="s">
        <v>1903</v>
      </c>
      <c r="E265" s="765" t="s">
        <v>1248</v>
      </c>
      <c r="F265" s="765" t="s">
        <v>3659</v>
      </c>
      <c r="G265" s="763" t="s">
        <v>330</v>
      </c>
      <c r="H265" s="764" t="s">
        <v>502</v>
      </c>
      <c r="I265" s="681"/>
      <c r="J265" s="613" t="s">
        <v>3209</v>
      </c>
      <c r="K265" s="614"/>
      <c r="L265" s="609"/>
      <c r="M265" s="610"/>
      <c r="N265" s="615" t="s">
        <v>1900</v>
      </c>
      <c r="O265" s="615" t="s">
        <v>934</v>
      </c>
      <c r="P265" s="497" t="s">
        <v>2303</v>
      </c>
      <c r="Q265" s="1366"/>
      <c r="S265" s="596"/>
      <c r="T265" s="596"/>
      <c r="U265" s="596"/>
      <c r="V265" s="596"/>
      <c r="W265" s="596"/>
      <c r="X265" s="596"/>
      <c r="Y265" s="596"/>
      <c r="Z265" s="596"/>
      <c r="AA265" s="596"/>
    </row>
    <row r="266" spans="2:27" ht="12" customHeight="1">
      <c r="B266" s="766"/>
      <c r="C266" s="761" t="s">
        <v>2038</v>
      </c>
      <c r="D266" s="761" t="s">
        <v>1750</v>
      </c>
      <c r="E266" s="762" t="s">
        <v>2544</v>
      </c>
      <c r="F266" s="762" t="s">
        <v>3659</v>
      </c>
      <c r="G266" s="763" t="s">
        <v>3619</v>
      </c>
      <c r="H266" s="764" t="s">
        <v>502</v>
      </c>
      <c r="I266" s="680"/>
      <c r="J266" s="613" t="s">
        <v>3210</v>
      </c>
      <c r="K266" s="614"/>
      <c r="L266" s="609"/>
      <c r="M266" s="610"/>
      <c r="N266" s="615" t="s">
        <v>3212</v>
      </c>
      <c r="O266" s="615" t="s">
        <v>113</v>
      </c>
      <c r="P266" s="497" t="s">
        <v>2304</v>
      </c>
      <c r="Q266" s="1366"/>
      <c r="S266" s="596"/>
      <c r="T266" s="596"/>
      <c r="U266" s="596"/>
      <c r="V266" s="596"/>
      <c r="W266" s="596"/>
      <c r="X266" s="596"/>
      <c r="Y266" s="596"/>
      <c r="Z266" s="596"/>
      <c r="AA266" s="596"/>
    </row>
    <row r="267" spans="2:27" ht="12" customHeight="1">
      <c r="B267" s="766"/>
      <c r="C267" s="761" t="s">
        <v>2039</v>
      </c>
      <c r="D267" s="761" t="s">
        <v>1750</v>
      </c>
      <c r="E267" s="762" t="s">
        <v>2040</v>
      </c>
      <c r="F267" s="762" t="s">
        <v>3658</v>
      </c>
      <c r="G267" s="763" t="s">
        <v>331</v>
      </c>
      <c r="H267" s="764" t="s">
        <v>501</v>
      </c>
      <c r="I267" s="680"/>
      <c r="J267" s="613" t="s">
        <v>3211</v>
      </c>
      <c r="K267" s="614"/>
      <c r="L267" s="609"/>
      <c r="M267" s="610"/>
      <c r="N267" s="615" t="s">
        <v>2165</v>
      </c>
      <c r="O267" s="615" t="s">
        <v>2385</v>
      </c>
      <c r="P267" s="497" t="s">
        <v>2305</v>
      </c>
      <c r="Q267" s="1366"/>
      <c r="S267" s="596"/>
      <c r="T267" s="596"/>
      <c r="U267" s="596"/>
      <c r="V267" s="596"/>
      <c r="W267" s="596"/>
      <c r="X267" s="596"/>
      <c r="Y267" s="596"/>
      <c r="Z267" s="596"/>
      <c r="AA267" s="596"/>
    </row>
    <row r="268" spans="2:27" ht="12" customHeight="1">
      <c r="B268" s="766"/>
      <c r="C268" s="761" t="s">
        <v>2041</v>
      </c>
      <c r="D268" s="761" t="s">
        <v>1750</v>
      </c>
      <c r="E268" s="765" t="s">
        <v>2638</v>
      </c>
      <c r="F268" s="765" t="s">
        <v>3659</v>
      </c>
      <c r="G268" s="763" t="s">
        <v>1684</v>
      </c>
      <c r="H268" s="764" t="s">
        <v>502</v>
      </c>
      <c r="I268" s="681"/>
      <c r="J268" s="613" t="s">
        <v>2164</v>
      </c>
      <c r="K268" s="614"/>
      <c r="L268" s="609"/>
      <c r="M268" s="610"/>
      <c r="N268" s="615" t="s">
        <v>2167</v>
      </c>
      <c r="O268" s="615" t="s">
        <v>927</v>
      </c>
      <c r="P268" s="497" t="s">
        <v>2306</v>
      </c>
      <c r="Q268" s="1366"/>
      <c r="S268" s="596"/>
      <c r="T268" s="596"/>
      <c r="U268" s="596"/>
      <c r="V268" s="596"/>
      <c r="W268" s="596"/>
      <c r="X268" s="596"/>
      <c r="Y268" s="596"/>
      <c r="Z268" s="596"/>
      <c r="AA268" s="596"/>
    </row>
    <row r="269" spans="2:27" ht="12" customHeight="1">
      <c r="B269" s="766"/>
      <c r="C269" s="761" t="s">
        <v>2042</v>
      </c>
      <c r="D269" s="761" t="s">
        <v>1750</v>
      </c>
      <c r="E269" s="762" t="s">
        <v>1249</v>
      </c>
      <c r="F269" s="762" t="s">
        <v>3659</v>
      </c>
      <c r="G269" s="763" t="s">
        <v>332</v>
      </c>
      <c r="H269" s="764" t="s">
        <v>502</v>
      </c>
      <c r="I269" s="680"/>
      <c r="J269" s="613" t="s">
        <v>2166</v>
      </c>
      <c r="K269" s="614"/>
      <c r="L269" s="609"/>
      <c r="M269" s="610"/>
      <c r="N269" s="615" t="s">
        <v>2169</v>
      </c>
      <c r="O269" s="615" t="s">
        <v>202</v>
      </c>
      <c r="P269" s="497" t="s">
        <v>2307</v>
      </c>
      <c r="Q269" s="1366"/>
      <c r="S269" s="596"/>
      <c r="T269" s="596"/>
      <c r="U269" s="596"/>
      <c r="V269" s="596"/>
      <c r="W269" s="596"/>
      <c r="X269" s="596"/>
      <c r="Y269" s="596"/>
      <c r="Z269" s="596"/>
      <c r="AA269" s="596"/>
    </row>
    <row r="270" spans="2:27" ht="12" customHeight="1">
      <c r="B270" s="766"/>
      <c r="C270" s="761" t="s">
        <v>2043</v>
      </c>
      <c r="D270" s="761" t="s">
        <v>1903</v>
      </c>
      <c r="E270" s="762" t="s">
        <v>2044</v>
      </c>
      <c r="F270" s="762" t="s">
        <v>3658</v>
      </c>
      <c r="G270" s="763" t="s">
        <v>3538</v>
      </c>
      <c r="H270" s="764" t="s">
        <v>501</v>
      </c>
      <c r="I270" s="680"/>
      <c r="J270" s="613" t="s">
        <v>2168</v>
      </c>
      <c r="K270" s="614"/>
      <c r="L270" s="609"/>
      <c r="M270" s="610"/>
      <c r="N270" s="615" t="s">
        <v>2171</v>
      </c>
      <c r="O270" s="615" t="s">
        <v>1881</v>
      </c>
      <c r="P270" s="497" t="s">
        <v>2308</v>
      </c>
      <c r="Q270" s="1366"/>
      <c r="S270" s="596"/>
      <c r="T270" s="596"/>
      <c r="U270" s="596"/>
      <c r="V270" s="596"/>
      <c r="W270" s="596"/>
      <c r="X270" s="596"/>
      <c r="Y270" s="596"/>
      <c r="Z270" s="596"/>
      <c r="AA270" s="596"/>
    </row>
    <row r="271" spans="2:27" ht="12" customHeight="1">
      <c r="B271" s="766"/>
      <c r="C271" s="761" t="s">
        <v>2045</v>
      </c>
      <c r="D271" s="761" t="s">
        <v>1750</v>
      </c>
      <c r="E271" s="762" t="s">
        <v>2046</v>
      </c>
      <c r="F271" s="762" t="s">
        <v>3659</v>
      </c>
      <c r="G271" s="763" t="s">
        <v>968</v>
      </c>
      <c r="H271" s="764" t="s">
        <v>502</v>
      </c>
      <c r="I271" s="680"/>
      <c r="J271" s="613" t="s">
        <v>2170</v>
      </c>
      <c r="K271" s="614"/>
      <c r="L271" s="609"/>
      <c r="M271" s="610"/>
      <c r="N271" s="615" t="s">
        <v>2173</v>
      </c>
      <c r="O271" s="615" t="s">
        <v>218</v>
      </c>
      <c r="P271" s="497" t="s">
        <v>2309</v>
      </c>
      <c r="Q271" s="1366"/>
      <c r="S271" s="596"/>
      <c r="T271" s="596"/>
      <c r="U271" s="596"/>
      <c r="V271" s="596"/>
      <c r="W271" s="596"/>
      <c r="X271" s="596"/>
      <c r="Y271" s="596"/>
      <c r="Z271" s="596"/>
      <c r="AA271" s="596"/>
    </row>
    <row r="272" spans="2:27" ht="12" customHeight="1">
      <c r="B272" s="766"/>
      <c r="C272" s="761" t="s">
        <v>214</v>
      </c>
      <c r="D272" s="761" t="s">
        <v>1750</v>
      </c>
      <c r="E272" s="762" t="s">
        <v>2544</v>
      </c>
      <c r="F272" s="762" t="s">
        <v>3659</v>
      </c>
      <c r="G272" s="763" t="s">
        <v>3619</v>
      </c>
      <c r="H272" s="764" t="s">
        <v>502</v>
      </c>
      <c r="I272" s="680"/>
      <c r="J272" s="613" t="s">
        <v>2172</v>
      </c>
      <c r="K272" s="614"/>
      <c r="L272" s="609"/>
      <c r="M272" s="610"/>
      <c r="N272" s="615" t="s">
        <v>2598</v>
      </c>
      <c r="O272" s="615" t="s">
        <v>927</v>
      </c>
      <c r="P272" s="497" t="s">
        <v>2310</v>
      </c>
      <c r="Q272" s="1366"/>
      <c r="S272" s="596"/>
      <c r="T272" s="596"/>
      <c r="U272" s="596"/>
      <c r="V272" s="596"/>
      <c r="W272" s="596"/>
      <c r="X272" s="596"/>
      <c r="Y272" s="596"/>
      <c r="Z272" s="596"/>
      <c r="AA272" s="596"/>
    </row>
    <row r="273" spans="2:27" ht="12" customHeight="1">
      <c r="B273" s="766"/>
      <c r="C273" s="761" t="s">
        <v>215</v>
      </c>
      <c r="D273" s="761" t="s">
        <v>1879</v>
      </c>
      <c r="E273" s="765" t="s">
        <v>216</v>
      </c>
      <c r="F273" s="765" t="s">
        <v>3658</v>
      </c>
      <c r="G273" s="763" t="s">
        <v>969</v>
      </c>
      <c r="H273" s="764" t="s">
        <v>501</v>
      </c>
      <c r="I273" s="681"/>
      <c r="J273" s="613" t="s">
        <v>2597</v>
      </c>
      <c r="K273" s="614"/>
      <c r="L273" s="609"/>
      <c r="M273" s="610"/>
      <c r="N273" s="615" t="s">
        <v>2600</v>
      </c>
      <c r="O273" s="615" t="s">
        <v>1130</v>
      </c>
      <c r="P273" s="497" t="s">
        <v>2311</v>
      </c>
      <c r="Q273" s="1366"/>
      <c r="S273" s="596"/>
      <c r="T273" s="596"/>
      <c r="U273" s="596"/>
      <c r="V273" s="596"/>
      <c r="W273" s="596"/>
      <c r="X273" s="596"/>
      <c r="Y273" s="596"/>
      <c r="Z273" s="596"/>
      <c r="AA273" s="596"/>
    </row>
    <row r="274" spans="2:27" ht="12" customHeight="1">
      <c r="B274" s="766"/>
      <c r="C274" s="761" t="s">
        <v>1888</v>
      </c>
      <c r="D274" s="761" t="s">
        <v>1903</v>
      </c>
      <c r="E274" s="762" t="s">
        <v>217</v>
      </c>
      <c r="F274" s="762" t="s">
        <v>3658</v>
      </c>
      <c r="G274" s="763" t="s">
        <v>970</v>
      </c>
      <c r="H274" s="764" t="s">
        <v>501</v>
      </c>
      <c r="I274" s="680"/>
      <c r="J274" s="613" t="s">
        <v>2599</v>
      </c>
      <c r="K274" s="614"/>
      <c r="L274" s="609"/>
      <c r="M274" s="610"/>
      <c r="N274" s="615" t="s">
        <v>1529</v>
      </c>
      <c r="O274" s="615" t="s">
        <v>1882</v>
      </c>
      <c r="P274" s="497" t="s">
        <v>2312</v>
      </c>
      <c r="Q274" s="1366"/>
      <c r="S274" s="596"/>
      <c r="T274" s="596"/>
      <c r="U274" s="596"/>
      <c r="V274" s="596"/>
      <c r="W274" s="596"/>
      <c r="X274" s="596"/>
      <c r="Y274" s="596"/>
      <c r="Z274" s="596"/>
      <c r="AA274" s="596"/>
    </row>
    <row r="275" spans="2:27" ht="12" customHeight="1">
      <c r="B275" s="766"/>
      <c r="C275" s="761" t="s">
        <v>218</v>
      </c>
      <c r="D275" s="761" t="s">
        <v>1903</v>
      </c>
      <c r="E275" s="762" t="s">
        <v>2929</v>
      </c>
      <c r="F275" s="762" t="s">
        <v>3659</v>
      </c>
      <c r="G275" s="763" t="s">
        <v>880</v>
      </c>
      <c r="H275" s="764" t="s">
        <v>502</v>
      </c>
      <c r="I275" s="680"/>
      <c r="J275" s="613" t="s">
        <v>2601</v>
      </c>
      <c r="K275" s="614"/>
      <c r="L275" s="609"/>
      <c r="M275" s="610"/>
      <c r="N275" s="615" t="s">
        <v>1532</v>
      </c>
      <c r="O275" s="615" t="s">
        <v>925</v>
      </c>
      <c r="P275" s="497" t="s">
        <v>2313</v>
      </c>
      <c r="Q275" s="1366"/>
      <c r="S275" s="596"/>
      <c r="T275" s="596"/>
      <c r="U275" s="596"/>
      <c r="V275" s="596"/>
      <c r="W275" s="596"/>
      <c r="X275" s="596"/>
      <c r="Y275" s="596"/>
      <c r="Z275" s="596"/>
      <c r="AA275" s="596"/>
    </row>
    <row r="276" spans="2:27" ht="12" customHeight="1">
      <c r="B276" s="766"/>
      <c r="C276" s="761" t="s">
        <v>430</v>
      </c>
      <c r="D276" s="761" t="s">
        <v>1903</v>
      </c>
      <c r="E276" s="765" t="s">
        <v>199</v>
      </c>
      <c r="F276" s="765" t="s">
        <v>3659</v>
      </c>
      <c r="G276" s="763" t="s">
        <v>2530</v>
      </c>
      <c r="H276" s="764" t="s">
        <v>502</v>
      </c>
      <c r="I276" s="681"/>
      <c r="J276" s="613" t="s">
        <v>1530</v>
      </c>
      <c r="K276" s="614"/>
      <c r="L276" s="609"/>
      <c r="M276" s="610"/>
      <c r="N276" s="615" t="s">
        <v>284</v>
      </c>
      <c r="O276" s="615" t="s">
        <v>3545</v>
      </c>
      <c r="P276" s="497" t="s">
        <v>2314</v>
      </c>
      <c r="Q276" s="1366"/>
      <c r="S276" s="596"/>
      <c r="T276" s="596"/>
      <c r="U276" s="596"/>
      <c r="V276" s="596"/>
      <c r="W276" s="596"/>
      <c r="X276" s="596"/>
      <c r="Y276" s="596"/>
      <c r="Z276" s="596"/>
      <c r="AA276" s="596"/>
    </row>
    <row r="277" spans="2:27" ht="12" customHeight="1">
      <c r="B277" s="766"/>
      <c r="C277" s="761" t="s">
        <v>2753</v>
      </c>
      <c r="D277" s="761" t="s">
        <v>1903</v>
      </c>
      <c r="E277" s="765" t="s">
        <v>1246</v>
      </c>
      <c r="F277" s="765" t="s">
        <v>3659</v>
      </c>
      <c r="G277" s="763" t="s">
        <v>3638</v>
      </c>
      <c r="H277" s="764" t="s">
        <v>502</v>
      </c>
      <c r="I277" s="681"/>
      <c r="J277" s="613" t="s">
        <v>1531</v>
      </c>
      <c r="K277" s="614"/>
      <c r="L277" s="609"/>
      <c r="M277" s="610"/>
      <c r="N277" s="615" t="s">
        <v>2613</v>
      </c>
      <c r="O277" s="615" t="s">
        <v>1611</v>
      </c>
      <c r="P277" s="497" t="s">
        <v>2315</v>
      </c>
      <c r="Q277" s="1366"/>
      <c r="S277" s="596"/>
      <c r="T277" s="596"/>
      <c r="U277" s="596"/>
      <c r="V277" s="596"/>
      <c r="W277" s="596"/>
      <c r="X277" s="596"/>
      <c r="Y277" s="596"/>
      <c r="Z277" s="596"/>
      <c r="AA277" s="596"/>
    </row>
    <row r="278" spans="2:27" ht="12" customHeight="1">
      <c r="B278" s="766"/>
      <c r="C278" s="761" t="s">
        <v>2754</v>
      </c>
      <c r="D278" s="761" t="s">
        <v>1750</v>
      </c>
      <c r="E278" s="762" t="s">
        <v>12</v>
      </c>
      <c r="F278" s="762" t="s">
        <v>3659</v>
      </c>
      <c r="G278" s="763" t="s">
        <v>3618</v>
      </c>
      <c r="H278" s="764" t="s">
        <v>502</v>
      </c>
      <c r="I278" s="680"/>
      <c r="J278" s="613" t="s">
        <v>283</v>
      </c>
      <c r="K278" s="614"/>
      <c r="L278" s="609"/>
      <c r="M278" s="610"/>
      <c r="N278" s="615" t="s">
        <v>2949</v>
      </c>
      <c r="O278" s="615" t="s">
        <v>390</v>
      </c>
      <c r="P278" s="497" t="s">
        <v>2316</v>
      </c>
      <c r="Q278" s="1366"/>
      <c r="S278" s="596"/>
      <c r="T278" s="596"/>
      <c r="U278" s="596"/>
      <c r="V278" s="596"/>
      <c r="W278" s="596"/>
      <c r="X278" s="596"/>
      <c r="Y278" s="596"/>
      <c r="Z278" s="596"/>
      <c r="AA278" s="596"/>
    </row>
    <row r="279" spans="2:27" ht="12" customHeight="1">
      <c r="B279" s="766"/>
      <c r="C279" s="761" t="s">
        <v>2755</v>
      </c>
      <c r="D279" s="761" t="s">
        <v>1903</v>
      </c>
      <c r="E279" s="765" t="s">
        <v>1250</v>
      </c>
      <c r="F279" s="765" t="s">
        <v>3659</v>
      </c>
      <c r="G279" s="763" t="s">
        <v>971</v>
      </c>
      <c r="H279" s="764" t="s">
        <v>502</v>
      </c>
      <c r="I279" s="681"/>
      <c r="J279" s="613" t="s">
        <v>285</v>
      </c>
      <c r="K279" s="614"/>
      <c r="L279" s="609"/>
      <c r="M279" s="610"/>
      <c r="N279" s="615" t="s">
        <v>2951</v>
      </c>
      <c r="O279" s="615" t="s">
        <v>388</v>
      </c>
      <c r="P279" s="497" t="s">
        <v>2317</v>
      </c>
      <c r="Q279" s="1366"/>
      <c r="S279" s="596"/>
      <c r="T279" s="596"/>
      <c r="U279" s="596"/>
      <c r="V279" s="596"/>
      <c r="W279" s="596"/>
      <c r="X279" s="596"/>
      <c r="Y279" s="596"/>
      <c r="Z279" s="596"/>
      <c r="AA279" s="596"/>
    </row>
    <row r="280" spans="2:27" ht="12" customHeight="1">
      <c r="B280" s="766"/>
      <c r="C280" s="761" t="s">
        <v>2383</v>
      </c>
      <c r="D280" s="761" t="s">
        <v>1750</v>
      </c>
      <c r="E280" s="762" t="s">
        <v>2384</v>
      </c>
      <c r="F280" s="762" t="s">
        <v>3658</v>
      </c>
      <c r="G280" s="763" t="s">
        <v>972</v>
      </c>
      <c r="H280" s="764" t="s">
        <v>501</v>
      </c>
      <c r="I280" s="680"/>
      <c r="J280" s="613" t="s">
        <v>1819</v>
      </c>
      <c r="K280" s="614"/>
      <c r="L280" s="609"/>
      <c r="M280" s="610"/>
      <c r="N280" s="615" t="s">
        <v>2953</v>
      </c>
      <c r="O280" s="615" t="s">
        <v>888</v>
      </c>
      <c r="P280" s="497" t="s">
        <v>2318</v>
      </c>
      <c r="Q280" s="1366"/>
      <c r="S280" s="596"/>
      <c r="T280" s="596"/>
      <c r="U280" s="596"/>
      <c r="V280" s="596"/>
      <c r="W280" s="596"/>
      <c r="X280" s="596"/>
      <c r="Y280" s="596"/>
      <c r="Z280" s="596"/>
      <c r="AA280" s="596"/>
    </row>
    <row r="281" spans="2:27" ht="12" customHeight="1">
      <c r="B281" s="766"/>
      <c r="C281" s="761" t="s">
        <v>2385</v>
      </c>
      <c r="D281" s="761" t="s">
        <v>1750</v>
      </c>
      <c r="E281" s="762" t="s">
        <v>2386</v>
      </c>
      <c r="F281" s="762" t="s">
        <v>3658</v>
      </c>
      <c r="G281" s="763" t="s">
        <v>973</v>
      </c>
      <c r="H281" s="764" t="s">
        <v>501</v>
      </c>
      <c r="I281" s="680"/>
      <c r="J281" s="613" t="s">
        <v>2948</v>
      </c>
      <c r="K281" s="614"/>
      <c r="L281" s="609"/>
      <c r="M281" s="610"/>
      <c r="N281" s="615" t="s">
        <v>2955</v>
      </c>
      <c r="O281" s="615" t="s">
        <v>3625</v>
      </c>
      <c r="P281" s="497" t="s">
        <v>2319</v>
      </c>
      <c r="Q281" s="1366"/>
      <c r="S281" s="596"/>
      <c r="T281" s="596"/>
      <c r="U281" s="596"/>
      <c r="V281" s="596"/>
      <c r="W281" s="596"/>
      <c r="X281" s="596"/>
      <c r="Y281" s="596"/>
      <c r="Z281" s="596"/>
      <c r="AA281" s="596"/>
    </row>
    <row r="282" spans="2:27" ht="12" customHeight="1">
      <c r="B282" s="766"/>
      <c r="C282" s="761" t="s">
        <v>2387</v>
      </c>
      <c r="D282" s="761" t="s">
        <v>1903</v>
      </c>
      <c r="E282" s="765" t="s">
        <v>2928</v>
      </c>
      <c r="F282" s="765" t="s">
        <v>3659</v>
      </c>
      <c r="G282" s="763" t="s">
        <v>974</v>
      </c>
      <c r="H282" s="764" t="s">
        <v>502</v>
      </c>
      <c r="I282" s="681"/>
      <c r="J282" s="613" t="s">
        <v>2950</v>
      </c>
      <c r="K282" s="614"/>
      <c r="L282" s="609"/>
      <c r="M282" s="610"/>
      <c r="N282" s="615" t="s">
        <v>963</v>
      </c>
      <c r="O282" s="615" t="s">
        <v>1745</v>
      </c>
      <c r="P282" s="497" t="s">
        <v>2320</v>
      </c>
      <c r="Q282" s="1366"/>
      <c r="S282" s="596"/>
      <c r="T282" s="596"/>
      <c r="U282" s="596"/>
      <c r="V282" s="596"/>
      <c r="W282" s="596"/>
      <c r="X282" s="596"/>
      <c r="Y282" s="596"/>
      <c r="Z282" s="596"/>
      <c r="AA282" s="596"/>
    </row>
    <row r="283" spans="2:27" ht="12" customHeight="1">
      <c r="B283" s="766"/>
      <c r="C283" s="761" t="s">
        <v>223</v>
      </c>
      <c r="D283" s="761" t="s">
        <v>1750</v>
      </c>
      <c r="E283" s="762" t="s">
        <v>224</v>
      </c>
      <c r="F283" s="762" t="s">
        <v>3658</v>
      </c>
      <c r="G283" s="763" t="s">
        <v>975</v>
      </c>
      <c r="H283" s="764" t="s">
        <v>501</v>
      </c>
      <c r="I283" s="680"/>
      <c r="J283" s="613" t="s">
        <v>2952</v>
      </c>
      <c r="K283" s="614"/>
      <c r="L283" s="609"/>
      <c r="M283" s="610"/>
      <c r="N283" s="497" t="s">
        <v>3596</v>
      </c>
      <c r="O283" s="497" t="s">
        <v>2889</v>
      </c>
      <c r="P283" s="1368" t="s">
        <v>3033</v>
      </c>
      <c r="Q283" s="1366"/>
      <c r="S283" s="596"/>
      <c r="T283" s="596"/>
      <c r="U283" s="596"/>
      <c r="V283" s="596"/>
      <c r="W283" s="596"/>
      <c r="X283" s="596"/>
      <c r="Y283" s="596"/>
      <c r="Z283" s="596"/>
      <c r="AA283" s="596"/>
    </row>
    <row r="284" spans="2:27" ht="12" customHeight="1">
      <c r="B284" s="766"/>
      <c r="C284" s="761" t="s">
        <v>3623</v>
      </c>
      <c r="D284" s="761" t="s">
        <v>1903</v>
      </c>
      <c r="E284" s="765" t="s">
        <v>3624</v>
      </c>
      <c r="F284" s="765" t="s">
        <v>3658</v>
      </c>
      <c r="G284" s="763" t="s">
        <v>976</v>
      </c>
      <c r="H284" s="764" t="s">
        <v>501</v>
      </c>
      <c r="I284" s="681"/>
      <c r="J284" s="613" t="s">
        <v>2954</v>
      </c>
      <c r="K284" s="614"/>
      <c r="L284" s="609"/>
      <c r="M284" s="610"/>
      <c r="N284" s="615" t="s">
        <v>2957</v>
      </c>
      <c r="O284" s="615" t="s">
        <v>239</v>
      </c>
      <c r="P284" s="497" t="s">
        <v>2321</v>
      </c>
      <c r="Q284" s="1366"/>
      <c r="S284" s="596"/>
      <c r="T284" s="596"/>
      <c r="U284" s="596"/>
      <c r="V284" s="596"/>
      <c r="W284" s="596"/>
      <c r="X284" s="596"/>
      <c r="Y284" s="596"/>
      <c r="Z284" s="596"/>
      <c r="AA284" s="596"/>
    </row>
    <row r="285" spans="2:27" ht="12" customHeight="1">
      <c r="B285" s="766"/>
      <c r="C285" s="761" t="s">
        <v>3625</v>
      </c>
      <c r="D285" s="761" t="s">
        <v>1879</v>
      </c>
      <c r="E285" s="762" t="s">
        <v>3626</v>
      </c>
      <c r="F285" s="762" t="s">
        <v>3659</v>
      </c>
      <c r="G285" s="763" t="s">
        <v>2831</v>
      </c>
      <c r="H285" s="764" t="s">
        <v>502</v>
      </c>
      <c r="I285" s="680"/>
      <c r="J285" s="613" t="s">
        <v>2956</v>
      </c>
      <c r="K285" s="614"/>
      <c r="L285" s="609"/>
      <c r="M285" s="610"/>
      <c r="N285" s="615" t="s">
        <v>2959</v>
      </c>
      <c r="O285" s="615" t="s">
        <v>239</v>
      </c>
      <c r="P285" s="497" t="s">
        <v>2322</v>
      </c>
      <c r="Q285" s="1366"/>
      <c r="S285" s="596"/>
      <c r="T285" s="596"/>
      <c r="U285" s="596"/>
      <c r="V285" s="596"/>
      <c r="W285" s="596"/>
      <c r="X285" s="596"/>
      <c r="Y285" s="596"/>
      <c r="Z285" s="596"/>
      <c r="AA285" s="596"/>
    </row>
    <row r="286" spans="2:27" ht="12" customHeight="1">
      <c r="B286" s="766"/>
      <c r="C286" s="761" t="s">
        <v>3627</v>
      </c>
      <c r="D286" s="761" t="s">
        <v>1903</v>
      </c>
      <c r="E286" s="765" t="s">
        <v>199</v>
      </c>
      <c r="F286" s="765" t="s">
        <v>3659</v>
      </c>
      <c r="G286" s="763" t="s">
        <v>2530</v>
      </c>
      <c r="H286" s="764" t="s">
        <v>502</v>
      </c>
      <c r="I286" s="681"/>
      <c r="J286" s="613" t="s">
        <v>2958</v>
      </c>
      <c r="K286" s="614"/>
      <c r="L286" s="609"/>
      <c r="M286" s="610"/>
      <c r="N286" s="615" t="s">
        <v>943</v>
      </c>
      <c r="O286" s="615" t="s">
        <v>2889</v>
      </c>
      <c r="P286" s="497" t="s">
        <v>2323</v>
      </c>
      <c r="Q286" s="1366"/>
      <c r="S286" s="596"/>
      <c r="T286" s="596"/>
      <c r="U286" s="596"/>
      <c r="V286" s="596"/>
      <c r="W286" s="596"/>
      <c r="X286" s="596"/>
      <c r="Y286" s="596"/>
      <c r="Z286" s="596"/>
      <c r="AA286" s="596"/>
    </row>
    <row r="287" spans="2:27" ht="12" customHeight="1">
      <c r="B287" s="766"/>
      <c r="C287" s="761" t="s">
        <v>3628</v>
      </c>
      <c r="D287" s="761" t="s">
        <v>1903</v>
      </c>
      <c r="E287" s="765" t="s">
        <v>1245</v>
      </c>
      <c r="F287" s="765" t="s">
        <v>3659</v>
      </c>
      <c r="G287" s="763" t="s">
        <v>3613</v>
      </c>
      <c r="H287" s="764" t="s">
        <v>502</v>
      </c>
      <c r="I287" s="681"/>
      <c r="J287" s="613" t="s">
        <v>942</v>
      </c>
      <c r="K287" s="614"/>
      <c r="L287" s="609"/>
      <c r="M287" s="610"/>
      <c r="N287" s="615" t="s">
        <v>3254</v>
      </c>
      <c r="O287" s="615" t="s">
        <v>131</v>
      </c>
      <c r="P287" s="497" t="s">
        <v>2324</v>
      </c>
      <c r="Q287" s="1366"/>
      <c r="S287" s="596"/>
      <c r="T287" s="596"/>
      <c r="U287" s="596"/>
      <c r="V287" s="596"/>
      <c r="W287" s="596"/>
      <c r="X287" s="596"/>
      <c r="Y287" s="596"/>
      <c r="Z287" s="596"/>
      <c r="AA287" s="596"/>
    </row>
    <row r="288" spans="2:27" ht="12" customHeight="1">
      <c r="B288" s="766"/>
      <c r="C288" s="761" t="s">
        <v>3629</v>
      </c>
      <c r="D288" s="761" t="s">
        <v>1903</v>
      </c>
      <c r="E288" s="762" t="s">
        <v>2929</v>
      </c>
      <c r="F288" s="762" t="s">
        <v>3659</v>
      </c>
      <c r="G288" s="763" t="s">
        <v>880</v>
      </c>
      <c r="H288" s="764" t="s">
        <v>502</v>
      </c>
      <c r="I288" s="680"/>
      <c r="J288" s="613" t="s">
        <v>3252</v>
      </c>
      <c r="K288" s="614"/>
      <c r="L288" s="609"/>
      <c r="M288" s="610"/>
      <c r="N288" s="615" t="s">
        <v>1800</v>
      </c>
      <c r="O288" s="615" t="s">
        <v>888</v>
      </c>
      <c r="P288" s="497" t="s">
        <v>2325</v>
      </c>
      <c r="Q288" s="1366"/>
      <c r="S288" s="596"/>
      <c r="T288" s="596"/>
      <c r="U288" s="596"/>
      <c r="V288" s="596"/>
      <c r="W288" s="596"/>
      <c r="X288" s="596"/>
      <c r="Y288" s="596"/>
      <c r="Z288" s="596"/>
      <c r="AA288" s="596"/>
    </row>
    <row r="289" spans="2:27" ht="12" customHeight="1">
      <c r="B289" s="766"/>
      <c r="C289" s="761" t="s">
        <v>3630</v>
      </c>
      <c r="D289" s="761" t="s">
        <v>1903</v>
      </c>
      <c r="E289" s="762" t="s">
        <v>2929</v>
      </c>
      <c r="F289" s="762" t="s">
        <v>3659</v>
      </c>
      <c r="G289" s="763" t="s">
        <v>880</v>
      </c>
      <c r="H289" s="764" t="s">
        <v>502</v>
      </c>
      <c r="I289" s="680"/>
      <c r="J289" s="613" t="s">
        <v>3253</v>
      </c>
      <c r="K289" s="614"/>
      <c r="L289" s="609"/>
      <c r="M289" s="610"/>
      <c r="N289" s="615" t="s">
        <v>1802</v>
      </c>
      <c r="O289" s="615" t="s">
        <v>3157</v>
      </c>
      <c r="P289" s="497" t="s">
        <v>2326</v>
      </c>
      <c r="Q289" s="1366"/>
      <c r="S289" s="596"/>
      <c r="T289" s="596"/>
      <c r="U289" s="596"/>
      <c r="V289" s="596"/>
      <c r="W289" s="596"/>
      <c r="X289" s="596"/>
      <c r="Y289" s="596"/>
      <c r="Z289" s="596"/>
      <c r="AA289" s="596"/>
    </row>
    <row r="290" spans="2:27" ht="12" customHeight="1">
      <c r="B290" s="766"/>
      <c r="C290" s="761" t="s">
        <v>3631</v>
      </c>
      <c r="D290" s="761" t="s">
        <v>1879</v>
      </c>
      <c r="E290" s="765" t="s">
        <v>1245</v>
      </c>
      <c r="F290" s="765" t="s">
        <v>3659</v>
      </c>
      <c r="G290" s="763" t="s">
        <v>3613</v>
      </c>
      <c r="H290" s="764" t="s">
        <v>502</v>
      </c>
      <c r="I290" s="681"/>
      <c r="J290" s="613" t="s">
        <v>1799</v>
      </c>
      <c r="K290" s="614"/>
      <c r="L290" s="609"/>
      <c r="M290" s="610"/>
      <c r="N290" s="615" t="s">
        <v>3489</v>
      </c>
      <c r="O290" s="615" t="s">
        <v>1619</v>
      </c>
      <c r="P290" s="497" t="s">
        <v>2327</v>
      </c>
      <c r="Q290" s="1366"/>
      <c r="S290" s="596"/>
      <c r="T290" s="596"/>
      <c r="U290" s="596"/>
      <c r="V290" s="596"/>
      <c r="W290" s="596"/>
      <c r="X290" s="596"/>
      <c r="Y290" s="596"/>
      <c r="Z290" s="596"/>
      <c r="AA290" s="596"/>
    </row>
    <row r="291" spans="2:27" ht="12" customHeight="1">
      <c r="B291" s="766"/>
      <c r="C291" s="761" t="s">
        <v>1605</v>
      </c>
      <c r="D291" s="761" t="s">
        <v>1903</v>
      </c>
      <c r="E291" s="765" t="s">
        <v>1606</v>
      </c>
      <c r="F291" s="765" t="s">
        <v>3658</v>
      </c>
      <c r="G291" s="763" t="s">
        <v>2832</v>
      </c>
      <c r="H291" s="764" t="s">
        <v>501</v>
      </c>
      <c r="I291" s="681"/>
      <c r="J291" s="613" t="s">
        <v>1801</v>
      </c>
      <c r="K291" s="614"/>
      <c r="L291" s="609"/>
      <c r="M291" s="610"/>
      <c r="N291" s="615" t="s">
        <v>1805</v>
      </c>
      <c r="O291" s="615" t="s">
        <v>381</v>
      </c>
      <c r="P291" s="497" t="s">
        <v>2328</v>
      </c>
      <c r="Q291" s="1366"/>
      <c r="S291" s="596"/>
      <c r="T291" s="596"/>
      <c r="U291" s="596"/>
      <c r="V291" s="596"/>
      <c r="W291" s="596"/>
      <c r="X291" s="596"/>
      <c r="Y291" s="596"/>
      <c r="Z291" s="596"/>
      <c r="AA291" s="596"/>
    </row>
    <row r="292" spans="2:27" ht="12" customHeight="1">
      <c r="B292" s="766"/>
      <c r="C292" s="761" t="s">
        <v>1607</v>
      </c>
      <c r="D292" s="761" t="s">
        <v>1879</v>
      </c>
      <c r="E292" s="765" t="s">
        <v>1245</v>
      </c>
      <c r="F292" s="765" t="s">
        <v>3659</v>
      </c>
      <c r="G292" s="763" t="s">
        <v>3613</v>
      </c>
      <c r="H292" s="764" t="s">
        <v>502</v>
      </c>
      <c r="I292" s="681"/>
      <c r="J292" s="613" t="s">
        <v>1803</v>
      </c>
      <c r="K292" s="614"/>
      <c r="L292" s="609"/>
      <c r="M292" s="610"/>
      <c r="N292" s="615" t="s">
        <v>3501</v>
      </c>
      <c r="O292" s="615" t="s">
        <v>123</v>
      </c>
      <c r="P292" s="497" t="s">
        <v>2329</v>
      </c>
      <c r="Q292" s="1366"/>
      <c r="S292" s="596"/>
      <c r="T292" s="596"/>
      <c r="U292" s="596"/>
      <c r="V292" s="596"/>
      <c r="W292" s="596"/>
      <c r="X292" s="596"/>
      <c r="Y292" s="596"/>
      <c r="Z292" s="596"/>
      <c r="AA292" s="596"/>
    </row>
    <row r="293" spans="2:27" ht="12" customHeight="1">
      <c r="B293" s="766"/>
      <c r="C293" s="761" t="s">
        <v>1608</v>
      </c>
      <c r="D293" s="761" t="s">
        <v>1750</v>
      </c>
      <c r="E293" s="762" t="s">
        <v>1609</v>
      </c>
      <c r="F293" s="762" t="s">
        <v>3658</v>
      </c>
      <c r="G293" s="763" t="s">
        <v>2833</v>
      </c>
      <c r="H293" s="764" t="s">
        <v>501</v>
      </c>
      <c r="I293" s="680"/>
      <c r="J293" s="613" t="s">
        <v>1804</v>
      </c>
      <c r="K293" s="614"/>
      <c r="L293" s="609"/>
      <c r="M293" s="610"/>
      <c r="N293" s="615" t="s">
        <v>87</v>
      </c>
      <c r="O293" s="615" t="s">
        <v>236</v>
      </c>
      <c r="P293" s="497" t="s">
        <v>2330</v>
      </c>
      <c r="Q293" s="1366"/>
      <c r="S293" s="596"/>
      <c r="T293" s="596"/>
      <c r="U293" s="596"/>
      <c r="V293" s="596"/>
      <c r="W293" s="596"/>
      <c r="X293" s="596"/>
      <c r="Y293" s="596"/>
      <c r="Z293" s="596"/>
      <c r="AA293" s="596"/>
    </row>
    <row r="294" spans="2:27" ht="12" customHeight="1">
      <c r="B294" s="766"/>
      <c r="C294" s="761" t="s">
        <v>1610</v>
      </c>
      <c r="D294" s="761" t="s">
        <v>1903</v>
      </c>
      <c r="E294" s="765" t="s">
        <v>1245</v>
      </c>
      <c r="F294" s="765" t="s">
        <v>3659</v>
      </c>
      <c r="G294" s="763" t="s">
        <v>3613</v>
      </c>
      <c r="H294" s="764" t="s">
        <v>502</v>
      </c>
      <c r="I294" s="681"/>
      <c r="J294" s="613" t="s">
        <v>1806</v>
      </c>
      <c r="K294" s="614"/>
      <c r="L294" s="609"/>
      <c r="M294" s="610"/>
      <c r="N294" s="615" t="s">
        <v>91</v>
      </c>
      <c r="O294" s="615" t="s">
        <v>3079</v>
      </c>
      <c r="P294" s="497" t="s">
        <v>2331</v>
      </c>
      <c r="Q294" s="596"/>
      <c r="S294" s="596"/>
      <c r="T294" s="596"/>
      <c r="U294" s="596"/>
      <c r="V294" s="596"/>
      <c r="W294" s="596"/>
      <c r="X294" s="596"/>
      <c r="Y294" s="596"/>
      <c r="Z294" s="596"/>
      <c r="AA294" s="596"/>
    </row>
    <row r="295" spans="2:27" ht="12" customHeight="1">
      <c r="B295" s="766"/>
      <c r="C295" s="761" t="s">
        <v>1611</v>
      </c>
      <c r="D295" s="761" t="s">
        <v>1879</v>
      </c>
      <c r="E295" s="762" t="s">
        <v>1612</v>
      </c>
      <c r="F295" s="762" t="s">
        <v>3658</v>
      </c>
      <c r="G295" s="763" t="s">
        <v>2834</v>
      </c>
      <c r="H295" s="764" t="s">
        <v>501</v>
      </c>
      <c r="I295" s="680"/>
      <c r="J295" s="613" t="s">
        <v>3502</v>
      </c>
      <c r="K295" s="614"/>
      <c r="L295" s="609"/>
      <c r="M295" s="610"/>
      <c r="N295" s="615" t="s">
        <v>93</v>
      </c>
      <c r="O295" s="615" t="s">
        <v>1889</v>
      </c>
      <c r="P295" s="497" t="s">
        <v>2332</v>
      </c>
      <c r="Q295" s="1366"/>
      <c r="S295" s="596"/>
      <c r="T295" s="596"/>
      <c r="U295" s="596"/>
      <c r="V295" s="596"/>
      <c r="W295" s="596"/>
      <c r="X295" s="596"/>
      <c r="Y295" s="596"/>
      <c r="Z295" s="596"/>
      <c r="AA295" s="596"/>
    </row>
    <row r="296" spans="2:27" ht="12" customHeight="1">
      <c r="B296" s="766"/>
      <c r="C296" s="761" t="s">
        <v>1613</v>
      </c>
      <c r="D296" s="761" t="s">
        <v>1750</v>
      </c>
      <c r="E296" s="765" t="s">
        <v>1614</v>
      </c>
      <c r="F296" s="765" t="s">
        <v>3658</v>
      </c>
      <c r="G296" s="763" t="s">
        <v>2835</v>
      </c>
      <c r="H296" s="764" t="s">
        <v>501</v>
      </c>
      <c r="I296" s="681"/>
      <c r="J296" s="613" t="s">
        <v>88</v>
      </c>
      <c r="K296" s="614"/>
      <c r="L296" s="609"/>
      <c r="M296" s="610"/>
      <c r="N296" s="615" t="s">
        <v>1767</v>
      </c>
      <c r="O296" s="615" t="s">
        <v>2829</v>
      </c>
      <c r="P296" s="497" t="s">
        <v>2333</v>
      </c>
      <c r="Q296" s="1366"/>
      <c r="S296" s="596"/>
      <c r="T296" s="596"/>
      <c r="U296" s="596"/>
      <c r="V296" s="596"/>
      <c r="W296" s="596"/>
      <c r="X296" s="596"/>
      <c r="Y296" s="596"/>
      <c r="Z296" s="596"/>
      <c r="AA296" s="596"/>
    </row>
    <row r="297" spans="2:27" ht="12" customHeight="1">
      <c r="B297" s="766"/>
      <c r="C297" s="761" t="s">
        <v>1615</v>
      </c>
      <c r="D297" s="761" t="s">
        <v>1903</v>
      </c>
      <c r="E297" s="765" t="s">
        <v>1616</v>
      </c>
      <c r="F297" s="765" t="s">
        <v>3658</v>
      </c>
      <c r="G297" s="763" t="s">
        <v>2836</v>
      </c>
      <c r="H297" s="764" t="s">
        <v>501</v>
      </c>
      <c r="I297" s="681"/>
      <c r="J297" s="613" t="s">
        <v>89</v>
      </c>
      <c r="K297" s="614"/>
      <c r="L297" s="609"/>
      <c r="M297" s="610"/>
      <c r="N297" s="615" t="s">
        <v>1769</v>
      </c>
      <c r="O297" s="615" t="s">
        <v>218</v>
      </c>
      <c r="P297" s="497" t="s">
        <v>2334</v>
      </c>
      <c r="Q297" s="1366"/>
      <c r="S297" s="596"/>
      <c r="T297" s="596"/>
      <c r="U297" s="596"/>
      <c r="V297" s="596"/>
      <c r="W297" s="596"/>
      <c r="X297" s="596"/>
      <c r="Y297" s="596"/>
      <c r="Z297" s="596"/>
      <c r="AA297" s="596"/>
    </row>
    <row r="298" spans="2:27" ht="12" customHeight="1">
      <c r="B298" s="766"/>
      <c r="C298" s="761" t="s">
        <v>1617</v>
      </c>
      <c r="D298" s="761" t="s">
        <v>1750</v>
      </c>
      <c r="E298" s="762" t="s">
        <v>1618</v>
      </c>
      <c r="F298" s="762" t="s">
        <v>3658</v>
      </c>
      <c r="G298" s="763" t="s">
        <v>2641</v>
      </c>
      <c r="H298" s="764" t="s">
        <v>501</v>
      </c>
      <c r="I298" s="680"/>
      <c r="J298" s="613" t="s">
        <v>90</v>
      </c>
      <c r="K298" s="614"/>
      <c r="L298" s="609"/>
      <c r="M298" s="610"/>
      <c r="N298" s="615" t="s">
        <v>1771</v>
      </c>
      <c r="O298" s="615" t="s">
        <v>1621</v>
      </c>
      <c r="P298" s="1367" t="s">
        <v>1312</v>
      </c>
      <c r="Q298" s="596"/>
      <c r="S298" s="596"/>
      <c r="T298" s="596"/>
      <c r="U298" s="596"/>
      <c r="V298" s="596"/>
      <c r="W298" s="596"/>
      <c r="X298" s="596"/>
      <c r="Y298" s="596"/>
      <c r="Z298" s="596"/>
      <c r="AA298" s="596"/>
    </row>
    <row r="299" spans="2:27" ht="12" customHeight="1">
      <c r="B299" s="766"/>
      <c r="C299" s="761" t="s">
        <v>1619</v>
      </c>
      <c r="D299" s="761" t="s">
        <v>1879</v>
      </c>
      <c r="E299" s="762" t="s">
        <v>1620</v>
      </c>
      <c r="F299" s="762" t="s">
        <v>3658</v>
      </c>
      <c r="G299" s="763" t="s">
        <v>2642</v>
      </c>
      <c r="H299" s="764" t="s">
        <v>501</v>
      </c>
      <c r="I299" s="680"/>
      <c r="J299" s="613" t="s">
        <v>92</v>
      </c>
      <c r="K299" s="614"/>
      <c r="L299" s="609"/>
      <c r="M299" s="610"/>
      <c r="N299" s="615" t="s">
        <v>1773</v>
      </c>
      <c r="O299" s="615" t="s">
        <v>1745</v>
      </c>
      <c r="P299" s="497" t="s">
        <v>2335</v>
      </c>
      <c r="Q299" s="1366"/>
      <c r="S299" s="596"/>
      <c r="T299" s="596"/>
      <c r="U299" s="596"/>
      <c r="V299" s="596"/>
      <c r="W299" s="596"/>
      <c r="X299" s="596"/>
      <c r="Y299" s="596"/>
      <c r="Z299" s="596"/>
      <c r="AA299" s="596"/>
    </row>
    <row r="300" spans="2:27" ht="12" customHeight="1">
      <c r="B300" s="766"/>
      <c r="C300" s="761" t="s">
        <v>1621</v>
      </c>
      <c r="D300" s="761" t="s">
        <v>1750</v>
      </c>
      <c r="E300" s="762" t="s">
        <v>1622</v>
      </c>
      <c r="F300" s="762" t="s">
        <v>3658</v>
      </c>
      <c r="G300" s="763" t="s">
        <v>2643</v>
      </c>
      <c r="H300" s="764" t="s">
        <v>501</v>
      </c>
      <c r="I300" s="680"/>
      <c r="J300" s="613" t="s">
        <v>1766</v>
      </c>
      <c r="K300" s="614"/>
      <c r="L300" s="609"/>
      <c r="M300" s="610"/>
      <c r="N300" s="615" t="s">
        <v>1775</v>
      </c>
      <c r="O300" s="615" t="s">
        <v>3079</v>
      </c>
      <c r="P300" s="497" t="s">
        <v>2336</v>
      </c>
      <c r="Q300" s="1366"/>
      <c r="S300" s="596"/>
      <c r="T300" s="596"/>
      <c r="U300" s="596"/>
      <c r="V300" s="596"/>
      <c r="W300" s="596"/>
      <c r="X300" s="596"/>
      <c r="Y300" s="596"/>
      <c r="Z300" s="596"/>
      <c r="AA300" s="596"/>
    </row>
    <row r="301" spans="2:27" ht="12" customHeight="1">
      <c r="B301" s="766"/>
      <c r="C301" s="761" t="s">
        <v>1623</v>
      </c>
      <c r="D301" s="761" t="s">
        <v>1903</v>
      </c>
      <c r="E301" s="765" t="s">
        <v>1246</v>
      </c>
      <c r="F301" s="765" t="s">
        <v>3659</v>
      </c>
      <c r="G301" s="763" t="s">
        <v>3638</v>
      </c>
      <c r="H301" s="764" t="s">
        <v>502</v>
      </c>
      <c r="I301" s="681"/>
      <c r="J301" s="613" t="s">
        <v>1768</v>
      </c>
      <c r="K301" s="614"/>
      <c r="L301" s="609"/>
      <c r="M301" s="610"/>
      <c r="N301" s="615" t="s">
        <v>3495</v>
      </c>
      <c r="O301" s="615" t="s">
        <v>2383</v>
      </c>
      <c r="P301" s="497" t="s">
        <v>2337</v>
      </c>
      <c r="Q301" s="1366"/>
      <c r="S301" s="596"/>
      <c r="T301" s="596"/>
      <c r="U301" s="596"/>
      <c r="V301" s="596"/>
      <c r="W301" s="596"/>
      <c r="X301" s="596"/>
      <c r="Y301" s="596"/>
      <c r="Z301" s="596"/>
      <c r="AA301" s="596"/>
    </row>
    <row r="302" spans="2:27" ht="12" customHeight="1">
      <c r="B302" s="766"/>
      <c r="C302" s="761" t="s">
        <v>1624</v>
      </c>
      <c r="D302" s="761" t="s">
        <v>1903</v>
      </c>
      <c r="E302" s="765" t="s">
        <v>1245</v>
      </c>
      <c r="F302" s="765" t="s">
        <v>3659</v>
      </c>
      <c r="G302" s="763" t="s">
        <v>3613</v>
      </c>
      <c r="H302" s="764" t="s">
        <v>502</v>
      </c>
      <c r="I302" s="681"/>
      <c r="J302" s="613" t="s">
        <v>1770</v>
      </c>
      <c r="K302" s="614"/>
      <c r="L302" s="609"/>
      <c r="M302" s="610"/>
      <c r="N302" s="615" t="s">
        <v>199</v>
      </c>
      <c r="O302" s="615" t="s">
        <v>3627</v>
      </c>
      <c r="P302" s="1367" t="s">
        <v>1312</v>
      </c>
      <c r="Q302" s="596"/>
      <c r="S302" s="596"/>
      <c r="T302" s="596"/>
      <c r="U302" s="596"/>
      <c r="V302" s="596"/>
      <c r="W302" s="596"/>
      <c r="X302" s="596"/>
      <c r="Y302" s="596"/>
      <c r="Z302" s="596"/>
      <c r="AA302" s="596"/>
    </row>
    <row r="303" spans="2:27" ht="12" customHeight="1">
      <c r="B303" s="766"/>
      <c r="C303" s="761" t="s">
        <v>1625</v>
      </c>
      <c r="D303" s="761" t="s">
        <v>1903</v>
      </c>
      <c r="E303" s="762" t="s">
        <v>3063</v>
      </c>
      <c r="F303" s="762" t="s">
        <v>3658</v>
      </c>
      <c r="G303" s="763" t="s">
        <v>2644</v>
      </c>
      <c r="H303" s="764" t="s">
        <v>501</v>
      </c>
      <c r="I303" s="680"/>
      <c r="J303" s="613" t="s">
        <v>1772</v>
      </c>
      <c r="K303" s="614"/>
      <c r="L303" s="609"/>
      <c r="M303" s="610"/>
      <c r="N303" s="615" t="s">
        <v>1386</v>
      </c>
      <c r="O303" s="615" t="s">
        <v>218</v>
      </c>
      <c r="P303" s="497" t="s">
        <v>2338</v>
      </c>
      <c r="Q303" s="1366"/>
      <c r="S303" s="596"/>
      <c r="T303" s="596"/>
      <c r="U303" s="596"/>
      <c r="V303" s="596"/>
      <c r="W303" s="596"/>
      <c r="X303" s="596"/>
      <c r="Y303" s="596"/>
      <c r="Z303" s="596"/>
      <c r="AA303" s="596"/>
    </row>
    <row r="304" spans="2:27" ht="12" customHeight="1">
      <c r="B304" s="766"/>
      <c r="C304" s="761" t="s">
        <v>3064</v>
      </c>
      <c r="D304" s="761" t="s">
        <v>1750</v>
      </c>
      <c r="E304" s="762" t="s">
        <v>3065</v>
      </c>
      <c r="F304" s="762" t="s">
        <v>3658</v>
      </c>
      <c r="G304" s="763" t="s">
        <v>2645</v>
      </c>
      <c r="H304" s="764" t="s">
        <v>501</v>
      </c>
      <c r="I304" s="680"/>
      <c r="J304" s="613" t="s">
        <v>1774</v>
      </c>
      <c r="K304" s="614"/>
      <c r="L304" s="609"/>
      <c r="M304" s="610"/>
      <c r="N304" s="615" t="s">
        <v>1388</v>
      </c>
      <c r="O304" s="615" t="s">
        <v>393</v>
      </c>
      <c r="P304" s="497" t="s">
        <v>2339</v>
      </c>
      <c r="Q304" s="1366"/>
      <c r="S304" s="596"/>
      <c r="T304" s="596"/>
      <c r="U304" s="596"/>
      <c r="V304" s="596"/>
      <c r="W304" s="596"/>
      <c r="X304" s="596"/>
      <c r="Y304" s="596"/>
      <c r="Z304" s="596"/>
      <c r="AA304" s="596"/>
    </row>
    <row r="305" spans="2:27" ht="12" customHeight="1">
      <c r="B305" s="766"/>
      <c r="C305" s="761" t="s">
        <v>2218</v>
      </c>
      <c r="D305" s="761" t="s">
        <v>2218</v>
      </c>
      <c r="E305" s="761" t="s">
        <v>2218</v>
      </c>
      <c r="F305" s="762"/>
      <c r="G305" s="763"/>
      <c r="H305" s="764"/>
      <c r="I305" s="681"/>
      <c r="J305" s="613" t="s">
        <v>1776</v>
      </c>
      <c r="K305" s="614"/>
      <c r="L305" s="609"/>
      <c r="M305" s="610"/>
      <c r="N305" s="615" t="s">
        <v>1390</v>
      </c>
      <c r="O305" s="615" t="s">
        <v>1610</v>
      </c>
      <c r="P305" s="497" t="s">
        <v>2340</v>
      </c>
      <c r="Q305" s="596"/>
      <c r="S305" s="596"/>
      <c r="T305" s="596"/>
      <c r="U305" s="596"/>
      <c r="V305" s="596"/>
      <c r="W305" s="596"/>
      <c r="X305" s="596"/>
      <c r="Y305" s="596"/>
      <c r="Z305" s="596"/>
      <c r="AA305" s="596"/>
    </row>
    <row r="306" spans="2:27" ht="12" customHeight="1">
      <c r="B306" s="766"/>
      <c r="C306" s="761" t="s">
        <v>3066</v>
      </c>
      <c r="D306" s="761" t="s">
        <v>1750</v>
      </c>
      <c r="E306" s="765" t="s">
        <v>3067</v>
      </c>
      <c r="F306" s="762" t="s">
        <v>3658</v>
      </c>
      <c r="G306" s="763" t="s">
        <v>631</v>
      </c>
      <c r="H306" s="764" t="s">
        <v>501</v>
      </c>
      <c r="I306" s="681"/>
      <c r="J306" s="613" t="s">
        <v>1384</v>
      </c>
      <c r="K306" s="614"/>
      <c r="L306" s="609"/>
      <c r="M306" s="610"/>
      <c r="N306" s="497" t="s">
        <v>3597</v>
      </c>
      <c r="O306" s="497" t="s">
        <v>3489</v>
      </c>
      <c r="P306" s="1368" t="s">
        <v>3033</v>
      </c>
      <c r="Q306" s="596"/>
      <c r="S306" s="596"/>
      <c r="T306" s="596"/>
      <c r="U306" s="596"/>
      <c r="V306" s="596"/>
      <c r="W306" s="596"/>
      <c r="X306" s="596"/>
      <c r="Y306" s="596"/>
      <c r="Z306" s="596"/>
      <c r="AA306" s="596"/>
    </row>
    <row r="307" spans="2:27" ht="12" customHeight="1">
      <c r="B307" s="766"/>
      <c r="C307" s="761" t="s">
        <v>3068</v>
      </c>
      <c r="D307" s="761" t="s">
        <v>1903</v>
      </c>
      <c r="E307" s="765" t="s">
        <v>1245</v>
      </c>
      <c r="F307" s="765" t="s">
        <v>3659</v>
      </c>
      <c r="G307" s="763" t="s">
        <v>3613</v>
      </c>
      <c r="H307" s="764" t="s">
        <v>502</v>
      </c>
      <c r="I307" s="681"/>
      <c r="J307" s="613" t="s">
        <v>1385</v>
      </c>
      <c r="K307" s="614"/>
      <c r="L307" s="609"/>
      <c r="M307" s="610"/>
      <c r="N307" s="615" t="s">
        <v>3032</v>
      </c>
      <c r="O307" s="615" t="s">
        <v>1624</v>
      </c>
      <c r="P307" s="497" t="s">
        <v>2341</v>
      </c>
      <c r="Q307" s="1366"/>
      <c r="S307" s="596"/>
      <c r="T307" s="596"/>
      <c r="U307" s="596"/>
      <c r="V307" s="596"/>
      <c r="W307" s="596"/>
      <c r="X307" s="596"/>
      <c r="Y307" s="596"/>
      <c r="Z307" s="596"/>
      <c r="AA307" s="596"/>
    </row>
    <row r="308" spans="2:27" ht="12" customHeight="1">
      <c r="B308" s="766"/>
      <c r="C308" s="761" t="s">
        <v>3069</v>
      </c>
      <c r="D308" s="761" t="s">
        <v>1879</v>
      </c>
      <c r="E308" s="765" t="s">
        <v>3070</v>
      </c>
      <c r="F308" s="765" t="s">
        <v>3658</v>
      </c>
      <c r="G308" s="763" t="s">
        <v>266</v>
      </c>
      <c r="H308" s="764" t="s">
        <v>501</v>
      </c>
      <c r="I308" s="680"/>
      <c r="J308" s="613" t="s">
        <v>1387</v>
      </c>
      <c r="K308" s="614"/>
      <c r="L308" s="609"/>
      <c r="M308" s="610"/>
      <c r="N308" s="615" t="s">
        <v>2945</v>
      </c>
      <c r="O308" s="615" t="s">
        <v>2501</v>
      </c>
      <c r="P308" s="497" t="s">
        <v>2342</v>
      </c>
      <c r="Q308" s="1366"/>
      <c r="S308" s="596"/>
      <c r="T308" s="596"/>
      <c r="U308" s="596"/>
      <c r="V308" s="596"/>
      <c r="W308" s="596"/>
      <c r="X308" s="596"/>
      <c r="Y308" s="596"/>
      <c r="Z308" s="596"/>
      <c r="AA308" s="596"/>
    </row>
    <row r="309" spans="2:27" ht="12" customHeight="1">
      <c r="B309" s="766"/>
      <c r="C309" s="761" t="s">
        <v>3071</v>
      </c>
      <c r="D309" s="761" t="s">
        <v>1750</v>
      </c>
      <c r="E309" s="762" t="s">
        <v>3072</v>
      </c>
      <c r="F309" s="765" t="s">
        <v>3658</v>
      </c>
      <c r="G309" s="763" t="s">
        <v>1998</v>
      </c>
      <c r="H309" s="764" t="s">
        <v>501</v>
      </c>
      <c r="I309" s="680"/>
      <c r="J309" s="613" t="s">
        <v>1389</v>
      </c>
      <c r="K309" s="614"/>
      <c r="L309" s="609"/>
      <c r="M309" s="610"/>
      <c r="N309" s="615" t="s">
        <v>2947</v>
      </c>
      <c r="O309" s="615" t="s">
        <v>3549</v>
      </c>
      <c r="P309" s="497" t="s">
        <v>2343</v>
      </c>
      <c r="Q309" s="1366"/>
      <c r="S309" s="596"/>
      <c r="T309" s="596"/>
      <c r="U309" s="596"/>
      <c r="V309" s="596"/>
      <c r="W309" s="596"/>
      <c r="X309" s="596"/>
      <c r="Y309" s="596"/>
      <c r="Z309" s="596"/>
      <c r="AA309" s="596"/>
    </row>
    <row r="310" spans="2:27" ht="12" customHeight="1">
      <c r="B310" s="766"/>
      <c r="C310" s="761" t="s">
        <v>3073</v>
      </c>
      <c r="D310" s="761" t="s">
        <v>1750</v>
      </c>
      <c r="E310" s="762" t="s">
        <v>3074</v>
      </c>
      <c r="F310" s="762" t="s">
        <v>3658</v>
      </c>
      <c r="G310" s="763" t="s">
        <v>1999</v>
      </c>
      <c r="H310" s="764" t="s">
        <v>501</v>
      </c>
      <c r="I310" s="680"/>
      <c r="J310" s="613" t="s">
        <v>3030</v>
      </c>
      <c r="K310" s="614"/>
      <c r="L310" s="609"/>
      <c r="M310" s="610"/>
      <c r="N310" s="615" t="s">
        <v>1314</v>
      </c>
      <c r="O310" s="615" t="s">
        <v>388</v>
      </c>
      <c r="P310" s="1367" t="s">
        <v>1312</v>
      </c>
      <c r="Q310" s="596"/>
      <c r="S310" s="596"/>
      <c r="T310" s="596"/>
      <c r="U310" s="596"/>
      <c r="V310" s="596"/>
      <c r="W310" s="596"/>
      <c r="X310" s="596"/>
      <c r="Y310" s="596"/>
      <c r="Z310" s="596"/>
      <c r="AA310" s="596"/>
    </row>
    <row r="311" spans="2:27" ht="12" customHeight="1">
      <c r="B311" s="766"/>
      <c r="C311" s="761" t="s">
        <v>3075</v>
      </c>
      <c r="D311" s="761" t="s">
        <v>1903</v>
      </c>
      <c r="E311" s="762" t="s">
        <v>3076</v>
      </c>
      <c r="F311" s="762" t="s">
        <v>3658</v>
      </c>
      <c r="G311" s="763" t="s">
        <v>2000</v>
      </c>
      <c r="H311" s="764" t="s">
        <v>501</v>
      </c>
      <c r="I311" s="680"/>
      <c r="J311" s="613" t="s">
        <v>3031</v>
      </c>
      <c r="K311" s="614"/>
      <c r="L311" s="609"/>
      <c r="M311" s="610"/>
      <c r="N311" s="615" t="s">
        <v>856</v>
      </c>
      <c r="O311" s="615" t="s">
        <v>131</v>
      </c>
      <c r="P311" s="497" t="s">
        <v>2344</v>
      </c>
      <c r="Q311" s="1366"/>
      <c r="S311" s="596"/>
      <c r="T311" s="596"/>
      <c r="U311" s="596"/>
      <c r="V311" s="596"/>
      <c r="W311" s="596"/>
      <c r="X311" s="596"/>
      <c r="Y311" s="596"/>
      <c r="Z311" s="596"/>
      <c r="AA311" s="596"/>
    </row>
    <row r="312" spans="2:27" ht="12" customHeight="1">
      <c r="B312" s="766"/>
      <c r="C312" s="761" t="s">
        <v>3077</v>
      </c>
      <c r="D312" s="761" t="s">
        <v>1903</v>
      </c>
      <c r="E312" s="762" t="s">
        <v>3078</v>
      </c>
      <c r="F312" s="762" t="s">
        <v>3658</v>
      </c>
      <c r="G312" s="763" t="s">
        <v>2894</v>
      </c>
      <c r="H312" s="764" t="s">
        <v>501</v>
      </c>
      <c r="I312" s="680"/>
      <c r="J312" s="613" t="s">
        <v>2944</v>
      </c>
      <c r="K312" s="614"/>
      <c r="L312" s="609"/>
      <c r="M312" s="610"/>
      <c r="N312" s="497" t="s">
        <v>3598</v>
      </c>
      <c r="O312" s="497" t="s">
        <v>1895</v>
      </c>
      <c r="P312" s="1368" t="s">
        <v>3033</v>
      </c>
      <c r="Q312" s="1366"/>
      <c r="S312" s="596"/>
      <c r="T312" s="596"/>
      <c r="U312" s="596"/>
      <c r="V312" s="596"/>
      <c r="W312" s="596"/>
      <c r="X312" s="596"/>
      <c r="Y312" s="596"/>
      <c r="Z312" s="596"/>
      <c r="AA312" s="596"/>
    </row>
    <row r="313" spans="2:27" ht="12" customHeight="1">
      <c r="B313" s="766"/>
      <c r="C313" s="761" t="s">
        <v>3079</v>
      </c>
      <c r="D313" s="761" t="s">
        <v>1750</v>
      </c>
      <c r="E313" s="762" t="s">
        <v>3080</v>
      </c>
      <c r="F313" s="762" t="s">
        <v>3658</v>
      </c>
      <c r="G313" s="763" t="s">
        <v>2895</v>
      </c>
      <c r="H313" s="764" t="s">
        <v>501</v>
      </c>
      <c r="I313" s="680"/>
      <c r="J313" s="613" t="s">
        <v>2946</v>
      </c>
      <c r="K313" s="614"/>
      <c r="L313" s="609"/>
      <c r="M313" s="610"/>
      <c r="N313" s="615" t="s">
        <v>858</v>
      </c>
      <c r="O313" s="615" t="s">
        <v>3628</v>
      </c>
      <c r="P313" s="497" t="s">
        <v>2345</v>
      </c>
      <c r="Q313" s="596"/>
      <c r="S313" s="596"/>
      <c r="T313" s="596"/>
      <c r="U313" s="596"/>
      <c r="V313" s="596"/>
      <c r="W313" s="596"/>
      <c r="X313" s="596"/>
      <c r="Y313" s="596"/>
      <c r="Z313" s="596"/>
      <c r="AA313" s="596"/>
    </row>
    <row r="314" spans="2:27" ht="12" customHeight="1">
      <c r="B314" s="766"/>
      <c r="C314" s="761" t="s">
        <v>3081</v>
      </c>
      <c r="D314" s="761" t="s">
        <v>1903</v>
      </c>
      <c r="E314" s="762" t="s">
        <v>1361</v>
      </c>
      <c r="F314" s="762" t="s">
        <v>3658</v>
      </c>
      <c r="G314" s="763" t="s">
        <v>2896</v>
      </c>
      <c r="H314" s="764" t="s">
        <v>501</v>
      </c>
      <c r="I314" s="680"/>
      <c r="J314" s="613" t="s">
        <v>854</v>
      </c>
      <c r="K314" s="614"/>
      <c r="L314" s="609"/>
      <c r="M314" s="610"/>
      <c r="N314" s="615" t="s">
        <v>3548</v>
      </c>
      <c r="O314" s="615" t="s">
        <v>3630</v>
      </c>
      <c r="P314" s="497" t="s">
        <v>2346</v>
      </c>
      <c r="Q314" s="1366"/>
      <c r="S314" s="596"/>
      <c r="T314" s="596"/>
      <c r="U314" s="596"/>
      <c r="V314" s="596"/>
      <c r="W314" s="596"/>
      <c r="X314" s="596"/>
      <c r="Y314" s="596"/>
      <c r="Z314" s="596"/>
      <c r="AA314" s="596"/>
    </row>
    <row r="315" spans="2:27" ht="12" customHeight="1">
      <c r="B315" s="766"/>
      <c r="C315" s="761" t="s">
        <v>1362</v>
      </c>
      <c r="D315" s="761" t="s">
        <v>1750</v>
      </c>
      <c r="E315" s="762" t="s">
        <v>1363</v>
      </c>
      <c r="F315" s="762" t="s">
        <v>3658</v>
      </c>
      <c r="G315" s="763" t="s">
        <v>2897</v>
      </c>
      <c r="H315" s="764" t="s">
        <v>501</v>
      </c>
      <c r="I315" s="681"/>
      <c r="J315" s="613" t="s">
        <v>855</v>
      </c>
      <c r="K315" s="614"/>
      <c r="L315" s="609"/>
      <c r="M315" s="610"/>
      <c r="N315" s="615" t="s">
        <v>862</v>
      </c>
      <c r="O315" s="615" t="s">
        <v>3077</v>
      </c>
      <c r="P315" s="497" t="s">
        <v>2347</v>
      </c>
      <c r="Q315" s="1366"/>
      <c r="S315" s="596"/>
      <c r="T315" s="596"/>
      <c r="U315" s="596"/>
      <c r="V315" s="596"/>
      <c r="W315" s="596"/>
      <c r="X315" s="596"/>
      <c r="Y315" s="596"/>
      <c r="Z315" s="596"/>
      <c r="AA315" s="596"/>
    </row>
    <row r="316" spans="2:27" ht="12" customHeight="1">
      <c r="B316" s="766"/>
      <c r="C316" s="761" t="s">
        <v>2500</v>
      </c>
      <c r="D316" s="761" t="s">
        <v>1750</v>
      </c>
      <c r="E316" s="765" t="s">
        <v>2638</v>
      </c>
      <c r="F316" s="762" t="s">
        <v>3659</v>
      </c>
      <c r="G316" s="763" t="s">
        <v>1684</v>
      </c>
      <c r="H316" s="764" t="s">
        <v>502</v>
      </c>
      <c r="I316" s="681"/>
      <c r="J316" s="613" t="s">
        <v>857</v>
      </c>
      <c r="K316" s="614"/>
      <c r="L316" s="609"/>
      <c r="M316" s="610"/>
      <c r="N316" s="615" t="s">
        <v>864</v>
      </c>
      <c r="O316" s="615" t="s">
        <v>2387</v>
      </c>
      <c r="P316" s="497" t="s">
        <v>2348</v>
      </c>
      <c r="Q316" s="1366"/>
      <c r="S316" s="596"/>
      <c r="T316" s="596"/>
      <c r="U316" s="596"/>
      <c r="V316" s="596"/>
      <c r="W316" s="596"/>
      <c r="X316" s="596"/>
      <c r="Y316" s="596"/>
      <c r="Z316" s="596"/>
      <c r="AA316" s="596"/>
    </row>
    <row r="317" spans="2:27" ht="12" customHeight="1">
      <c r="B317" s="766"/>
      <c r="C317" s="761" t="s">
        <v>2501</v>
      </c>
      <c r="D317" s="761" t="s">
        <v>1750</v>
      </c>
      <c r="E317" s="765" t="s">
        <v>2502</v>
      </c>
      <c r="F317" s="765" t="s">
        <v>3658</v>
      </c>
      <c r="G317" s="763" t="s">
        <v>2898</v>
      </c>
      <c r="H317" s="764" t="s">
        <v>501</v>
      </c>
      <c r="I317" s="681"/>
      <c r="J317" s="613" t="s">
        <v>859</v>
      </c>
      <c r="K317" s="614"/>
      <c r="L317" s="609"/>
      <c r="M317" s="610"/>
      <c r="N317" s="615" t="s">
        <v>783</v>
      </c>
      <c r="O317" s="615" t="s">
        <v>926</v>
      </c>
      <c r="P317" s="497" t="s">
        <v>2349</v>
      </c>
      <c r="Q317" s="596"/>
      <c r="S317" s="596"/>
      <c r="T317" s="596"/>
      <c r="U317" s="596"/>
      <c r="V317" s="596"/>
      <c r="W317" s="596"/>
      <c r="X317" s="596"/>
      <c r="Y317" s="596"/>
      <c r="Z317" s="596"/>
      <c r="AA317" s="596"/>
    </row>
    <row r="318" spans="2:27" ht="12" customHeight="1">
      <c r="B318" s="766"/>
      <c r="C318" s="761" t="s">
        <v>2503</v>
      </c>
      <c r="D318" s="761" t="s">
        <v>1750</v>
      </c>
      <c r="E318" s="765" t="s">
        <v>2786</v>
      </c>
      <c r="F318" s="765" t="s">
        <v>3658</v>
      </c>
      <c r="G318" s="763" t="s">
        <v>1689</v>
      </c>
      <c r="H318" s="764" t="s">
        <v>501</v>
      </c>
      <c r="I318" s="681"/>
      <c r="J318" s="613" t="s">
        <v>860</v>
      </c>
      <c r="K318" s="614"/>
      <c r="L318" s="609"/>
      <c r="M318" s="610"/>
      <c r="N318" s="615" t="s">
        <v>785</v>
      </c>
      <c r="O318" s="615" t="s">
        <v>198</v>
      </c>
      <c r="P318" s="1367" t="s">
        <v>1312</v>
      </c>
      <c r="Q318" s="1366"/>
      <c r="S318" s="596"/>
      <c r="T318" s="596"/>
      <c r="U318" s="596"/>
      <c r="V318" s="596"/>
      <c r="W318" s="596"/>
      <c r="X318" s="596"/>
      <c r="Y318" s="596"/>
      <c r="Z318" s="596"/>
      <c r="AA318" s="596"/>
    </row>
    <row r="319" spans="2:27" ht="12" customHeight="1">
      <c r="B319" s="766"/>
      <c r="C319" s="761" t="s">
        <v>2787</v>
      </c>
      <c r="D319" s="761" t="s">
        <v>1750</v>
      </c>
      <c r="E319" s="765" t="s">
        <v>2788</v>
      </c>
      <c r="F319" s="765" t="s">
        <v>3658</v>
      </c>
      <c r="G319" s="763" t="s">
        <v>1690</v>
      </c>
      <c r="H319" s="764" t="s">
        <v>501</v>
      </c>
      <c r="I319" s="681"/>
      <c r="J319" s="613" t="s">
        <v>861</v>
      </c>
      <c r="K319" s="614"/>
      <c r="L319" s="609"/>
      <c r="M319" s="610"/>
      <c r="N319" s="615" t="s">
        <v>1143</v>
      </c>
      <c r="O319" s="615" t="s">
        <v>1621</v>
      </c>
      <c r="P319" s="497" t="s">
        <v>2350</v>
      </c>
      <c r="Q319" s="1366"/>
      <c r="S319" s="596"/>
      <c r="T319" s="596"/>
      <c r="U319" s="596"/>
      <c r="V319" s="596"/>
      <c r="W319" s="596"/>
      <c r="X319" s="596"/>
      <c r="Y319" s="596"/>
      <c r="Z319" s="596"/>
      <c r="AA319" s="596"/>
    </row>
    <row r="320" spans="2:27" ht="12" customHeight="1">
      <c r="B320" s="766"/>
      <c r="C320" s="761" t="s">
        <v>2789</v>
      </c>
      <c r="D320" s="761" t="s">
        <v>1879</v>
      </c>
      <c r="E320" s="765" t="s">
        <v>2790</v>
      </c>
      <c r="F320" s="765" t="s">
        <v>3658</v>
      </c>
      <c r="G320" s="763" t="s">
        <v>1691</v>
      </c>
      <c r="H320" s="764" t="s">
        <v>501</v>
      </c>
      <c r="I320" s="681"/>
      <c r="J320" s="613" t="s">
        <v>863</v>
      </c>
      <c r="K320" s="614"/>
      <c r="L320" s="609"/>
      <c r="M320" s="610"/>
      <c r="N320" s="615" t="s">
        <v>1145</v>
      </c>
      <c r="O320" s="615" t="s">
        <v>130</v>
      </c>
      <c r="P320" s="497" t="s">
        <v>2351</v>
      </c>
      <c r="Q320" s="1366"/>
      <c r="S320" s="596"/>
      <c r="T320" s="596"/>
      <c r="U320" s="596"/>
      <c r="V320" s="596"/>
      <c r="W320" s="596"/>
      <c r="X320" s="596"/>
      <c r="Y320" s="596"/>
      <c r="Z320" s="596"/>
      <c r="AA320" s="596"/>
    </row>
    <row r="321" spans="2:27" ht="12" customHeight="1">
      <c r="B321" s="766"/>
      <c r="C321" s="761" t="s">
        <v>2791</v>
      </c>
      <c r="D321" s="761" t="s">
        <v>1750</v>
      </c>
      <c r="E321" s="765" t="s">
        <v>2792</v>
      </c>
      <c r="F321" s="765" t="s">
        <v>3658</v>
      </c>
      <c r="G321" s="763" t="s">
        <v>1692</v>
      </c>
      <c r="H321" s="764" t="s">
        <v>501</v>
      </c>
      <c r="I321" s="680"/>
      <c r="J321" s="613" t="s">
        <v>865</v>
      </c>
      <c r="K321" s="614"/>
      <c r="L321" s="609"/>
      <c r="M321" s="610"/>
      <c r="N321" s="615" t="s">
        <v>42</v>
      </c>
      <c r="O321" s="615" t="s">
        <v>215</v>
      </c>
      <c r="P321" s="497" t="s">
        <v>2352</v>
      </c>
      <c r="Q321" s="1366"/>
      <c r="S321" s="596"/>
      <c r="T321" s="596"/>
      <c r="U321" s="596"/>
      <c r="V321" s="596"/>
      <c r="W321" s="596"/>
      <c r="X321" s="596"/>
      <c r="Y321" s="596"/>
      <c r="Z321" s="596"/>
      <c r="AA321" s="596"/>
    </row>
    <row r="322" spans="2:27" ht="12" customHeight="1">
      <c r="B322" s="766"/>
      <c r="C322" s="761" t="s">
        <v>2793</v>
      </c>
      <c r="D322" s="761" t="s">
        <v>1903</v>
      </c>
      <c r="E322" s="762" t="s">
        <v>2794</v>
      </c>
      <c r="F322" s="765" t="s">
        <v>3658</v>
      </c>
      <c r="G322" s="763" t="s">
        <v>1693</v>
      </c>
      <c r="H322" s="764" t="s">
        <v>501</v>
      </c>
      <c r="I322" s="681"/>
      <c r="J322" s="613" t="s">
        <v>784</v>
      </c>
      <c r="K322" s="614"/>
      <c r="L322" s="609"/>
      <c r="M322" s="610"/>
      <c r="N322" s="615" t="s">
        <v>2845</v>
      </c>
      <c r="O322" s="615" t="s">
        <v>3157</v>
      </c>
      <c r="P322" s="497" t="s">
        <v>2353</v>
      </c>
      <c r="Q322" s="1366"/>
      <c r="S322" s="596"/>
      <c r="T322" s="596"/>
      <c r="U322" s="596"/>
      <c r="V322" s="596"/>
      <c r="W322" s="596"/>
      <c r="X322" s="596"/>
      <c r="Y322" s="596"/>
      <c r="Z322" s="596"/>
      <c r="AA322" s="596"/>
    </row>
    <row r="323" spans="2:27" ht="12" customHeight="1">
      <c r="B323" s="766"/>
      <c r="C323" s="761" t="s">
        <v>2795</v>
      </c>
      <c r="D323" s="761" t="s">
        <v>1750</v>
      </c>
      <c r="E323" s="765" t="s">
        <v>2796</v>
      </c>
      <c r="F323" s="762" t="s">
        <v>3658</v>
      </c>
      <c r="G323" s="763" t="s">
        <v>1694</v>
      </c>
      <c r="H323" s="764" t="s">
        <v>501</v>
      </c>
      <c r="I323" s="681"/>
      <c r="J323" s="613" t="s">
        <v>1679</v>
      </c>
      <c r="K323" s="614"/>
      <c r="L323" s="609"/>
      <c r="M323" s="610"/>
      <c r="N323" s="615" t="s">
        <v>2847</v>
      </c>
      <c r="O323" s="615" t="s">
        <v>3631</v>
      </c>
      <c r="P323" s="497" t="s">
        <v>2354</v>
      </c>
      <c r="Q323" s="1366"/>
      <c r="S323" s="596"/>
      <c r="T323" s="596"/>
      <c r="U323" s="596"/>
      <c r="V323" s="596"/>
      <c r="W323" s="596"/>
      <c r="X323" s="596"/>
      <c r="Y323" s="596"/>
      <c r="Z323" s="596"/>
      <c r="AA323" s="596"/>
    </row>
    <row r="324" spans="2:27" ht="12" customHeight="1">
      <c r="B324" s="766"/>
      <c r="C324" s="761" t="s">
        <v>2797</v>
      </c>
      <c r="D324" s="761" t="s">
        <v>1903</v>
      </c>
      <c r="E324" s="765" t="s">
        <v>1888</v>
      </c>
      <c r="F324" s="765" t="s">
        <v>3659</v>
      </c>
      <c r="G324" s="763" t="s">
        <v>3616</v>
      </c>
      <c r="H324" s="764" t="s">
        <v>502</v>
      </c>
      <c r="I324" s="681"/>
      <c r="J324" s="613" t="s">
        <v>1144</v>
      </c>
      <c r="K324" s="614"/>
      <c r="L324" s="609"/>
      <c r="M324" s="610"/>
      <c r="N324" s="615" t="s">
        <v>405</v>
      </c>
      <c r="O324" s="615" t="s">
        <v>2829</v>
      </c>
      <c r="P324" s="497" t="s">
        <v>2355</v>
      </c>
      <c r="Q324" s="1366"/>
      <c r="S324" s="596"/>
      <c r="T324" s="596"/>
      <c r="U324" s="596"/>
      <c r="V324" s="596"/>
      <c r="W324" s="596"/>
      <c r="X324" s="596"/>
      <c r="Y324" s="596"/>
      <c r="Z324" s="596"/>
      <c r="AA324" s="596"/>
    </row>
    <row r="325" spans="2:27" ht="12" customHeight="1">
      <c r="B325" s="766"/>
      <c r="C325" s="761" t="s">
        <v>2798</v>
      </c>
      <c r="D325" s="761" t="s">
        <v>1879</v>
      </c>
      <c r="E325" s="765" t="s">
        <v>2799</v>
      </c>
      <c r="F325" s="765" t="s">
        <v>3658</v>
      </c>
      <c r="G325" s="763" t="s">
        <v>1695</v>
      </c>
      <c r="H325" s="764" t="s">
        <v>501</v>
      </c>
      <c r="I325" s="680"/>
      <c r="J325" s="613" t="s">
        <v>41</v>
      </c>
      <c r="K325" s="614"/>
      <c r="L325" s="609"/>
      <c r="M325" s="610"/>
      <c r="N325" s="615" t="s">
        <v>407</v>
      </c>
      <c r="O325" s="615" t="s">
        <v>1365</v>
      </c>
      <c r="P325" s="497" t="s">
        <v>2356</v>
      </c>
      <c r="Q325" s="1366"/>
      <c r="S325" s="596"/>
      <c r="T325" s="596"/>
      <c r="U325" s="596"/>
      <c r="V325" s="596"/>
      <c r="W325" s="596"/>
      <c r="X325" s="596"/>
      <c r="Y325" s="596"/>
      <c r="Z325" s="596"/>
      <c r="AA325" s="596"/>
    </row>
    <row r="326" spans="2:27" ht="12" customHeight="1">
      <c r="B326" s="766"/>
      <c r="C326" s="761" t="s">
        <v>2887</v>
      </c>
      <c r="D326" s="761" t="s">
        <v>1903</v>
      </c>
      <c r="E326" s="762" t="s">
        <v>2888</v>
      </c>
      <c r="F326" s="765" t="s">
        <v>3658</v>
      </c>
      <c r="G326" s="763" t="s">
        <v>1696</v>
      </c>
      <c r="H326" s="764" t="s">
        <v>501</v>
      </c>
      <c r="I326" s="681"/>
      <c r="J326" s="613" t="s">
        <v>2844</v>
      </c>
      <c r="K326" s="614"/>
      <c r="L326" s="609"/>
      <c r="M326" s="610"/>
      <c r="N326" s="615" t="s">
        <v>409</v>
      </c>
      <c r="O326" s="615" t="s">
        <v>218</v>
      </c>
      <c r="P326" s="497" t="s">
        <v>2357</v>
      </c>
      <c r="Q326" s="1366"/>
      <c r="S326" s="596"/>
      <c r="T326" s="596"/>
      <c r="U326" s="596"/>
      <c r="V326" s="596"/>
      <c r="W326" s="596"/>
      <c r="X326" s="596"/>
      <c r="Y326" s="596"/>
      <c r="Z326" s="596"/>
      <c r="AA326" s="596"/>
    </row>
    <row r="327" spans="2:27" ht="12" customHeight="1">
      <c r="B327" s="766"/>
      <c r="C327" s="761" t="s">
        <v>2889</v>
      </c>
      <c r="D327" s="761" t="s">
        <v>1879</v>
      </c>
      <c r="E327" s="765" t="s">
        <v>2123</v>
      </c>
      <c r="F327" s="762" t="s">
        <v>3659</v>
      </c>
      <c r="G327" s="763" t="s">
        <v>2528</v>
      </c>
      <c r="H327" s="764" t="s">
        <v>502</v>
      </c>
      <c r="I327" s="681"/>
      <c r="J327" s="613" t="s">
        <v>2846</v>
      </c>
      <c r="K327" s="614"/>
      <c r="L327" s="609"/>
      <c r="M327" s="610"/>
      <c r="N327" s="615" t="s">
        <v>411</v>
      </c>
      <c r="O327" s="615" t="s">
        <v>3377</v>
      </c>
      <c r="P327" s="497" t="s">
        <v>2358</v>
      </c>
      <c r="Q327" s="1366"/>
      <c r="S327" s="596"/>
      <c r="T327" s="596"/>
      <c r="U327" s="596"/>
      <c r="V327" s="596"/>
      <c r="W327" s="596"/>
      <c r="X327" s="596"/>
      <c r="Y327" s="596"/>
      <c r="Z327" s="596"/>
      <c r="AA327" s="596"/>
    </row>
    <row r="328" spans="2:27" ht="12" customHeight="1">
      <c r="B328" s="766"/>
      <c r="C328" s="761" t="s">
        <v>2890</v>
      </c>
      <c r="D328" s="761" t="s">
        <v>1903</v>
      </c>
      <c r="E328" s="765" t="s">
        <v>1245</v>
      </c>
      <c r="F328" s="765" t="s">
        <v>3659</v>
      </c>
      <c r="G328" s="763" t="s">
        <v>3613</v>
      </c>
      <c r="H328" s="764" t="s">
        <v>502</v>
      </c>
      <c r="I328" s="681"/>
      <c r="J328" s="613" t="s">
        <v>404</v>
      </c>
      <c r="K328" s="614"/>
      <c r="L328" s="609"/>
      <c r="M328" s="610"/>
      <c r="N328" s="615" t="s">
        <v>413</v>
      </c>
      <c r="O328" s="615" t="s">
        <v>2754</v>
      </c>
      <c r="P328" s="497" t="s">
        <v>2359</v>
      </c>
      <c r="Q328" s="1366"/>
      <c r="S328" s="596"/>
      <c r="T328" s="596"/>
      <c r="U328" s="596"/>
      <c r="V328" s="596"/>
      <c r="W328" s="596"/>
      <c r="X328" s="596"/>
      <c r="Y328" s="596"/>
      <c r="Z328" s="596"/>
      <c r="AA328" s="596"/>
    </row>
    <row r="329" spans="2:27" ht="12" customHeight="1">
      <c r="B329" s="766"/>
      <c r="C329" s="761" t="s">
        <v>2891</v>
      </c>
      <c r="D329" s="761" t="s">
        <v>1750</v>
      </c>
      <c r="E329" s="765" t="s">
        <v>112</v>
      </c>
      <c r="F329" s="765" t="s">
        <v>3658</v>
      </c>
      <c r="G329" s="763" t="s">
        <v>1697</v>
      </c>
      <c r="H329" s="764" t="s">
        <v>501</v>
      </c>
      <c r="I329" s="681"/>
      <c r="J329" s="613" t="s">
        <v>406</v>
      </c>
      <c r="K329" s="614"/>
      <c r="L329" s="609"/>
      <c r="M329" s="610"/>
      <c r="N329" s="615" t="s">
        <v>415</v>
      </c>
      <c r="O329" s="615" t="s">
        <v>214</v>
      </c>
      <c r="P329" s="497" t="s">
        <v>1161</v>
      </c>
      <c r="Q329" s="1366"/>
      <c r="S329" s="596"/>
      <c r="T329" s="596"/>
      <c r="U329" s="596"/>
      <c r="V329" s="596"/>
      <c r="W329" s="596"/>
      <c r="X329" s="596"/>
      <c r="Y329" s="596"/>
      <c r="Z329" s="596"/>
      <c r="AA329" s="596"/>
    </row>
    <row r="330" spans="2:27" ht="12" customHeight="1">
      <c r="B330" s="766"/>
      <c r="C330" s="761" t="s">
        <v>113</v>
      </c>
      <c r="D330" s="761" t="s">
        <v>1903</v>
      </c>
      <c r="E330" s="765" t="s">
        <v>114</v>
      </c>
      <c r="F330" s="765" t="s">
        <v>3658</v>
      </c>
      <c r="G330" s="763" t="s">
        <v>1698</v>
      </c>
      <c r="H330" s="764" t="s">
        <v>501</v>
      </c>
      <c r="I330" s="681"/>
      <c r="J330" s="613" t="s">
        <v>408</v>
      </c>
      <c r="K330" s="614"/>
      <c r="L330" s="609"/>
      <c r="M330" s="610"/>
      <c r="N330" s="615" t="s">
        <v>2820</v>
      </c>
      <c r="O330" s="615" t="s">
        <v>115</v>
      </c>
      <c r="P330" s="497" t="s">
        <v>1162</v>
      </c>
      <c r="Q330" s="1366"/>
      <c r="S330" s="596"/>
      <c r="T330" s="596"/>
      <c r="U330" s="596"/>
      <c r="V330" s="596"/>
      <c r="W330" s="596"/>
      <c r="X330" s="596"/>
      <c r="Y330" s="596"/>
      <c r="Z330" s="596"/>
      <c r="AA330" s="596"/>
    </row>
    <row r="331" spans="2:27" ht="12" customHeight="1">
      <c r="B331" s="766"/>
      <c r="C331" s="761" t="s">
        <v>115</v>
      </c>
      <c r="D331" s="761" t="s">
        <v>1750</v>
      </c>
      <c r="E331" s="765" t="s">
        <v>116</v>
      </c>
      <c r="F331" s="765" t="s">
        <v>3658</v>
      </c>
      <c r="G331" s="763" t="s">
        <v>1699</v>
      </c>
      <c r="H331" s="764" t="s">
        <v>501</v>
      </c>
      <c r="I331" s="681"/>
      <c r="J331" s="613" t="s">
        <v>410</v>
      </c>
      <c r="K331" s="614"/>
      <c r="L331" s="609"/>
      <c r="M331" s="610"/>
      <c r="N331" s="615" t="s">
        <v>235</v>
      </c>
      <c r="O331" s="615" t="s">
        <v>2500</v>
      </c>
      <c r="P331" s="497" t="s">
        <v>1163</v>
      </c>
      <c r="Q331" s="1366"/>
      <c r="S331" s="596"/>
      <c r="T331" s="596"/>
      <c r="U331" s="596"/>
      <c r="V331" s="596"/>
      <c r="W331" s="596"/>
      <c r="X331" s="596"/>
      <c r="Y331" s="596"/>
      <c r="Z331" s="596"/>
      <c r="AA331" s="596"/>
    </row>
    <row r="332" spans="2:27" ht="12" customHeight="1">
      <c r="B332" s="766"/>
      <c r="C332" s="761" t="s">
        <v>117</v>
      </c>
      <c r="D332" s="761" t="s">
        <v>1750</v>
      </c>
      <c r="E332" s="765" t="s">
        <v>118</v>
      </c>
      <c r="F332" s="765" t="s">
        <v>3658</v>
      </c>
      <c r="G332" s="763" t="s">
        <v>1700</v>
      </c>
      <c r="H332" s="764" t="s">
        <v>501</v>
      </c>
      <c r="I332" s="681"/>
      <c r="J332" s="613" t="s">
        <v>412</v>
      </c>
      <c r="K332" s="614"/>
      <c r="L332" s="609"/>
      <c r="M332" s="610"/>
      <c r="N332" s="615" t="s">
        <v>3048</v>
      </c>
      <c r="O332" s="615" t="s">
        <v>235</v>
      </c>
      <c r="P332" s="497" t="s">
        <v>1164</v>
      </c>
      <c r="Q332" s="1366"/>
      <c r="S332" s="596"/>
      <c r="T332" s="596"/>
      <c r="U332" s="596"/>
      <c r="V332" s="596"/>
      <c r="W332" s="596"/>
      <c r="X332" s="596"/>
      <c r="Y332" s="596"/>
      <c r="Z332" s="596"/>
      <c r="AA332" s="596"/>
    </row>
    <row r="333" spans="2:27" ht="12" customHeight="1">
      <c r="B333" s="766"/>
      <c r="C333" s="761" t="s">
        <v>119</v>
      </c>
      <c r="D333" s="761" t="s">
        <v>1750</v>
      </c>
      <c r="E333" s="765" t="s">
        <v>120</v>
      </c>
      <c r="F333" s="765" t="s">
        <v>3658</v>
      </c>
      <c r="G333" s="763" t="s">
        <v>1701</v>
      </c>
      <c r="H333" s="764" t="s">
        <v>501</v>
      </c>
      <c r="I333" s="681"/>
      <c r="J333" s="613" t="s">
        <v>414</v>
      </c>
      <c r="K333" s="614"/>
      <c r="L333" s="609"/>
      <c r="M333" s="610"/>
      <c r="N333" s="615" t="s">
        <v>964</v>
      </c>
      <c r="O333" s="615" t="s">
        <v>3073</v>
      </c>
      <c r="P333" s="497" t="s">
        <v>1165</v>
      </c>
      <c r="Q333" s="1366"/>
      <c r="S333" s="596"/>
      <c r="T333" s="596"/>
      <c r="U333" s="596"/>
      <c r="V333" s="596"/>
      <c r="W333" s="596"/>
      <c r="X333" s="596"/>
      <c r="Y333" s="596"/>
      <c r="Z333" s="596"/>
      <c r="AA333" s="596"/>
    </row>
    <row r="334" spans="2:27" ht="12" customHeight="1">
      <c r="B334" s="766"/>
      <c r="C334" s="761" t="s">
        <v>121</v>
      </c>
      <c r="D334" s="761" t="s">
        <v>1750</v>
      </c>
      <c r="E334" s="765" t="s">
        <v>122</v>
      </c>
      <c r="F334" s="765" t="s">
        <v>3658</v>
      </c>
      <c r="G334" s="763" t="s">
        <v>3324</v>
      </c>
      <c r="H334" s="764" t="s">
        <v>501</v>
      </c>
      <c r="I334" s="681"/>
      <c r="J334" s="613" t="s">
        <v>2819</v>
      </c>
      <c r="K334" s="614"/>
      <c r="L334" s="609"/>
      <c r="M334" s="610"/>
      <c r="N334" s="615" t="s">
        <v>193</v>
      </c>
      <c r="O334" s="615" t="s">
        <v>2753</v>
      </c>
      <c r="P334" s="497" t="s">
        <v>1166</v>
      </c>
      <c r="Q334" s="1366"/>
      <c r="S334" s="596"/>
      <c r="T334" s="596"/>
      <c r="U334" s="596"/>
      <c r="V334" s="596"/>
      <c r="W334" s="596"/>
      <c r="X334" s="596"/>
      <c r="Y334" s="596"/>
      <c r="Z334" s="596"/>
      <c r="AA334" s="596"/>
    </row>
    <row r="335" spans="2:27" ht="12" customHeight="1">
      <c r="B335" s="766"/>
      <c r="C335" s="761" t="s">
        <v>123</v>
      </c>
      <c r="D335" s="761" t="s">
        <v>1879</v>
      </c>
      <c r="E335" s="765" t="s">
        <v>124</v>
      </c>
      <c r="F335" s="765" t="s">
        <v>3658</v>
      </c>
      <c r="G335" s="763" t="s">
        <v>3325</v>
      </c>
      <c r="H335" s="764" t="s">
        <v>501</v>
      </c>
      <c r="I335" s="680"/>
      <c r="J335" s="613" t="s">
        <v>2821</v>
      </c>
      <c r="K335" s="614"/>
      <c r="L335" s="609"/>
      <c r="M335" s="610"/>
      <c r="N335" s="615" t="s">
        <v>236</v>
      </c>
      <c r="O335" s="615" t="s">
        <v>888</v>
      </c>
      <c r="P335" s="497" t="s">
        <v>1167</v>
      </c>
      <c r="Q335" s="1366"/>
      <c r="S335" s="596"/>
      <c r="T335" s="596"/>
      <c r="U335" s="596"/>
      <c r="V335" s="596"/>
      <c r="W335" s="596"/>
      <c r="X335" s="596"/>
      <c r="Y335" s="596"/>
      <c r="Z335" s="596"/>
      <c r="AA335" s="596"/>
    </row>
    <row r="336" spans="2:27" ht="12" customHeight="1">
      <c r="B336" s="766"/>
      <c r="C336" s="761" t="s">
        <v>2829</v>
      </c>
      <c r="D336" s="761" t="s">
        <v>1879</v>
      </c>
      <c r="E336" s="762" t="s">
        <v>405</v>
      </c>
      <c r="F336" s="765" t="s">
        <v>3659</v>
      </c>
      <c r="G336" s="763" t="s">
        <v>3326</v>
      </c>
      <c r="H336" s="764" t="s">
        <v>502</v>
      </c>
      <c r="I336" s="681"/>
      <c r="J336" s="613" t="s">
        <v>3047</v>
      </c>
      <c r="K336" s="614"/>
      <c r="L336" s="609"/>
      <c r="M336" s="610"/>
      <c r="N336" s="497" t="s">
        <v>3599</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1750</v>
      </c>
      <c r="E337" s="765" t="s">
        <v>3374</v>
      </c>
      <c r="F337" s="762" t="s">
        <v>3658</v>
      </c>
      <c r="G337" s="763" t="s">
        <v>3327</v>
      </c>
      <c r="H337" s="764" t="s">
        <v>501</v>
      </c>
      <c r="I337" s="681"/>
      <c r="J337" s="613" t="s">
        <v>191</v>
      </c>
      <c r="K337" s="614"/>
      <c r="L337" s="609"/>
      <c r="M337" s="610"/>
      <c r="N337" s="615" t="s">
        <v>1278</v>
      </c>
      <c r="O337" s="615" t="s">
        <v>115</v>
      </c>
      <c r="P337" s="497" t="s">
        <v>1168</v>
      </c>
      <c r="Q337" s="1366"/>
      <c r="S337" s="596"/>
      <c r="T337" s="596"/>
      <c r="U337" s="596"/>
      <c r="V337" s="596"/>
      <c r="W337" s="596"/>
      <c r="X337" s="596"/>
      <c r="Y337" s="596"/>
      <c r="Z337" s="596"/>
      <c r="AA337" s="596"/>
    </row>
    <row r="338" spans="1:27" ht="12" customHeight="1">
      <c r="B338" s="766"/>
      <c r="C338" s="761" t="s">
        <v>3375</v>
      </c>
      <c r="D338" s="761" t="s">
        <v>1903</v>
      </c>
      <c r="E338" s="765" t="s">
        <v>3376</v>
      </c>
      <c r="F338" s="765" t="s">
        <v>3658</v>
      </c>
      <c r="G338" s="763" t="s">
        <v>499</v>
      </c>
      <c r="H338" s="764" t="s">
        <v>501</v>
      </c>
      <c r="I338" s="681"/>
      <c r="J338" s="613" t="s">
        <v>192</v>
      </c>
      <c r="K338" s="614"/>
      <c r="L338" s="609"/>
      <c r="M338" s="610"/>
      <c r="N338" s="615" t="s">
        <v>1280</v>
      </c>
      <c r="O338" s="615" t="s">
        <v>131</v>
      </c>
      <c r="P338" s="497" t="s">
        <v>1169</v>
      </c>
      <c r="Q338" s="1366"/>
      <c r="R338" s="432"/>
      <c r="S338" s="497"/>
      <c r="T338" s="596"/>
      <c r="U338" s="596"/>
      <c r="V338" s="596"/>
      <c r="W338" s="596"/>
      <c r="X338" s="596"/>
      <c r="Y338" s="596"/>
      <c r="Z338" s="596"/>
      <c r="AA338" s="596"/>
    </row>
    <row r="339" spans="1:27" ht="12" customHeight="1">
      <c r="B339" s="766"/>
      <c r="C339" s="761" t="s">
        <v>3377</v>
      </c>
      <c r="D339" s="761" t="s">
        <v>1903</v>
      </c>
      <c r="E339" s="765" t="s">
        <v>3378</v>
      </c>
      <c r="F339" s="765" t="s">
        <v>3658</v>
      </c>
      <c r="G339" s="763" t="s">
        <v>500</v>
      </c>
      <c r="H339" s="764" t="s">
        <v>501</v>
      </c>
      <c r="I339" s="681"/>
      <c r="J339" s="613" t="s">
        <v>2185</v>
      </c>
      <c r="K339" s="614"/>
      <c r="L339" s="609"/>
      <c r="M339" s="610"/>
      <c r="N339" s="615" t="s">
        <v>1282</v>
      </c>
      <c r="O339" s="615" t="s">
        <v>396</v>
      </c>
      <c r="P339" s="497" t="s">
        <v>1170</v>
      </c>
      <c r="Q339" s="1366"/>
      <c r="R339" s="432"/>
      <c r="S339" s="497"/>
      <c r="T339" s="596"/>
      <c r="U339" s="596"/>
      <c r="V339" s="596"/>
      <c r="W339" s="596"/>
      <c r="X339" s="596"/>
      <c r="Y339" s="596"/>
      <c r="Z339" s="596"/>
      <c r="AA339" s="596"/>
    </row>
    <row r="340" spans="1:27" ht="12" customHeight="1">
      <c r="B340" s="768"/>
      <c r="C340" s="761" t="s">
        <v>3379</v>
      </c>
      <c r="D340" s="761" t="s">
        <v>1750</v>
      </c>
      <c r="E340" s="765" t="s">
        <v>2638</v>
      </c>
      <c r="F340" s="765" t="s">
        <v>3659</v>
      </c>
      <c r="G340" s="763" t="s">
        <v>1684</v>
      </c>
      <c r="H340" s="764" t="s">
        <v>502</v>
      </c>
      <c r="J340" s="613" t="s">
        <v>1277</v>
      </c>
      <c r="K340" s="614"/>
      <c r="L340" s="609"/>
      <c r="M340" s="610"/>
      <c r="N340" s="615" t="s">
        <v>3409</v>
      </c>
      <c r="O340" s="615" t="s">
        <v>2039</v>
      </c>
      <c r="P340" s="497" t="s">
        <v>1171</v>
      </c>
      <c r="Q340" s="1366"/>
      <c r="R340" s="432"/>
      <c r="S340" s="497"/>
      <c r="T340" s="596"/>
      <c r="U340" s="596"/>
      <c r="V340" s="596"/>
      <c r="W340" s="596"/>
      <c r="X340" s="596"/>
      <c r="Y340" s="596"/>
      <c r="Z340" s="596"/>
      <c r="AA340" s="596"/>
    </row>
    <row r="341" spans="1:27" ht="12" customHeight="1">
      <c r="F341" s="561"/>
      <c r="J341" s="613" t="s">
        <v>1279</v>
      </c>
      <c r="K341" s="614"/>
      <c r="L341" s="609"/>
      <c r="M341" s="610"/>
      <c r="N341" s="615" t="s">
        <v>3411</v>
      </c>
      <c r="O341" s="615" t="s">
        <v>1619</v>
      </c>
      <c r="P341" s="497" t="s">
        <v>1172</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1281</v>
      </c>
      <c r="K342" s="614"/>
      <c r="L342" s="609"/>
      <c r="M342" s="610"/>
      <c r="N342" s="497" t="s">
        <v>3600</v>
      </c>
      <c r="O342" s="497" t="s">
        <v>933</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455</v>
      </c>
      <c r="O343" s="615" t="s">
        <v>3495</v>
      </c>
      <c r="P343" s="497" t="s">
        <v>1173</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457</v>
      </c>
      <c r="O344" s="615" t="s">
        <v>3066</v>
      </c>
      <c r="P344" s="497" t="s">
        <v>1174</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1449</v>
      </c>
      <c r="P345" s="497" t="s">
        <v>1175</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888</v>
      </c>
      <c r="P346" s="497" t="s">
        <v>1176</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1364</v>
      </c>
      <c r="O347" s="615" t="s">
        <v>3493</v>
      </c>
      <c r="P347" s="497" t="s">
        <v>1177</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456</v>
      </c>
      <c r="K348" s="614"/>
      <c r="L348" s="609"/>
      <c r="M348" s="610"/>
      <c r="N348" s="615" t="s">
        <v>2802</v>
      </c>
      <c r="O348" s="615" t="s">
        <v>1364</v>
      </c>
      <c r="P348" s="497" t="s">
        <v>1178</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888</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2039</v>
      </c>
      <c r="P350" s="497" t="s">
        <v>1179</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2039</v>
      </c>
      <c r="P351" s="497" t="s">
        <v>1180</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993</v>
      </c>
      <c r="O352" s="615" t="s">
        <v>130</v>
      </c>
      <c r="P352" s="497" t="s">
        <v>1181</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965</v>
      </c>
      <c r="O353" s="615" t="s">
        <v>888</v>
      </c>
      <c r="P353" s="497" t="s">
        <v>1182</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1183</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1661</v>
      </c>
      <c r="O355" s="615" t="s">
        <v>2039</v>
      </c>
      <c r="P355" s="497" t="s">
        <v>1184</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1663</v>
      </c>
      <c r="O356" s="615" t="s">
        <v>929</v>
      </c>
      <c r="P356" s="610" t="s">
        <v>1185</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992</v>
      </c>
      <c r="K357" s="614"/>
      <c r="L357" s="609"/>
      <c r="M357" s="610"/>
      <c r="N357" s="497" t="s">
        <v>3602</v>
      </c>
      <c r="O357" s="497" t="s">
        <v>3068</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1660</v>
      </c>
      <c r="K358" s="614"/>
      <c r="L358" s="609"/>
      <c r="M358" s="610"/>
      <c r="N358" s="497" t="s">
        <v>3603</v>
      </c>
      <c r="O358" s="497" t="s">
        <v>3547</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1662</v>
      </c>
      <c r="K359" s="614"/>
      <c r="L359" s="609"/>
      <c r="M359" s="610"/>
      <c r="N359" s="615" t="s">
        <v>1665</v>
      </c>
      <c r="O359" s="615" t="s">
        <v>1745</v>
      </c>
      <c r="P359" s="610" t="s">
        <v>1186</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1664</v>
      </c>
      <c r="K360" s="614"/>
      <c r="L360" s="609"/>
      <c r="M360" s="610"/>
      <c r="N360" s="615" t="s">
        <v>3528</v>
      </c>
      <c r="O360" s="615" t="s">
        <v>239</v>
      </c>
      <c r="P360" s="610" t="s">
        <v>1187</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630</v>
      </c>
      <c r="O361" s="615" t="s">
        <v>1615</v>
      </c>
      <c r="P361" s="610" t="s">
        <v>1188</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228</v>
      </c>
      <c r="O362" s="615" t="s">
        <v>931</v>
      </c>
      <c r="P362" s="610" t="s">
        <v>1189</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227</v>
      </c>
      <c r="K363" s="614"/>
      <c r="L363" s="609"/>
      <c r="M363" s="610"/>
      <c r="N363" s="615" t="s">
        <v>369</v>
      </c>
      <c r="O363" s="615" t="s">
        <v>1900</v>
      </c>
      <c r="P363" s="610" t="s">
        <v>1190</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229</v>
      </c>
      <c r="K364" s="614"/>
      <c r="L364" s="609"/>
      <c r="M364" s="610"/>
      <c r="N364" s="615" t="s">
        <v>2691</v>
      </c>
      <c r="O364" s="615" t="s">
        <v>1369</v>
      </c>
      <c r="P364" s="610" t="s">
        <v>1191</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2690</v>
      </c>
      <c r="K365" s="614"/>
      <c r="L365" s="609"/>
      <c r="M365" s="610"/>
      <c r="N365" s="615" t="s">
        <v>2693</v>
      </c>
      <c r="O365" s="615" t="s">
        <v>1625</v>
      </c>
      <c r="P365" s="610" t="s">
        <v>1192</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2692</v>
      </c>
      <c r="K366" s="614"/>
      <c r="L366" s="609"/>
      <c r="M366" s="610"/>
      <c r="N366" s="615" t="s">
        <v>2769</v>
      </c>
      <c r="O366" s="615" t="s">
        <v>3495</v>
      </c>
      <c r="P366" s="610" t="s">
        <v>1193</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929</v>
      </c>
      <c r="P367" s="610" t="s">
        <v>1194</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1882</v>
      </c>
      <c r="P368" s="610" t="s">
        <v>1195</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1885</v>
      </c>
      <c r="P369" s="610" t="s">
        <v>1196</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388</v>
      </c>
      <c r="P370" s="610" t="s">
        <v>1197</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1198</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1882</v>
      </c>
      <c r="P372" s="610" t="s">
        <v>1199</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498</v>
      </c>
      <c r="O376" s="615" t="s">
        <v>1745</v>
      </c>
      <c r="P376" s="610" t="s">
        <v>1200</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497</v>
      </c>
      <c r="K377" s="614"/>
      <c r="L377" s="609"/>
      <c r="M377" s="610"/>
      <c r="N377" s="615" t="s">
        <v>272</v>
      </c>
      <c r="O377" s="615" t="s">
        <v>934</v>
      </c>
      <c r="P377" s="610" t="s">
        <v>1201</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2522</v>
      </c>
      <c r="K379" s="614"/>
      <c r="L379" s="609"/>
      <c r="M379" s="610"/>
      <c r="N379" s="615" t="s">
        <v>2523</v>
      </c>
      <c r="O379" s="615" t="s">
        <v>3490</v>
      </c>
      <c r="P379" s="610" t="s">
        <v>1202</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2603</v>
      </c>
      <c r="K380" s="614"/>
      <c r="L380" s="609"/>
      <c r="M380" s="610"/>
      <c r="N380" s="615" t="s">
        <v>3194</v>
      </c>
      <c r="O380" s="615" t="s">
        <v>924</v>
      </c>
      <c r="P380" s="610" t="s">
        <v>1203</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1883</v>
      </c>
      <c r="P381" s="610" t="s">
        <v>1204</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1495</v>
      </c>
      <c r="O382" s="615" t="s">
        <v>2042</v>
      </c>
      <c r="P382" s="610" t="s">
        <v>1205</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1494</v>
      </c>
      <c r="K383" s="614"/>
      <c r="L383" s="609"/>
      <c r="M383" s="610"/>
      <c r="N383" s="615" t="s">
        <v>814</v>
      </c>
      <c r="O383" s="615" t="s">
        <v>1899</v>
      </c>
      <c r="P383" s="610" t="s">
        <v>1206</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948</v>
      </c>
      <c r="K384" s="614"/>
      <c r="L384" s="609"/>
      <c r="M384" s="610"/>
      <c r="N384" s="615" t="s">
        <v>941</v>
      </c>
      <c r="O384" s="615" t="s">
        <v>381</v>
      </c>
      <c r="P384" s="610" t="s">
        <v>1207</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813</v>
      </c>
      <c r="K385" s="614"/>
      <c r="L385" s="609"/>
      <c r="M385" s="610"/>
      <c r="N385" s="615" t="s">
        <v>3365</v>
      </c>
      <c r="O385" s="615" t="s">
        <v>195</v>
      </c>
      <c r="P385" s="610" t="s">
        <v>1208</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940</v>
      </c>
      <c r="K386" s="614"/>
      <c r="L386" s="609"/>
      <c r="M386" s="610"/>
      <c r="N386" s="615" t="s">
        <v>265</v>
      </c>
      <c r="O386" s="615" t="s">
        <v>3489</v>
      </c>
      <c r="P386" s="610" t="s">
        <v>1209</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926</v>
      </c>
      <c r="O387" s="615" t="s">
        <v>2387</v>
      </c>
      <c r="P387" s="610" t="s">
        <v>1210</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264</v>
      </c>
      <c r="K388" s="614"/>
      <c r="L388" s="609"/>
      <c r="M388" s="610"/>
      <c r="N388" s="615" t="s">
        <v>3330</v>
      </c>
      <c r="O388" s="615" t="s">
        <v>3487</v>
      </c>
      <c r="P388" s="610" t="s">
        <v>1211</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1265</v>
      </c>
      <c r="K389" s="614"/>
      <c r="L389" s="609"/>
      <c r="M389" s="610"/>
      <c r="N389" s="615" t="s">
        <v>277</v>
      </c>
      <c r="O389" s="615" t="s">
        <v>2122</v>
      </c>
      <c r="P389" s="610" t="s">
        <v>1212</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1266</v>
      </c>
      <c r="K390" s="614"/>
      <c r="L390" s="609"/>
      <c r="M390" s="610"/>
      <c r="N390" s="497" t="s">
        <v>1559</v>
      </c>
      <c r="O390" s="497" t="s">
        <v>2042</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276</v>
      </c>
      <c r="K391" s="614"/>
      <c r="L391" s="609"/>
      <c r="M391" s="610"/>
      <c r="N391" s="615" t="s">
        <v>279</v>
      </c>
      <c r="O391" s="615" t="s">
        <v>1605</v>
      </c>
      <c r="P391" s="610" t="s">
        <v>1213</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278</v>
      </c>
      <c r="K392" s="614"/>
      <c r="L392" s="609"/>
      <c r="M392" s="610"/>
      <c r="N392" s="615" t="s">
        <v>927</v>
      </c>
      <c r="O392" s="615" t="s">
        <v>388</v>
      </c>
      <c r="P392" s="610" t="s">
        <v>1214</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280</v>
      </c>
      <c r="K393" s="614"/>
      <c r="L393" s="609"/>
      <c r="M393" s="610"/>
      <c r="N393" s="615" t="s">
        <v>1274</v>
      </c>
      <c r="O393" s="615" t="s">
        <v>927</v>
      </c>
      <c r="P393" s="610" t="s">
        <v>1215</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1272</v>
      </c>
      <c r="K394" s="614"/>
      <c r="L394" s="609"/>
      <c r="M394" s="610"/>
      <c r="N394" s="615" t="s">
        <v>1758</v>
      </c>
      <c r="O394" s="615" t="s">
        <v>3495</v>
      </c>
      <c r="P394" s="610" t="s">
        <v>1216</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1273</v>
      </c>
      <c r="K395" s="614"/>
      <c r="L395" s="609"/>
      <c r="M395" s="610"/>
      <c r="N395" s="615" t="s">
        <v>1760</v>
      </c>
      <c r="O395" s="615" t="s">
        <v>381</v>
      </c>
      <c r="P395" s="610" t="s">
        <v>1217</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1275</v>
      </c>
      <c r="K396" s="614"/>
      <c r="L396" s="609"/>
      <c r="M396" s="610"/>
      <c r="N396" s="615" t="s">
        <v>1762</v>
      </c>
      <c r="O396" s="615" t="s">
        <v>197</v>
      </c>
      <c r="P396" s="610" t="s">
        <v>1762</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2159</v>
      </c>
      <c r="K397" s="614"/>
      <c r="L397" s="609"/>
      <c r="M397" s="610"/>
      <c r="N397" s="615" t="s">
        <v>1392</v>
      </c>
      <c r="O397" s="615" t="s">
        <v>3155</v>
      </c>
      <c r="P397" s="610" t="s">
        <v>1218</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1759</v>
      </c>
      <c r="K398" s="614"/>
      <c r="L398" s="609"/>
      <c r="M398" s="610"/>
      <c r="N398" s="615" t="s">
        <v>3468</v>
      </c>
      <c r="O398" s="615" t="s">
        <v>2755</v>
      </c>
      <c r="P398" s="610" t="s">
        <v>1219</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1761</v>
      </c>
      <c r="K399" s="614"/>
      <c r="L399" s="609"/>
      <c r="M399" s="610"/>
      <c r="N399" s="615" t="s">
        <v>1396</v>
      </c>
      <c r="O399" s="615" t="s">
        <v>3075</v>
      </c>
      <c r="P399" s="610" t="s">
        <v>1220</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1391</v>
      </c>
      <c r="K400" s="614"/>
      <c r="L400" s="609"/>
      <c r="M400" s="610"/>
      <c r="N400" s="615" t="s">
        <v>1398</v>
      </c>
      <c r="O400" s="615" t="s">
        <v>1617</v>
      </c>
      <c r="P400" s="1367" t="s">
        <v>1312</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1400</v>
      </c>
      <c r="O401" s="615" t="s">
        <v>931</v>
      </c>
      <c r="P401" s="610" t="s">
        <v>1221</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1395</v>
      </c>
      <c r="K402" s="614"/>
      <c r="L402" s="609"/>
      <c r="M402" s="610"/>
      <c r="N402" s="615" t="s">
        <v>1402</v>
      </c>
      <c r="O402" s="615" t="s">
        <v>381</v>
      </c>
      <c r="P402" s="610" t="s">
        <v>1222</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1397</v>
      </c>
      <c r="K403" s="614"/>
      <c r="L403" s="609"/>
      <c r="M403" s="610"/>
      <c r="N403" s="615" t="s">
        <v>1404</v>
      </c>
      <c r="O403" s="615" t="s">
        <v>1897</v>
      </c>
      <c r="P403" s="610" t="s">
        <v>1223</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1399</v>
      </c>
      <c r="K404" s="614"/>
      <c r="L404" s="609"/>
      <c r="M404" s="610"/>
      <c r="N404" s="615" t="s">
        <v>951</v>
      </c>
      <c r="O404" s="615" t="s">
        <v>3079</v>
      </c>
      <c r="P404" s="610" t="s">
        <v>1224</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1401</v>
      </c>
      <c r="K405" s="614"/>
      <c r="L405" s="609"/>
      <c r="M405" s="610"/>
      <c r="N405" s="615" t="s">
        <v>61</v>
      </c>
      <c r="O405" s="615" t="s">
        <v>121</v>
      </c>
      <c r="P405" s="610" t="s">
        <v>1225</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1403</v>
      </c>
      <c r="K406" s="614"/>
      <c r="L406" s="609"/>
      <c r="M406" s="610"/>
      <c r="N406" s="615" t="s">
        <v>1458</v>
      </c>
      <c r="O406" s="615" t="s">
        <v>2890</v>
      </c>
      <c r="P406" s="610" t="s">
        <v>1226</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950</v>
      </c>
      <c r="K407" s="614"/>
      <c r="L407" s="609"/>
      <c r="M407" s="610"/>
      <c r="N407" s="615" t="s">
        <v>934</v>
      </c>
      <c r="O407" s="615" t="s">
        <v>3377</v>
      </c>
      <c r="P407" s="610" t="s">
        <v>1227</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1502</v>
      </c>
      <c r="O408" s="615" t="s">
        <v>1749</v>
      </c>
      <c r="P408" s="610" t="s">
        <v>1228</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1457</v>
      </c>
      <c r="K409" s="614"/>
      <c r="L409" s="609"/>
      <c r="M409" s="610"/>
      <c r="N409" s="615" t="s">
        <v>1504</v>
      </c>
      <c r="O409" s="615" t="s">
        <v>3547</v>
      </c>
      <c r="P409" s="610" t="s">
        <v>1229</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2596</v>
      </c>
      <c r="K410" s="614"/>
      <c r="L410" s="609"/>
      <c r="M410" s="610"/>
      <c r="N410" s="615" t="s">
        <v>1482</v>
      </c>
      <c r="O410" s="615" t="s">
        <v>595</v>
      </c>
      <c r="P410" s="610" t="s">
        <v>1230</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1500</v>
      </c>
      <c r="K411" s="614"/>
      <c r="L411" s="609"/>
      <c r="M411" s="610"/>
      <c r="N411" s="615" t="s">
        <v>1484</v>
      </c>
      <c r="O411" s="615" t="s">
        <v>130</v>
      </c>
      <c r="P411" s="610" t="s">
        <v>1231</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1501</v>
      </c>
      <c r="K412" s="614"/>
      <c r="L412" s="609"/>
      <c r="M412" s="610"/>
      <c r="N412" s="615" t="s">
        <v>1486</v>
      </c>
      <c r="O412" s="615" t="s">
        <v>938</v>
      </c>
      <c r="P412" s="610" t="s">
        <v>1232</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1503</v>
      </c>
      <c r="K413" s="614"/>
      <c r="L413" s="609"/>
      <c r="M413" s="610"/>
      <c r="N413" s="615" t="s">
        <v>1488</v>
      </c>
      <c r="O413" s="615" t="s">
        <v>2755</v>
      </c>
      <c r="P413" s="610" t="s">
        <v>1233</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1481</v>
      </c>
      <c r="K414" s="614"/>
      <c r="L414" s="609"/>
      <c r="M414" s="610"/>
      <c r="N414" s="497" t="s">
        <v>1560</v>
      </c>
      <c r="O414" s="497" t="s">
        <v>888</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1483</v>
      </c>
      <c r="K415" s="614"/>
      <c r="L415" s="609"/>
      <c r="M415" s="610"/>
      <c r="N415" s="615" t="s">
        <v>818</v>
      </c>
      <c r="O415" s="615" t="s">
        <v>3068</v>
      </c>
      <c r="P415" s="610" t="s">
        <v>1234</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1485</v>
      </c>
      <c r="K416" s="614"/>
      <c r="L416" s="609"/>
      <c r="M416" s="610"/>
      <c r="N416" s="615" t="s">
        <v>447</v>
      </c>
      <c r="O416" s="615" t="s">
        <v>3544</v>
      </c>
      <c r="P416" s="610" t="s">
        <v>1235</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1487</v>
      </c>
      <c r="K417" s="614"/>
      <c r="L417" s="609"/>
      <c r="M417" s="610"/>
      <c r="N417" s="615" t="s">
        <v>449</v>
      </c>
      <c r="O417" s="615" t="s">
        <v>2042</v>
      </c>
      <c r="P417" s="610" t="s">
        <v>1236</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817</v>
      </c>
      <c r="K418" s="614"/>
      <c r="L418" s="609"/>
      <c r="M418" s="610"/>
      <c r="N418" s="497" t="s">
        <v>1561</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446</v>
      </c>
      <c r="K419" s="614"/>
      <c r="L419" s="609"/>
      <c r="M419" s="610"/>
      <c r="N419" s="615" t="s">
        <v>451</v>
      </c>
      <c r="O419" s="615" t="s">
        <v>1368</v>
      </c>
      <c r="P419" s="610" t="s">
        <v>1237</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448</v>
      </c>
      <c r="K420" s="614"/>
      <c r="L420" s="609"/>
      <c r="M420" s="610"/>
      <c r="N420" s="615" t="s">
        <v>1992</v>
      </c>
      <c r="O420" s="615" t="s">
        <v>3157</v>
      </c>
      <c r="P420" s="610" t="s">
        <v>1238</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450</v>
      </c>
      <c r="K421" s="614"/>
      <c r="L421" s="609"/>
      <c r="M421" s="610"/>
      <c r="N421" s="615" t="s">
        <v>2204</v>
      </c>
      <c r="O421" s="615" t="s">
        <v>214</v>
      </c>
      <c r="P421" s="610" t="s">
        <v>1239</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853</v>
      </c>
      <c r="K422" s="614"/>
      <c r="L422" s="609"/>
      <c r="M422" s="610"/>
      <c r="N422" s="615" t="s">
        <v>1511</v>
      </c>
      <c r="O422" s="615" t="s">
        <v>385</v>
      </c>
      <c r="P422" s="610" t="s">
        <v>1240</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1991</v>
      </c>
      <c r="K423" s="614"/>
      <c r="L423" s="609"/>
      <c r="M423" s="610"/>
      <c r="N423" s="615" t="s">
        <v>1513</v>
      </c>
      <c r="O423" s="615" t="s">
        <v>389</v>
      </c>
      <c r="P423" s="610" t="s">
        <v>1241</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2203</v>
      </c>
      <c r="K424" s="614"/>
      <c r="L424" s="609"/>
      <c r="M424" s="610"/>
      <c r="N424" s="497" t="s">
        <v>1562</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1510</v>
      </c>
      <c r="K425" s="614"/>
      <c r="L425" s="609"/>
      <c r="M425" s="610"/>
      <c r="N425" s="615" t="s">
        <v>1515</v>
      </c>
      <c r="O425" s="615" t="s">
        <v>1745</v>
      </c>
      <c r="P425" s="610" t="s">
        <v>2396</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1512</v>
      </c>
      <c r="K426" s="614"/>
      <c r="L426" s="609"/>
      <c r="M426" s="610"/>
      <c r="N426" s="615" t="s">
        <v>384</v>
      </c>
      <c r="O426" s="615" t="s">
        <v>3547</v>
      </c>
      <c r="P426" s="610" t="s">
        <v>2397</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1514</v>
      </c>
      <c r="K427" s="614"/>
      <c r="L427" s="609"/>
      <c r="M427" s="610"/>
      <c r="N427" s="615" t="s">
        <v>2527</v>
      </c>
      <c r="O427" s="615" t="s">
        <v>3544</v>
      </c>
      <c r="P427" s="610" t="s">
        <v>2398</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2524</v>
      </c>
      <c r="K428" s="614"/>
      <c r="L428" s="609"/>
      <c r="M428" s="610"/>
      <c r="N428" s="615" t="s">
        <v>1354</v>
      </c>
      <c r="O428" s="615" t="s">
        <v>115</v>
      </c>
      <c r="P428" s="610" t="s">
        <v>2399</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2525</v>
      </c>
      <c r="K429" s="614"/>
      <c r="L429" s="609"/>
      <c r="M429" s="610"/>
      <c r="N429" s="615" t="s">
        <v>1356</v>
      </c>
      <c r="O429" s="615" t="s">
        <v>386</v>
      </c>
      <c r="P429" s="610" t="s">
        <v>2400</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2526</v>
      </c>
      <c r="K430" s="614"/>
      <c r="L430" s="609"/>
      <c r="M430" s="610"/>
      <c r="N430" s="615" t="s">
        <v>2595</v>
      </c>
      <c r="O430" s="615" t="s">
        <v>1613</v>
      </c>
      <c r="P430" s="610" t="s">
        <v>2401</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1353</v>
      </c>
      <c r="K431" s="614"/>
      <c r="L431" s="609"/>
      <c r="M431" s="610"/>
      <c r="N431" s="615" t="s">
        <v>891</v>
      </c>
      <c r="O431" s="615" t="s">
        <v>396</v>
      </c>
      <c r="P431" s="610" t="s">
        <v>2402</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1355</v>
      </c>
      <c r="K432" s="614"/>
      <c r="L432" s="609"/>
      <c r="M432" s="610"/>
      <c r="N432" s="615" t="s">
        <v>2576</v>
      </c>
      <c r="O432" s="615" t="s">
        <v>123</v>
      </c>
      <c r="P432" s="610" t="s">
        <v>2403</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1357</v>
      </c>
      <c r="K433" s="614"/>
      <c r="L433" s="609"/>
      <c r="M433" s="610"/>
      <c r="N433" s="615" t="s">
        <v>3206</v>
      </c>
      <c r="O433" s="615" t="s">
        <v>1362</v>
      </c>
      <c r="P433" s="610" t="s">
        <v>2404</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601</v>
      </c>
      <c r="K434" s="614"/>
      <c r="L434" s="609"/>
      <c r="M434" s="610"/>
      <c r="N434" s="615" t="s">
        <v>2886</v>
      </c>
      <c r="O434" s="615" t="s">
        <v>1623</v>
      </c>
      <c r="P434" s="610" t="s">
        <v>2405</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2575</v>
      </c>
      <c r="K435" s="614"/>
      <c r="L435" s="609"/>
      <c r="M435" s="610"/>
      <c r="N435" s="615" t="s">
        <v>1543</v>
      </c>
      <c r="O435" s="615" t="s">
        <v>2789</v>
      </c>
      <c r="P435" s="610" t="s">
        <v>2406</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490</v>
      </c>
      <c r="O436" s="615" t="s">
        <v>223</v>
      </c>
      <c r="P436" s="610" t="s">
        <v>2407</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1563</v>
      </c>
      <c r="O437" s="497" t="s">
        <v>1610</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1542</v>
      </c>
      <c r="K438" s="614"/>
      <c r="L438" s="609"/>
      <c r="M438" s="610"/>
      <c r="N438" s="615" t="s">
        <v>493</v>
      </c>
      <c r="O438" s="615" t="s">
        <v>3064</v>
      </c>
      <c r="P438" s="610" t="s">
        <v>2408</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489</v>
      </c>
      <c r="K439" s="614"/>
      <c r="L439" s="609"/>
      <c r="M439" s="610"/>
      <c r="N439" s="615" t="s">
        <v>2823</v>
      </c>
      <c r="O439" s="615" t="s">
        <v>2042</v>
      </c>
      <c r="P439" s="610" t="s">
        <v>2409</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491</v>
      </c>
      <c r="K440" s="614"/>
      <c r="L440" s="609"/>
      <c r="M440" s="610"/>
      <c r="N440" s="615" t="s">
        <v>684</v>
      </c>
      <c r="O440" s="615" t="s">
        <v>3631</v>
      </c>
      <c r="P440" s="610" t="s">
        <v>2410</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492</v>
      </c>
      <c r="K441" s="614"/>
      <c r="L441" s="609"/>
      <c r="M441" s="610"/>
      <c r="N441" s="615" t="s">
        <v>3056</v>
      </c>
      <c r="O441" s="615" t="s">
        <v>1891</v>
      </c>
      <c r="P441" s="610" t="s">
        <v>2411</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2475</v>
      </c>
      <c r="O442" s="615" t="s">
        <v>2793</v>
      </c>
      <c r="P442" s="610" t="s">
        <v>2412</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683</v>
      </c>
      <c r="K443" s="614"/>
      <c r="L443" s="609"/>
      <c r="M443" s="610"/>
      <c r="N443" s="615" t="s">
        <v>2477</v>
      </c>
      <c r="O443" s="615" t="s">
        <v>202</v>
      </c>
      <c r="P443" s="610" t="s">
        <v>2413</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377</v>
      </c>
      <c r="O444" s="615" t="s">
        <v>195</v>
      </c>
      <c r="P444" s="610" t="s">
        <v>2414</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2474</v>
      </c>
      <c r="K445" s="614"/>
      <c r="L445" s="609"/>
      <c r="M445" s="610"/>
      <c r="N445" s="615" t="s">
        <v>379</v>
      </c>
      <c r="O445" s="615" t="s">
        <v>1878</v>
      </c>
      <c r="P445" s="610" t="s">
        <v>2415</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2476</v>
      </c>
      <c r="K446" s="614"/>
      <c r="L446" s="609"/>
      <c r="M446" s="610"/>
      <c r="N446" s="615" t="s">
        <v>1438</v>
      </c>
      <c r="O446" s="615" t="s">
        <v>3490</v>
      </c>
      <c r="P446" s="610" t="s">
        <v>2416</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376</v>
      </c>
      <c r="K447" s="614"/>
      <c r="L447" s="609"/>
      <c r="M447" s="610"/>
      <c r="N447" s="615" t="s">
        <v>3245</v>
      </c>
      <c r="O447" s="615" t="s">
        <v>393</v>
      </c>
      <c r="P447" s="610" t="s">
        <v>2417</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378</v>
      </c>
      <c r="K448" s="614"/>
      <c r="L448" s="609"/>
      <c r="M448" s="610"/>
      <c r="N448" s="615" t="s">
        <v>3226</v>
      </c>
      <c r="O448" s="615" t="s">
        <v>218</v>
      </c>
      <c r="P448" s="610" t="s">
        <v>2418</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1437</v>
      </c>
      <c r="K449" s="614"/>
      <c r="L449" s="609"/>
      <c r="M449" s="610"/>
      <c r="N449" s="615" t="s">
        <v>3228</v>
      </c>
      <c r="O449" s="615" t="s">
        <v>1888</v>
      </c>
      <c r="P449" s="610" t="s">
        <v>2419</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743</v>
      </c>
      <c r="O450" s="615" t="s">
        <v>218</v>
      </c>
      <c r="P450" s="610" t="s">
        <v>2420</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1564</v>
      </c>
      <c r="O451" s="497" t="s">
        <v>2122</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226</v>
      </c>
      <c r="O452" s="615" t="s">
        <v>3066</v>
      </c>
      <c r="P452" s="610" t="s">
        <v>226</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1565</v>
      </c>
      <c r="O453" s="497" t="s">
        <v>3489</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2421</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742</v>
      </c>
      <c r="K455" s="614"/>
      <c r="L455" s="609"/>
      <c r="M455" s="610"/>
      <c r="N455" s="497" t="s">
        <v>1566</v>
      </c>
      <c r="O455" s="497" t="s">
        <v>197</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225</v>
      </c>
      <c r="K456" s="614"/>
      <c r="L456" s="609"/>
      <c r="M456" s="610"/>
      <c r="N456" s="615" t="s">
        <v>2856</v>
      </c>
      <c r="O456" s="615" t="s">
        <v>3377</v>
      </c>
      <c r="P456" s="610" t="s">
        <v>2422</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393</v>
      </c>
      <c r="O457" s="615" t="s">
        <v>1899</v>
      </c>
      <c r="P457" s="610" t="s">
        <v>2423</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1667</v>
      </c>
      <c r="O458" s="615" t="s">
        <v>1362</v>
      </c>
      <c r="P458" s="610" t="s">
        <v>2424</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1626</v>
      </c>
      <c r="O459" s="615" t="s">
        <v>1365</v>
      </c>
      <c r="P459" s="610" t="s">
        <v>2425</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1666</v>
      </c>
      <c r="K460" s="614"/>
      <c r="L460" s="609"/>
      <c r="M460" s="610"/>
      <c r="N460" s="615" t="s">
        <v>395</v>
      </c>
      <c r="O460" s="615" t="s">
        <v>1607</v>
      </c>
      <c r="P460" s="610" t="s">
        <v>2426</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1668</v>
      </c>
      <c r="K461" s="614"/>
      <c r="L461" s="609"/>
      <c r="M461" s="610"/>
      <c r="N461" s="615" t="s">
        <v>398</v>
      </c>
      <c r="O461" s="615" t="s">
        <v>393</v>
      </c>
      <c r="P461" s="610" t="s">
        <v>2427</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1627</v>
      </c>
      <c r="K462" s="614"/>
      <c r="L462" s="609"/>
      <c r="M462" s="610"/>
      <c r="N462" s="615" t="s">
        <v>79</v>
      </c>
      <c r="O462" s="615" t="s">
        <v>2797</v>
      </c>
      <c r="P462" s="610" t="s">
        <v>2428</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1628</v>
      </c>
      <c r="K463" s="614"/>
      <c r="L463" s="609"/>
      <c r="M463" s="610"/>
      <c r="N463" s="615" t="s">
        <v>3163</v>
      </c>
      <c r="O463" s="615" t="s">
        <v>1899</v>
      </c>
      <c r="P463" s="610" t="s">
        <v>2429</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2609</v>
      </c>
      <c r="O464" s="615" t="s">
        <v>2890</v>
      </c>
      <c r="P464" s="610" t="s">
        <v>2430</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442</v>
      </c>
      <c r="K465" s="614"/>
      <c r="L465" s="609"/>
      <c r="M465" s="610"/>
      <c r="N465" s="615" t="s">
        <v>2611</v>
      </c>
      <c r="O465" s="615" t="s">
        <v>117</v>
      </c>
      <c r="P465" s="610" t="s">
        <v>2431</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966</v>
      </c>
      <c r="O466" s="615" t="s">
        <v>1745</v>
      </c>
      <c r="P466" s="610" t="s">
        <v>2432</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2683</v>
      </c>
      <c r="K467" s="614"/>
      <c r="L467" s="609"/>
      <c r="M467" s="610"/>
      <c r="N467" s="615" t="s">
        <v>3319</v>
      </c>
      <c r="O467" s="615" t="s">
        <v>3489</v>
      </c>
      <c r="P467" s="610" t="s">
        <v>2433</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2610</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338</v>
      </c>
      <c r="K469" s="614"/>
      <c r="L469" s="609"/>
      <c r="M469" s="610"/>
      <c r="N469" s="615" t="s">
        <v>657</v>
      </c>
      <c r="O469" s="615" t="s">
        <v>3492</v>
      </c>
      <c r="P469" s="610" t="s">
        <v>2434</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659</v>
      </c>
      <c r="O470" s="615" t="s">
        <v>1897</v>
      </c>
      <c r="P470" s="610" t="s">
        <v>2435</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655</v>
      </c>
      <c r="K471" s="614"/>
      <c r="L471" s="609"/>
      <c r="M471" s="610"/>
      <c r="N471" s="497" t="s">
        <v>1567</v>
      </c>
      <c r="O471" s="497" t="s">
        <v>1902</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656</v>
      </c>
      <c r="K472" s="614"/>
      <c r="L472" s="609"/>
      <c r="M472" s="610"/>
      <c r="N472" s="615" t="s">
        <v>661</v>
      </c>
      <c r="O472" s="615" t="s">
        <v>1902</v>
      </c>
      <c r="P472" s="610" t="s">
        <v>2436</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658</v>
      </c>
      <c r="K473" s="614"/>
      <c r="L473" s="609"/>
      <c r="M473" s="610"/>
      <c r="N473" s="615" t="s">
        <v>1793</v>
      </c>
      <c r="O473" s="615" t="s">
        <v>1882</v>
      </c>
      <c r="P473" s="610" t="s">
        <v>2437</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660</v>
      </c>
      <c r="K474" s="614"/>
      <c r="L474" s="609"/>
      <c r="M474" s="610"/>
      <c r="N474" s="615" t="s">
        <v>1795</v>
      </c>
      <c r="O474" s="615" t="s">
        <v>402</v>
      </c>
      <c r="P474" s="610" t="s">
        <v>2438</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1792</v>
      </c>
      <c r="K475" s="614"/>
      <c r="L475" s="609"/>
      <c r="M475" s="610"/>
      <c r="N475" s="615" t="s">
        <v>2876</v>
      </c>
      <c r="O475" s="615" t="s">
        <v>2889</v>
      </c>
      <c r="P475" s="610" t="s">
        <v>2439</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1794</v>
      </c>
      <c r="K476" s="614"/>
      <c r="L476" s="609"/>
      <c r="M476" s="610"/>
      <c r="N476" s="615" t="s">
        <v>82</v>
      </c>
      <c r="O476" s="615" t="s">
        <v>2793</v>
      </c>
      <c r="P476" s="610" t="s">
        <v>2440</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892</v>
      </c>
      <c r="O477" s="615" t="s">
        <v>3489</v>
      </c>
      <c r="P477" s="610" t="s">
        <v>892</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214</v>
      </c>
      <c r="P478" s="610" t="s">
        <v>2441</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2038</v>
      </c>
      <c r="P479" s="610" t="s">
        <v>2442</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1568</v>
      </c>
      <c r="O480" s="497" t="s">
        <v>2122</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1569</v>
      </c>
      <c r="O481" s="497" t="s">
        <v>1624</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871</v>
      </c>
      <c r="O482" s="615" t="s">
        <v>927</v>
      </c>
      <c r="P482" s="610" t="s">
        <v>2443</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1466</v>
      </c>
      <c r="O483" s="615" t="s">
        <v>130</v>
      </c>
      <c r="P483" s="610" t="s">
        <v>2444</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1465</v>
      </c>
      <c r="K484" s="614"/>
      <c r="L484" s="609"/>
      <c r="M484" s="610"/>
      <c r="N484" s="615" t="s">
        <v>1468</v>
      </c>
      <c r="O484" s="615" t="s">
        <v>1900</v>
      </c>
      <c r="P484" s="610" t="s">
        <v>2445</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1467</v>
      </c>
      <c r="K485" s="614"/>
      <c r="L485" s="609"/>
      <c r="M485" s="610"/>
      <c r="N485" s="615" t="s">
        <v>2088</v>
      </c>
      <c r="O485" s="615" t="s">
        <v>2041</v>
      </c>
      <c r="P485" s="610" t="s">
        <v>2446</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2086</v>
      </c>
      <c r="K486" s="614"/>
      <c r="L486" s="609"/>
      <c r="M486" s="610"/>
      <c r="N486" s="615" t="s">
        <v>2090</v>
      </c>
      <c r="O486" s="615" t="s">
        <v>3545</v>
      </c>
      <c r="P486" s="610" t="s">
        <v>2447</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2087</v>
      </c>
      <c r="K487" s="614"/>
      <c r="L487" s="609"/>
      <c r="M487" s="610"/>
      <c r="N487" s="615" t="s">
        <v>2092</v>
      </c>
      <c r="O487" s="615" t="s">
        <v>3073</v>
      </c>
      <c r="P487" s="610" t="s">
        <v>2448</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2089</v>
      </c>
      <c r="K488" s="614"/>
      <c r="L488" s="609"/>
      <c r="M488" s="610"/>
      <c r="N488" s="615" t="s">
        <v>3262</v>
      </c>
      <c r="O488" s="615" t="s">
        <v>3630</v>
      </c>
      <c r="P488" s="610" t="s">
        <v>2449</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2091</v>
      </c>
      <c r="K489" s="614"/>
      <c r="L489" s="609"/>
      <c r="M489" s="610"/>
      <c r="N489" s="615" t="s">
        <v>3264</v>
      </c>
      <c r="O489" s="615" t="s">
        <v>130</v>
      </c>
      <c r="P489" s="610" t="s">
        <v>2450</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2093</v>
      </c>
      <c r="K490" s="614"/>
      <c r="L490" s="609"/>
      <c r="M490" s="610"/>
      <c r="N490" s="615" t="s">
        <v>1837</v>
      </c>
      <c r="O490" s="615" t="s">
        <v>1449</v>
      </c>
      <c r="P490" s="610" t="s">
        <v>2451</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1570</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1839</v>
      </c>
      <c r="O492" s="615" t="s">
        <v>2043</v>
      </c>
      <c r="P492" s="610" t="s">
        <v>2452</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1838</v>
      </c>
      <c r="K493" s="614"/>
      <c r="L493" s="609"/>
      <c r="M493" s="610"/>
      <c r="N493" s="615" t="s">
        <v>1315</v>
      </c>
      <c r="O493" s="615" t="s">
        <v>2889</v>
      </c>
      <c r="P493" s="1367" t="s">
        <v>1312</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2110</v>
      </c>
      <c r="K494" s="614"/>
      <c r="L494" s="609"/>
      <c r="M494" s="610"/>
      <c r="N494" s="615" t="s">
        <v>1316</v>
      </c>
      <c r="O494" s="615" t="s">
        <v>1364</v>
      </c>
      <c r="P494" s="1367" t="s">
        <v>1312</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1306</v>
      </c>
      <c r="K495" s="614"/>
      <c r="L495" s="609"/>
      <c r="M495" s="610"/>
      <c r="N495" s="615" t="s">
        <v>1308</v>
      </c>
      <c r="O495" s="615" t="s">
        <v>888</v>
      </c>
      <c r="P495" s="610" t="s">
        <v>2453</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1307</v>
      </c>
      <c r="K496" s="614"/>
      <c r="L496" s="609"/>
      <c r="M496" s="610"/>
      <c r="N496" s="615" t="s">
        <v>1311</v>
      </c>
      <c r="O496" s="615" t="s">
        <v>389</v>
      </c>
      <c r="P496" s="610" t="s">
        <v>2454</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1309</v>
      </c>
      <c r="K497" s="614"/>
      <c r="L497" s="609"/>
      <c r="M497" s="610"/>
      <c r="N497" s="615" t="s">
        <v>129</v>
      </c>
      <c r="O497" s="615" t="s">
        <v>2890</v>
      </c>
      <c r="P497" s="610" t="s">
        <v>2455</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1310</v>
      </c>
      <c r="K498" s="614"/>
      <c r="L498" s="609"/>
      <c r="M498" s="610"/>
      <c r="N498" s="615" t="s">
        <v>300</v>
      </c>
      <c r="O498" s="615" t="s">
        <v>2755</v>
      </c>
      <c r="P498" s="610" t="s">
        <v>2456</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2107</v>
      </c>
      <c r="O499" s="615" t="s">
        <v>2889</v>
      </c>
      <c r="P499" s="610" t="s">
        <v>2457</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299</v>
      </c>
      <c r="K500" s="614"/>
      <c r="L500" s="609"/>
      <c r="M500" s="610"/>
      <c r="N500" s="615" t="s">
        <v>2111</v>
      </c>
      <c r="O500" s="615" t="s">
        <v>398</v>
      </c>
      <c r="P500" s="610" t="s">
        <v>2458</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2106</v>
      </c>
      <c r="K501" s="614"/>
      <c r="L501" s="609"/>
      <c r="M501" s="610"/>
      <c r="N501" s="615" t="s">
        <v>2113</v>
      </c>
      <c r="O501" s="615" t="s">
        <v>3489</v>
      </c>
      <c r="P501" s="610" t="s">
        <v>2459</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294</v>
      </c>
      <c r="K502" s="614"/>
      <c r="L502" s="609"/>
      <c r="M502" s="610"/>
      <c r="N502" s="615" t="s">
        <v>669</v>
      </c>
      <c r="O502" s="615" t="s">
        <v>2045</v>
      </c>
      <c r="P502" s="610" t="s">
        <v>2460</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2112</v>
      </c>
      <c r="K503" s="614"/>
      <c r="L503" s="609"/>
      <c r="M503" s="610"/>
      <c r="N503" s="615" t="s">
        <v>1966</v>
      </c>
      <c r="O503" s="615" t="s">
        <v>381</v>
      </c>
      <c r="P503" s="610" t="s">
        <v>2461</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2114</v>
      </c>
      <c r="K504" s="614"/>
      <c r="L504" s="609"/>
      <c r="M504" s="610"/>
      <c r="N504" s="615" t="s">
        <v>1968</v>
      </c>
      <c r="O504" s="615" t="s">
        <v>1362</v>
      </c>
      <c r="P504" s="610" t="s">
        <v>1968</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1965</v>
      </c>
      <c r="K505" s="614"/>
      <c r="L505" s="609"/>
      <c r="M505" s="610"/>
      <c r="N505" s="615" t="s">
        <v>215</v>
      </c>
      <c r="O505" s="615" t="s">
        <v>3071</v>
      </c>
      <c r="P505" s="610" t="s">
        <v>2462</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1967</v>
      </c>
      <c r="K506" s="614"/>
      <c r="L506" s="609"/>
      <c r="M506" s="610"/>
      <c r="N506" s="615" t="s">
        <v>1971</v>
      </c>
      <c r="O506" s="615" t="s">
        <v>2755</v>
      </c>
      <c r="P506" s="610" t="s">
        <v>2463</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1969</v>
      </c>
      <c r="K507" s="614"/>
      <c r="L507" s="609"/>
      <c r="M507" s="610"/>
      <c r="N507" s="615" t="s">
        <v>1973</v>
      </c>
      <c r="O507" s="615" t="s">
        <v>200</v>
      </c>
      <c r="P507" s="610" t="s">
        <v>2464</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1970</v>
      </c>
      <c r="K508" s="614"/>
      <c r="L508" s="609"/>
      <c r="M508" s="610"/>
      <c r="N508" s="615" t="s">
        <v>3500</v>
      </c>
      <c r="O508" s="615" t="s">
        <v>2787</v>
      </c>
      <c r="P508" s="610" t="s">
        <v>2465</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1972</v>
      </c>
      <c r="K509" s="614"/>
      <c r="L509" s="609"/>
      <c r="M509" s="610"/>
      <c r="N509" s="497" t="s">
        <v>1571</v>
      </c>
      <c r="O509" s="497" t="s">
        <v>3492</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1974</v>
      </c>
      <c r="K510" s="614"/>
      <c r="L510" s="609"/>
      <c r="M510" s="610"/>
      <c r="N510" s="615" t="s">
        <v>1888</v>
      </c>
      <c r="O510" s="615" t="s">
        <v>1887</v>
      </c>
      <c r="P510" s="610" t="s">
        <v>2466</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2174</v>
      </c>
      <c r="K511" s="614"/>
      <c r="L511" s="609"/>
      <c r="M511" s="610"/>
      <c r="N511" s="615" t="s">
        <v>218</v>
      </c>
      <c r="O511" s="615" t="s">
        <v>3623</v>
      </c>
      <c r="P511" s="610" t="s">
        <v>2467</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2175</v>
      </c>
      <c r="K512" s="614"/>
      <c r="L512" s="609"/>
      <c r="M512" s="610"/>
      <c r="N512" s="615" t="s">
        <v>2178</v>
      </c>
      <c r="O512" s="615" t="s">
        <v>3079</v>
      </c>
      <c r="P512" s="610" t="s">
        <v>2199</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2176</v>
      </c>
      <c r="K513" s="614"/>
      <c r="L513" s="609"/>
      <c r="M513" s="610"/>
      <c r="N513" s="615" t="s">
        <v>2180</v>
      </c>
      <c r="O513" s="615" t="s">
        <v>2755</v>
      </c>
      <c r="P513" s="610" t="s">
        <v>2200</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2177</v>
      </c>
      <c r="K514" s="614"/>
      <c r="L514" s="609"/>
      <c r="M514" s="610"/>
      <c r="N514" s="615" t="s">
        <v>2183</v>
      </c>
      <c r="O514" s="615" t="s">
        <v>3628</v>
      </c>
      <c r="P514" s="610" t="s">
        <v>2201</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2179</v>
      </c>
      <c r="K515" s="614"/>
      <c r="L515" s="609"/>
      <c r="M515" s="610"/>
      <c r="N515" s="615" t="s">
        <v>452</v>
      </c>
      <c r="O515" s="615" t="s">
        <v>3492</v>
      </c>
      <c r="P515" s="610" t="s">
        <v>2202</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2181</v>
      </c>
      <c r="K516" s="614"/>
      <c r="L516" s="609"/>
      <c r="M516" s="610"/>
      <c r="N516" s="615" t="s">
        <v>454</v>
      </c>
      <c r="O516" s="615" t="s">
        <v>1888</v>
      </c>
      <c r="P516" s="610" t="s">
        <v>1008</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2182</v>
      </c>
      <c r="K517" s="614"/>
      <c r="L517" s="609"/>
      <c r="M517" s="610"/>
      <c r="N517" s="615" t="s">
        <v>297</v>
      </c>
      <c r="O517" s="615" t="s">
        <v>3069</v>
      </c>
      <c r="P517" s="610" t="s">
        <v>1009</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2184</v>
      </c>
      <c r="K518" s="614"/>
      <c r="L518" s="609"/>
      <c r="M518" s="610"/>
      <c r="N518" s="497" t="s">
        <v>2217</v>
      </c>
      <c r="O518" s="497" t="s">
        <v>3544</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453</v>
      </c>
      <c r="K519" s="614"/>
      <c r="L519" s="609"/>
      <c r="M519" s="610"/>
      <c r="N519" s="615" t="s">
        <v>1600</v>
      </c>
      <c r="O519" s="615" t="s">
        <v>3630</v>
      </c>
      <c r="P519" s="610" t="s">
        <v>1010</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296</v>
      </c>
      <c r="K520" s="614"/>
      <c r="L520" s="609"/>
      <c r="M520" s="610"/>
      <c r="N520" s="615" t="s">
        <v>1602</v>
      </c>
      <c r="O520" s="615" t="s">
        <v>1878</v>
      </c>
      <c r="P520" s="610" t="s">
        <v>1011</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298</v>
      </c>
      <c r="K521" s="614"/>
      <c r="L521" s="609"/>
      <c r="M521" s="610"/>
      <c r="N521" s="615" t="s">
        <v>1604</v>
      </c>
      <c r="O521" s="615" t="s">
        <v>922</v>
      </c>
      <c r="P521" s="610" t="s">
        <v>1012</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316</v>
      </c>
      <c r="O522" s="615" t="s">
        <v>389</v>
      </c>
      <c r="P522" s="610" t="s">
        <v>1013</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1599</v>
      </c>
      <c r="K523" s="614"/>
      <c r="L523" s="609"/>
      <c r="M523" s="610"/>
      <c r="N523" s="615" t="s">
        <v>318</v>
      </c>
      <c r="O523" s="615" t="s">
        <v>3377</v>
      </c>
      <c r="P523" s="610" t="s">
        <v>1014</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1601</v>
      </c>
      <c r="K524" s="614"/>
      <c r="L524" s="609"/>
      <c r="M524" s="610"/>
      <c r="N524" s="615" t="s">
        <v>2380</v>
      </c>
      <c r="O524" s="615" t="s">
        <v>1362</v>
      </c>
      <c r="P524" s="610" t="s">
        <v>1015</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1603</v>
      </c>
      <c r="K525" s="614"/>
      <c r="L525" s="609"/>
      <c r="M525" s="610"/>
      <c r="N525" s="615" t="s">
        <v>3247</v>
      </c>
      <c r="O525" s="615" t="s">
        <v>1610</v>
      </c>
      <c r="P525" s="610" t="s">
        <v>1016</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315</v>
      </c>
      <c r="K526" s="614"/>
      <c r="L526" s="609"/>
      <c r="M526" s="610"/>
      <c r="N526" s="615" t="s">
        <v>668</v>
      </c>
      <c r="O526" s="615" t="s">
        <v>2501</v>
      </c>
      <c r="P526" s="610" t="s">
        <v>1017</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317</v>
      </c>
      <c r="K527" s="614"/>
      <c r="L527" s="609"/>
      <c r="M527" s="610"/>
      <c r="N527" s="615" t="s">
        <v>960</v>
      </c>
      <c r="O527" s="615" t="s">
        <v>200</v>
      </c>
      <c r="P527" s="610" t="s">
        <v>1018</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2379</v>
      </c>
      <c r="K528" s="614"/>
      <c r="L528" s="609"/>
      <c r="M528" s="610"/>
      <c r="N528" s="615" t="s">
        <v>757</v>
      </c>
      <c r="O528" s="615" t="s">
        <v>1128</v>
      </c>
      <c r="P528" s="610" t="s">
        <v>1019</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759</v>
      </c>
      <c r="O529" s="615" t="s">
        <v>1897</v>
      </c>
      <c r="P529" s="610" t="s">
        <v>1020</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667</v>
      </c>
      <c r="K530" s="614"/>
      <c r="L530" s="609"/>
      <c r="M530" s="610"/>
      <c r="N530" s="615" t="s">
        <v>761</v>
      </c>
      <c r="O530" s="615" t="s">
        <v>2042</v>
      </c>
      <c r="P530" s="610" t="s">
        <v>1021</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1869</v>
      </c>
      <c r="K531" s="614"/>
      <c r="L531" s="609"/>
      <c r="M531" s="610"/>
      <c r="N531" s="615" t="s">
        <v>763</v>
      </c>
      <c r="O531" s="615" t="s">
        <v>1362</v>
      </c>
      <c r="P531" s="610" t="s">
        <v>1022</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913</v>
      </c>
      <c r="K532" s="614"/>
      <c r="L532" s="609"/>
      <c r="M532" s="610"/>
      <c r="N532" s="615" t="s">
        <v>765</v>
      </c>
      <c r="O532" s="615" t="s">
        <v>2639</v>
      </c>
      <c r="P532" s="610" t="s">
        <v>1023</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961</v>
      </c>
      <c r="K533" s="614"/>
      <c r="L533" s="609"/>
      <c r="M533" s="610"/>
      <c r="N533" s="615" t="s">
        <v>779</v>
      </c>
      <c r="O533" s="615" t="s">
        <v>400</v>
      </c>
      <c r="P533" s="610" t="s">
        <v>1024</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962</v>
      </c>
      <c r="K534" s="614"/>
      <c r="L534" s="609"/>
      <c r="M534" s="610"/>
      <c r="N534" s="615" t="s">
        <v>781</v>
      </c>
      <c r="O534" s="615" t="s">
        <v>596</v>
      </c>
      <c r="P534" s="610" t="s">
        <v>1025</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758</v>
      </c>
      <c r="K535" s="614"/>
      <c r="L535" s="609"/>
      <c r="M535" s="610"/>
      <c r="N535" s="617" t="s">
        <v>967</v>
      </c>
      <c r="O535" s="615" t="s">
        <v>1745</v>
      </c>
      <c r="P535" s="610" t="s">
        <v>1026</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760</v>
      </c>
      <c r="K536" s="614"/>
      <c r="L536" s="609"/>
      <c r="M536" s="610"/>
      <c r="N536" s="618" t="s">
        <v>1317</v>
      </c>
      <c r="O536" s="615" t="s">
        <v>922</v>
      </c>
      <c r="P536" s="1367" t="s">
        <v>1312</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762</v>
      </c>
      <c r="K537" s="614"/>
      <c r="L537" s="609"/>
      <c r="M537" s="610"/>
      <c r="N537" s="615" t="s">
        <v>2385</v>
      </c>
      <c r="O537" s="615" t="s">
        <v>931</v>
      </c>
      <c r="P537" s="610" t="s">
        <v>1027</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764</v>
      </c>
      <c r="K538" s="614"/>
      <c r="L538" s="609"/>
      <c r="M538" s="610"/>
      <c r="N538" s="615" t="s">
        <v>2967</v>
      </c>
      <c r="O538" s="615" t="s">
        <v>1610</v>
      </c>
      <c r="P538" s="610" t="s">
        <v>1028</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778</v>
      </c>
      <c r="K539" s="614"/>
      <c r="L539" s="609"/>
      <c r="M539" s="610"/>
      <c r="N539" s="615" t="s">
        <v>2387</v>
      </c>
      <c r="O539" s="615" t="s">
        <v>2890</v>
      </c>
      <c r="P539" s="610" t="s">
        <v>1029</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780</v>
      </c>
      <c r="K540" s="614"/>
      <c r="L540" s="609"/>
      <c r="M540" s="610"/>
      <c r="N540" s="615" t="s">
        <v>644</v>
      </c>
      <c r="O540" s="615" t="s">
        <v>1888</v>
      </c>
      <c r="P540" s="610" t="s">
        <v>1030</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991</v>
      </c>
      <c r="K541" s="614"/>
      <c r="L541" s="609"/>
      <c r="M541" s="610"/>
      <c r="N541" s="497" t="s">
        <v>223</v>
      </c>
      <c r="O541" s="497" t="s">
        <v>197</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832</v>
      </c>
      <c r="K542" s="614"/>
      <c r="L542" s="609"/>
      <c r="M542" s="610"/>
      <c r="N542" s="615" t="s">
        <v>1821</v>
      </c>
      <c r="O542" s="615" t="s">
        <v>395</v>
      </c>
      <c r="P542" s="610" t="s">
        <v>1031</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833</v>
      </c>
      <c r="K543" s="614"/>
      <c r="L543" s="609"/>
      <c r="M543" s="610"/>
      <c r="N543" s="615" t="s">
        <v>1497</v>
      </c>
      <c r="O543" s="615" t="s">
        <v>2039</v>
      </c>
      <c r="P543" s="610" t="s">
        <v>1032</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1573</v>
      </c>
      <c r="O544" s="497" t="s">
        <v>214</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642</v>
      </c>
      <c r="K545" s="614"/>
      <c r="L545" s="609"/>
      <c r="M545" s="610"/>
      <c r="N545" s="615" t="s">
        <v>149</v>
      </c>
      <c r="O545" s="615" t="s">
        <v>3547</v>
      </c>
      <c r="P545" s="610" t="s">
        <v>1033</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643</v>
      </c>
      <c r="K546" s="614"/>
      <c r="L546" s="609"/>
      <c r="M546" s="610"/>
      <c r="N546" s="615" t="s">
        <v>3623</v>
      </c>
      <c r="O546" s="615" t="s">
        <v>1900</v>
      </c>
      <c r="P546" s="610" t="s">
        <v>1034</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1820</v>
      </c>
      <c r="K547" s="614"/>
      <c r="L547" s="609"/>
      <c r="M547" s="610"/>
      <c r="N547" s="615" t="s">
        <v>152</v>
      </c>
      <c r="O547" s="615" t="s">
        <v>922</v>
      </c>
      <c r="P547" s="610" t="s">
        <v>1035</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1496</v>
      </c>
      <c r="K548" s="614"/>
      <c r="L548" s="609"/>
      <c r="M548" s="610"/>
      <c r="N548" s="615" t="s">
        <v>154</v>
      </c>
      <c r="O548" s="615" t="s">
        <v>3489</v>
      </c>
      <c r="P548" s="610" t="s">
        <v>1036</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1498</v>
      </c>
      <c r="K549" s="614"/>
      <c r="L549" s="609"/>
      <c r="M549" s="610"/>
      <c r="N549" s="615" t="s">
        <v>3634</v>
      </c>
      <c r="O549" s="615" t="s">
        <v>1892</v>
      </c>
      <c r="P549" s="610" t="s">
        <v>1037</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1499</v>
      </c>
      <c r="K550" s="614"/>
      <c r="L550" s="609"/>
      <c r="M550" s="610"/>
      <c r="N550" s="615" t="s">
        <v>2984</v>
      </c>
      <c r="O550" s="615" t="s">
        <v>3495</v>
      </c>
      <c r="P550" s="610" t="s">
        <v>1038</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1151</v>
      </c>
      <c r="O551" s="615" t="s">
        <v>131</v>
      </c>
      <c r="P551" s="610" t="s">
        <v>1039</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1152</v>
      </c>
      <c r="O552" s="615" t="s">
        <v>223</v>
      </c>
      <c r="P552" s="610" t="s">
        <v>1040</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980</v>
      </c>
      <c r="O553" s="615" t="s">
        <v>1130</v>
      </c>
      <c r="P553" s="610" t="s">
        <v>1041</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982</v>
      </c>
      <c r="O554" s="615" t="s">
        <v>1619</v>
      </c>
      <c r="P554" s="610" t="s">
        <v>982</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1745</v>
      </c>
      <c r="P555" s="610" t="s">
        <v>1042</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1745</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834</v>
      </c>
      <c r="K557" s="614"/>
      <c r="L557" s="609"/>
      <c r="M557" s="610"/>
      <c r="N557" s="615" t="s">
        <v>50</v>
      </c>
      <c r="O557" s="615" t="s">
        <v>1891</v>
      </c>
      <c r="P557" s="610" t="s">
        <v>1043</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1885</v>
      </c>
      <c r="P558" s="610" t="s">
        <v>1044</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979</v>
      </c>
      <c r="K559" s="614"/>
      <c r="L559" s="609"/>
      <c r="M559" s="610"/>
      <c r="N559" s="615" t="s">
        <v>1318</v>
      </c>
      <c r="O559" s="615" t="s">
        <v>214</v>
      </c>
      <c r="P559" s="1367" t="s">
        <v>1312</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981</v>
      </c>
      <c r="K560" s="614"/>
      <c r="L560" s="609"/>
      <c r="M560" s="610"/>
      <c r="N560" s="615" t="s">
        <v>1540</v>
      </c>
      <c r="O560" s="615" t="s">
        <v>1607</v>
      </c>
      <c r="P560" s="610" t="s">
        <v>1045</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469</v>
      </c>
      <c r="O561" s="615" t="s">
        <v>3628</v>
      </c>
      <c r="P561" s="610" t="s">
        <v>1046</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471</v>
      </c>
      <c r="O562" s="615" t="s">
        <v>3064</v>
      </c>
      <c r="P562" s="610" t="s">
        <v>1047</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473</v>
      </c>
      <c r="O563" s="615" t="s">
        <v>3547</v>
      </c>
      <c r="P563" s="610" t="s">
        <v>1048</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2637</v>
      </c>
      <c r="P564" s="610" t="s">
        <v>1049</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2189</v>
      </c>
      <c r="O565" s="615" t="s">
        <v>3493</v>
      </c>
      <c r="P565" s="610" t="s">
        <v>1050</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468</v>
      </c>
      <c r="K566" s="614"/>
      <c r="L566" s="609"/>
      <c r="M566" s="610"/>
      <c r="N566" s="615" t="s">
        <v>2191</v>
      </c>
      <c r="O566" s="615" t="s">
        <v>393</v>
      </c>
      <c r="P566" s="610" t="s">
        <v>1051</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470</v>
      </c>
      <c r="K567" s="614"/>
      <c r="L567" s="609"/>
      <c r="M567" s="610"/>
      <c r="N567" s="615" t="s">
        <v>2022</v>
      </c>
      <c r="O567" s="615" t="s">
        <v>130</v>
      </c>
      <c r="P567" s="610" t="s">
        <v>1052</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472</v>
      </c>
      <c r="K568" s="614"/>
      <c r="L568" s="609"/>
      <c r="M568" s="610"/>
      <c r="N568" s="615" t="s">
        <v>3438</v>
      </c>
      <c r="O568" s="615" t="s">
        <v>3495</v>
      </c>
      <c r="P568" s="610" t="s">
        <v>1053</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474</v>
      </c>
      <c r="K569" s="614"/>
      <c r="L569" s="609"/>
      <c r="M569" s="610"/>
      <c r="N569" s="497" t="s">
        <v>1574</v>
      </c>
      <c r="O569" s="497" t="s">
        <v>888</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2188</v>
      </c>
      <c r="K570" s="614"/>
      <c r="L570" s="609"/>
      <c r="M570" s="610"/>
      <c r="N570" s="497" t="s">
        <v>1575</v>
      </c>
      <c r="O570" s="497" t="s">
        <v>888</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2190</v>
      </c>
      <c r="K571" s="614"/>
      <c r="L571" s="609"/>
      <c r="M571" s="610"/>
      <c r="N571" s="497" t="s">
        <v>1576</v>
      </c>
      <c r="O571" s="497" t="s">
        <v>888</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2192</v>
      </c>
      <c r="K572" s="614"/>
      <c r="L572" s="609"/>
      <c r="M572" s="610"/>
      <c r="N572" s="615" t="s">
        <v>2684</v>
      </c>
      <c r="O572" s="615" t="s">
        <v>3629</v>
      </c>
      <c r="P572" s="610" t="s">
        <v>1054</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2695</v>
      </c>
      <c r="O573" s="615" t="s">
        <v>113</v>
      </c>
      <c r="P573" s="610" t="s">
        <v>1055</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2697</v>
      </c>
      <c r="O574" s="615" t="s">
        <v>3155</v>
      </c>
      <c r="P574" s="610" t="s">
        <v>1056</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2694</v>
      </c>
      <c r="K575" s="614"/>
      <c r="L575" s="609"/>
      <c r="M575" s="610"/>
      <c r="N575" s="615" t="s">
        <v>2700</v>
      </c>
      <c r="O575" s="615" t="s">
        <v>3155</v>
      </c>
      <c r="P575" s="610" t="s">
        <v>1057</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2696</v>
      </c>
      <c r="K576" s="614"/>
      <c r="L576" s="609"/>
      <c r="M576" s="610"/>
      <c r="N576" s="615" t="s">
        <v>2702</v>
      </c>
      <c r="O576" s="615" t="s">
        <v>381</v>
      </c>
      <c r="P576" s="610" t="s">
        <v>1058</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2698</v>
      </c>
      <c r="K577" s="614"/>
      <c r="L577" s="609"/>
      <c r="M577" s="610"/>
      <c r="N577" s="615" t="s">
        <v>2704</v>
      </c>
      <c r="O577" s="615" t="s">
        <v>2501</v>
      </c>
      <c r="P577" s="610" t="s">
        <v>1059</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2699</v>
      </c>
      <c r="K578" s="614"/>
      <c r="L578" s="609"/>
      <c r="M578" s="610"/>
      <c r="N578" s="615" t="s">
        <v>2706</v>
      </c>
      <c r="O578" s="615" t="s">
        <v>391</v>
      </c>
      <c r="P578" s="610" t="s">
        <v>1060</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2701</v>
      </c>
      <c r="K579" s="614"/>
      <c r="L579" s="609"/>
      <c r="M579" s="610"/>
      <c r="N579" s="615" t="s">
        <v>3629</v>
      </c>
      <c r="O579" s="615" t="s">
        <v>115</v>
      </c>
      <c r="P579" s="610" t="s">
        <v>1061</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2703</v>
      </c>
      <c r="K580" s="614"/>
      <c r="L580" s="609"/>
      <c r="M580" s="610"/>
      <c r="N580" s="615" t="s">
        <v>2825</v>
      </c>
      <c r="O580" s="615" t="s">
        <v>117</v>
      </c>
      <c r="P580" s="610" t="s">
        <v>1062</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2705</v>
      </c>
      <c r="K581" s="614"/>
      <c r="L581" s="609"/>
      <c r="M581" s="610"/>
      <c r="N581" s="615" t="s">
        <v>2672</v>
      </c>
      <c r="O581" s="615" t="s">
        <v>1608</v>
      </c>
      <c r="P581" s="610" t="s">
        <v>1063</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2707</v>
      </c>
      <c r="K582" s="614"/>
      <c r="L582" s="609"/>
      <c r="M582" s="610"/>
      <c r="N582" s="615" t="s">
        <v>3630</v>
      </c>
      <c r="O582" s="615" t="s">
        <v>1888</v>
      </c>
      <c r="P582" s="610" t="s">
        <v>1064</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2708</v>
      </c>
      <c r="K583" s="614"/>
      <c r="L583" s="609"/>
      <c r="M583" s="610"/>
      <c r="N583" s="615" t="s">
        <v>2472</v>
      </c>
      <c r="O583" s="615" t="s">
        <v>3064</v>
      </c>
      <c r="P583" s="610" t="s">
        <v>1065</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2671</v>
      </c>
      <c r="K584" s="614"/>
      <c r="L584" s="609"/>
      <c r="M584" s="610"/>
      <c r="N584" s="615" t="s">
        <v>1319</v>
      </c>
      <c r="O584" s="615" t="s">
        <v>3071</v>
      </c>
      <c r="P584" s="1367" t="s">
        <v>1312</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2470</v>
      </c>
      <c r="K585" s="614"/>
      <c r="L585" s="609"/>
      <c r="M585" s="610"/>
      <c r="N585" s="615" t="s">
        <v>3187</v>
      </c>
      <c r="O585" s="615" t="s">
        <v>2503</v>
      </c>
      <c r="P585" s="610" t="s">
        <v>1066</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2471</v>
      </c>
      <c r="K586" s="614"/>
      <c r="L586" s="609"/>
      <c r="M586" s="610"/>
      <c r="N586" s="615" t="s">
        <v>3189</v>
      </c>
      <c r="O586" s="615" t="s">
        <v>3068</v>
      </c>
      <c r="P586" s="610" t="s">
        <v>1067</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2473</v>
      </c>
      <c r="K587" s="614"/>
      <c r="L587" s="609"/>
      <c r="M587" s="610"/>
      <c r="N587" s="615" t="s">
        <v>799</v>
      </c>
      <c r="O587" s="615" t="s">
        <v>3628</v>
      </c>
      <c r="P587" s="610" t="s">
        <v>1068</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801</v>
      </c>
      <c r="O588" s="615" t="s">
        <v>1745</v>
      </c>
      <c r="P588" s="610" t="s">
        <v>1069</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798</v>
      </c>
      <c r="K589" s="614"/>
      <c r="L589" s="609"/>
      <c r="M589" s="610"/>
      <c r="N589" s="497" t="s">
        <v>1577</v>
      </c>
      <c r="O589" s="497" t="s">
        <v>888</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800</v>
      </c>
      <c r="K590" s="614"/>
      <c r="L590" s="609"/>
      <c r="M590" s="610"/>
      <c r="N590" s="615" t="s">
        <v>803</v>
      </c>
      <c r="O590" s="615" t="s">
        <v>2500</v>
      </c>
      <c r="P590" s="610" t="s">
        <v>1070</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802</v>
      </c>
      <c r="K591" s="614"/>
      <c r="L591" s="609"/>
      <c r="M591" s="610"/>
      <c r="N591" s="615" t="s">
        <v>1702</v>
      </c>
      <c r="O591" s="615" t="s">
        <v>1608</v>
      </c>
      <c r="P591" s="610" t="s">
        <v>1071</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2033</v>
      </c>
      <c r="O592" s="615" t="s">
        <v>2501</v>
      </c>
      <c r="P592" s="610" t="s">
        <v>1072</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2032</v>
      </c>
      <c r="K593" s="614"/>
      <c r="L593" s="609"/>
      <c r="M593" s="610"/>
      <c r="N593" s="615" t="s">
        <v>2035</v>
      </c>
      <c r="O593" s="615" t="s">
        <v>1887</v>
      </c>
      <c r="P593" s="610" t="s">
        <v>2035</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2034</v>
      </c>
      <c r="K594" s="614"/>
      <c r="L594" s="609"/>
      <c r="M594" s="610"/>
      <c r="N594" s="615" t="s">
        <v>2037</v>
      </c>
      <c r="O594" s="615" t="s">
        <v>924</v>
      </c>
      <c r="P594" s="610" t="s">
        <v>2037</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2036</v>
      </c>
      <c r="K595" s="614"/>
      <c r="L595" s="609"/>
      <c r="M595" s="610"/>
      <c r="N595" s="615" t="s">
        <v>2187</v>
      </c>
      <c r="O595" s="615" t="s">
        <v>2633</v>
      </c>
      <c r="P595" s="610" t="s">
        <v>1073</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2186</v>
      </c>
      <c r="K596" s="614"/>
      <c r="L596" s="609"/>
      <c r="M596" s="610"/>
      <c r="N596" s="615" t="s">
        <v>3010</v>
      </c>
      <c r="O596" s="615" t="s">
        <v>2385</v>
      </c>
      <c r="P596" s="610" t="s">
        <v>1074</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1893</v>
      </c>
      <c r="P597" s="610" t="s">
        <v>1075</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2023</v>
      </c>
      <c r="O598" s="615" t="s">
        <v>393</v>
      </c>
      <c r="P598" s="610" t="s">
        <v>1076</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2025</v>
      </c>
      <c r="O599" s="615" t="s">
        <v>390</v>
      </c>
      <c r="P599" s="610" t="s">
        <v>1077</v>
      </c>
      <c r="Q599" s="596"/>
      <c r="R599" s="497" t="s">
        <v>3592</v>
      </c>
      <c r="S599" s="497" t="s">
        <v>888</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2024</v>
      </c>
      <c r="K600" s="614"/>
      <c r="L600" s="609"/>
      <c r="M600" s="610"/>
      <c r="N600" s="497" t="s">
        <v>1578</v>
      </c>
      <c r="O600" s="497" t="s">
        <v>2503</v>
      </c>
      <c r="P600" s="1368" t="s">
        <v>3033</v>
      </c>
      <c r="Q600" s="596"/>
      <c r="R600" s="497" t="s">
        <v>3593</v>
      </c>
      <c r="S600" s="497" t="s">
        <v>389</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2026</v>
      </c>
      <c r="K601" s="614"/>
      <c r="L601" s="609"/>
      <c r="M601" s="610"/>
      <c r="N601" s="615" t="s">
        <v>2027</v>
      </c>
      <c r="O601" s="615" t="s">
        <v>888</v>
      </c>
      <c r="P601" s="610" t="s">
        <v>1078</v>
      </c>
      <c r="Q601" s="596"/>
      <c r="R601" s="497" t="s">
        <v>3594</v>
      </c>
      <c r="S601" s="497" t="s">
        <v>3489</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2160</v>
      </c>
      <c r="K602" s="614"/>
      <c r="L602" s="609"/>
      <c r="M602" s="610"/>
      <c r="N602" s="615" t="s">
        <v>2161</v>
      </c>
      <c r="O602" s="615" t="s">
        <v>385</v>
      </c>
      <c r="P602" s="610" t="s">
        <v>1079</v>
      </c>
      <c r="Q602" s="596"/>
      <c r="R602" s="497" t="s">
        <v>3595</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2162</v>
      </c>
      <c r="K603" s="614"/>
      <c r="L603" s="609"/>
      <c r="M603" s="610"/>
      <c r="N603" s="615" t="s">
        <v>2941</v>
      </c>
      <c r="O603" s="615" t="s">
        <v>1449</v>
      </c>
      <c r="P603" s="610" t="s">
        <v>1080</v>
      </c>
      <c r="Q603" s="596"/>
      <c r="R603" s="497" t="s">
        <v>3596</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1081</v>
      </c>
      <c r="Q604" s="596"/>
      <c r="R604" s="497" t="s">
        <v>3597</v>
      </c>
      <c r="S604" s="497" t="s">
        <v>3489</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344</v>
      </c>
      <c r="O605" s="615" t="s">
        <v>2830</v>
      </c>
      <c r="P605" s="610" t="s">
        <v>1082</v>
      </c>
      <c r="Q605" s="596"/>
      <c r="R605" s="497" t="s">
        <v>3598</v>
      </c>
      <c r="S605" s="497" t="s">
        <v>1895</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343</v>
      </c>
      <c r="K606" s="614"/>
      <c r="L606" s="609"/>
      <c r="M606" s="610"/>
      <c r="N606" s="615" t="s">
        <v>2533</v>
      </c>
      <c r="O606" s="615" t="s">
        <v>3073</v>
      </c>
      <c r="P606" s="610" t="s">
        <v>1083</v>
      </c>
      <c r="Q606" s="596"/>
      <c r="R606" s="497" t="s">
        <v>3599</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2532</v>
      </c>
      <c r="K607" s="614"/>
      <c r="L607" s="609"/>
      <c r="M607" s="610"/>
      <c r="N607" s="615" t="s">
        <v>320</v>
      </c>
      <c r="O607" s="615" t="s">
        <v>934</v>
      </c>
      <c r="P607" s="610" t="s">
        <v>1084</v>
      </c>
      <c r="Q607" s="596"/>
      <c r="R607" s="497" t="s">
        <v>3600</v>
      </c>
      <c r="S607" s="497" t="s">
        <v>933</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319</v>
      </c>
      <c r="K608" s="614"/>
      <c r="L608" s="609"/>
      <c r="M608" s="610"/>
      <c r="N608" s="615" t="s">
        <v>1707</v>
      </c>
      <c r="O608" s="615" t="s">
        <v>197</v>
      </c>
      <c r="P608" s="610" t="s">
        <v>1085</v>
      </c>
      <c r="Q608" s="596"/>
      <c r="R608" s="497" t="s">
        <v>3601</v>
      </c>
      <c r="S608" s="497" t="s">
        <v>888</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339</v>
      </c>
      <c r="K609" s="614"/>
      <c r="L609" s="609"/>
      <c r="M609" s="610"/>
      <c r="N609" s="615" t="s">
        <v>1709</v>
      </c>
      <c r="O609" s="615" t="s">
        <v>197</v>
      </c>
      <c r="P609" s="610" t="s">
        <v>1086</v>
      </c>
      <c r="Q609" s="596"/>
      <c r="R609" s="497" t="s">
        <v>3602</v>
      </c>
      <c r="S609" s="497" t="s">
        <v>3068</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1708</v>
      </c>
      <c r="K610" s="614"/>
      <c r="L610" s="609"/>
      <c r="M610" s="610"/>
      <c r="N610" s="615" t="s">
        <v>1141</v>
      </c>
      <c r="O610" s="615" t="s">
        <v>1895</v>
      </c>
      <c r="P610" s="610" t="s">
        <v>1087</v>
      </c>
      <c r="Q610" s="596"/>
      <c r="R610" s="497" t="s">
        <v>3603</v>
      </c>
      <c r="S610" s="497" t="s">
        <v>3547</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1140</v>
      </c>
      <c r="K611" s="614"/>
      <c r="L611" s="609"/>
      <c r="M611" s="610"/>
      <c r="N611" s="615" t="s">
        <v>295</v>
      </c>
      <c r="O611" s="615" t="s">
        <v>3628</v>
      </c>
      <c r="P611" s="610" t="s">
        <v>1088</v>
      </c>
      <c r="Q611" s="596"/>
      <c r="R611" s="497" t="s">
        <v>3157</v>
      </c>
      <c r="S611" s="497" t="s">
        <v>3544</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1142</v>
      </c>
      <c r="K612" s="614"/>
      <c r="L612" s="609"/>
      <c r="M612" s="610"/>
      <c r="N612" s="615" t="s">
        <v>1535</v>
      </c>
      <c r="O612" s="615" t="s">
        <v>3379</v>
      </c>
      <c r="P612" s="610" t="s">
        <v>1089</v>
      </c>
      <c r="Q612" s="596"/>
      <c r="R612" s="497" t="s">
        <v>3604</v>
      </c>
      <c r="S612" s="497" t="s">
        <v>3068</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1534</v>
      </c>
      <c r="K613" s="614"/>
      <c r="L613" s="609"/>
      <c r="M613" s="610"/>
      <c r="N613" s="615" t="s">
        <v>2605</v>
      </c>
      <c r="O613" s="615" t="s">
        <v>3492</v>
      </c>
      <c r="P613" s="610" t="s">
        <v>1090</v>
      </c>
      <c r="Q613" s="596"/>
      <c r="R613" s="497" t="s">
        <v>3605</v>
      </c>
      <c r="S613" s="497" t="s">
        <v>3492</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1536</v>
      </c>
      <c r="K614" s="614"/>
      <c r="L614" s="609"/>
      <c r="M614" s="610"/>
      <c r="N614" s="615" t="s">
        <v>2677</v>
      </c>
      <c r="O614" s="615" t="s">
        <v>119</v>
      </c>
      <c r="P614" s="1367" t="s">
        <v>1312</v>
      </c>
      <c r="Q614" s="596"/>
      <c r="R614" s="497" t="s">
        <v>3606</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2676</v>
      </c>
      <c r="K615" s="614"/>
      <c r="L615" s="609"/>
      <c r="M615" s="610"/>
      <c r="N615" s="615" t="s">
        <v>1613</v>
      </c>
      <c r="O615" s="615" t="s">
        <v>1128</v>
      </c>
      <c r="P615" s="610" t="s">
        <v>1091</v>
      </c>
      <c r="Q615" s="596"/>
      <c r="R615" s="497" t="s">
        <v>1559</v>
      </c>
      <c r="S615" s="497" t="s">
        <v>2042</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2678</v>
      </c>
      <c r="K616" s="614"/>
      <c r="L616" s="609"/>
      <c r="M616" s="610"/>
      <c r="N616" s="497" t="s">
        <v>1579</v>
      </c>
      <c r="O616" s="497" t="s">
        <v>1451</v>
      </c>
      <c r="P616" s="1368" t="s">
        <v>3033</v>
      </c>
      <c r="Q616" s="596"/>
      <c r="R616" s="497" t="s">
        <v>1398</v>
      </c>
      <c r="S616" s="497" t="s">
        <v>1617</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2679</v>
      </c>
      <c r="K617" s="614"/>
      <c r="L617" s="609"/>
      <c r="M617" s="610"/>
      <c r="N617" s="615" t="s">
        <v>1617</v>
      </c>
      <c r="O617" s="615" t="s">
        <v>1892</v>
      </c>
      <c r="P617" s="610" t="s">
        <v>1092</v>
      </c>
      <c r="Q617" s="596"/>
      <c r="R617" s="497" t="s">
        <v>1560</v>
      </c>
      <c r="S617" s="497" t="s">
        <v>888</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1654</v>
      </c>
      <c r="K618" s="614"/>
      <c r="L618" s="609"/>
      <c r="M618" s="610"/>
      <c r="N618" s="615" t="s">
        <v>478</v>
      </c>
      <c r="O618" s="615" t="s">
        <v>934</v>
      </c>
      <c r="P618" s="610" t="s">
        <v>1093</v>
      </c>
      <c r="Q618" s="596"/>
      <c r="R618" s="497" t="s">
        <v>1561</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477</v>
      </c>
      <c r="K619" s="614"/>
      <c r="L619" s="609"/>
      <c r="M619" s="610"/>
      <c r="N619" s="497" t="s">
        <v>1580</v>
      </c>
      <c r="O619" s="497" t="s">
        <v>131</v>
      </c>
      <c r="P619" s="1368" t="s">
        <v>3033</v>
      </c>
      <c r="Q619" s="596"/>
      <c r="R619" s="497" t="s">
        <v>1562</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1885</v>
      </c>
      <c r="P620" s="610" t="s">
        <v>5</v>
      </c>
      <c r="Q620" s="596"/>
      <c r="R620" s="497" t="s">
        <v>1563</v>
      </c>
      <c r="S620" s="497" t="s">
        <v>1610</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1094</v>
      </c>
      <c r="Q621" s="1369"/>
      <c r="R621" s="497" t="s">
        <v>1564</v>
      </c>
      <c r="S621" s="497" t="s">
        <v>2122</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1095</v>
      </c>
      <c r="Q622" s="596"/>
      <c r="R622" s="497" t="s">
        <v>1565</v>
      </c>
      <c r="S622" s="497" t="s">
        <v>3489</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1581</v>
      </c>
      <c r="O623" s="497" t="s">
        <v>888</v>
      </c>
      <c r="P623" s="1368" t="s">
        <v>3033</v>
      </c>
      <c r="Q623" s="596"/>
      <c r="R623" s="497" t="s">
        <v>1566</v>
      </c>
      <c r="S623" s="497" t="s">
        <v>197</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1582</v>
      </c>
      <c r="O624" s="497" t="s">
        <v>386</v>
      </c>
      <c r="P624" s="1368" t="s">
        <v>3033</v>
      </c>
      <c r="Q624" s="596"/>
      <c r="R624" s="497" t="s">
        <v>1567</v>
      </c>
      <c r="S624" s="497" t="s">
        <v>1902</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1895</v>
      </c>
      <c r="P625" s="610" t="s">
        <v>1096</v>
      </c>
      <c r="Q625" s="596"/>
      <c r="R625" s="497" t="s">
        <v>1568</v>
      </c>
      <c r="S625" s="497" t="s">
        <v>2122</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1097</v>
      </c>
      <c r="Q626" s="596"/>
      <c r="R626" s="497" t="s">
        <v>1569</v>
      </c>
      <c r="S626" s="497" t="s">
        <v>1624</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214</v>
      </c>
      <c r="P627" s="610" t="s">
        <v>1098</v>
      </c>
      <c r="Q627" s="596"/>
      <c r="R627" s="497" t="s">
        <v>1570</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2039</v>
      </c>
      <c r="P628" s="610" t="s">
        <v>1099</v>
      </c>
      <c r="Q628" s="596"/>
      <c r="R628" s="615" t="s">
        <v>1316</v>
      </c>
      <c r="S628" s="615" t="s">
        <v>1364</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934</v>
      </c>
      <c r="P629" s="610" t="s">
        <v>1100</v>
      </c>
      <c r="Q629" s="596"/>
      <c r="R629" s="497" t="s">
        <v>1571</v>
      </c>
      <c r="S629" s="497" t="s">
        <v>3492</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1101</v>
      </c>
      <c r="Q630" s="596"/>
      <c r="R630" s="497" t="s">
        <v>2217</v>
      </c>
      <c r="S630" s="497" t="s">
        <v>3544</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2116</v>
      </c>
      <c r="K631" s="614"/>
      <c r="L631" s="609"/>
      <c r="M631" s="610"/>
      <c r="N631" s="615" t="s">
        <v>2115</v>
      </c>
      <c r="O631" s="615" t="s">
        <v>3081</v>
      </c>
      <c r="P631" s="610" t="s">
        <v>1102</v>
      </c>
      <c r="Q631" s="596"/>
      <c r="R631" s="497" t="s">
        <v>1572</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2118</v>
      </c>
      <c r="K632" s="614"/>
      <c r="L632" s="609"/>
      <c r="M632" s="610"/>
      <c r="N632" s="615" t="s">
        <v>2117</v>
      </c>
      <c r="O632" s="615" t="s">
        <v>239</v>
      </c>
      <c r="P632" s="610" t="s">
        <v>1103</v>
      </c>
      <c r="Q632" s="596"/>
      <c r="R632" s="497" t="s">
        <v>223</v>
      </c>
      <c r="S632" s="497" t="s">
        <v>197</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2120</v>
      </c>
      <c r="K633" s="614"/>
      <c r="L633" s="609"/>
      <c r="M633" s="610"/>
      <c r="N633" s="615" t="s">
        <v>2119</v>
      </c>
      <c r="O633" s="615" t="s">
        <v>2042</v>
      </c>
      <c r="P633" s="610" t="s">
        <v>1104</v>
      </c>
      <c r="Q633" s="596"/>
      <c r="R633" s="497" t="s">
        <v>1573</v>
      </c>
      <c r="S633" s="497" t="s">
        <v>214</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2121</v>
      </c>
      <c r="O634" s="615" t="s">
        <v>3071</v>
      </c>
      <c r="P634" s="610" t="s">
        <v>1105</v>
      </c>
      <c r="Q634" s="596"/>
      <c r="R634" s="497" t="s">
        <v>3200</v>
      </c>
      <c r="S634" s="497" t="s">
        <v>1745</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1893</v>
      </c>
      <c r="P635" s="610" t="s">
        <v>1106</v>
      </c>
      <c r="Q635" s="596"/>
      <c r="R635" s="497" t="s">
        <v>1574</v>
      </c>
      <c r="S635" s="497" t="s">
        <v>888</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1107</v>
      </c>
      <c r="Q636" s="596"/>
      <c r="R636" s="497" t="s">
        <v>1575</v>
      </c>
      <c r="S636" s="497" t="s">
        <v>888</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1368</v>
      </c>
      <c r="P637" s="610" t="s">
        <v>1108</v>
      </c>
      <c r="Q637" s="596"/>
      <c r="R637" s="497" t="s">
        <v>1576</v>
      </c>
      <c r="S637" s="497" t="s">
        <v>888</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2122</v>
      </c>
      <c r="P638" s="610" t="s">
        <v>1109</v>
      </c>
      <c r="Q638" s="596"/>
      <c r="R638" s="497" t="s">
        <v>1577</v>
      </c>
      <c r="S638" s="497" t="s">
        <v>888</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1260</v>
      </c>
      <c r="K639" s="614"/>
      <c r="L639" s="609"/>
      <c r="M639" s="610"/>
      <c r="N639" s="615" t="s">
        <v>1261</v>
      </c>
      <c r="O639" s="615" t="s">
        <v>3489</v>
      </c>
      <c r="P639" s="610" t="s">
        <v>1110</v>
      </c>
      <c r="Q639" s="596"/>
      <c r="R639" s="497" t="s">
        <v>1578</v>
      </c>
      <c r="S639" s="497" t="s">
        <v>2503</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1124</v>
      </c>
      <c r="K640" s="614"/>
      <c r="L640" s="609"/>
      <c r="M640" s="610"/>
      <c r="N640" s="615" t="s">
        <v>1125</v>
      </c>
      <c r="O640" s="615" t="s">
        <v>3495</v>
      </c>
      <c r="P640" s="610" t="s">
        <v>1111</v>
      </c>
      <c r="Q640" s="596"/>
      <c r="R640" s="497" t="s">
        <v>1579</v>
      </c>
      <c r="S640" s="497" t="s">
        <v>1451</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1126</v>
      </c>
      <c r="K641" s="614"/>
      <c r="L641" s="609"/>
      <c r="M641" s="610"/>
      <c r="N641" s="615" t="s">
        <v>1436</v>
      </c>
      <c r="O641" s="615" t="s">
        <v>3548</v>
      </c>
      <c r="P641" s="610" t="s">
        <v>1112</v>
      </c>
      <c r="Q641" s="596"/>
      <c r="R641" s="497" t="s">
        <v>1580</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1703</v>
      </c>
      <c r="K642" s="614"/>
      <c r="L642" s="609"/>
      <c r="M642" s="610"/>
      <c r="N642" s="497" t="s">
        <v>1583</v>
      </c>
      <c r="O642" s="497" t="s">
        <v>390</v>
      </c>
      <c r="P642" s="1368" t="s">
        <v>3033</v>
      </c>
      <c r="Q642" s="596"/>
      <c r="R642" s="497" t="s">
        <v>1581</v>
      </c>
      <c r="S642" s="497" t="s">
        <v>888</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1553</v>
      </c>
      <c r="K643" s="614"/>
      <c r="L643" s="609"/>
      <c r="M643" s="610"/>
      <c r="N643" s="615" t="s">
        <v>1704</v>
      </c>
      <c r="O643" s="615" t="s">
        <v>2830</v>
      </c>
      <c r="P643" s="610" t="s">
        <v>1113</v>
      </c>
      <c r="Q643" s="596"/>
      <c r="R643" s="497" t="s">
        <v>1582</v>
      </c>
      <c r="S643" s="497" t="s">
        <v>386</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1554</v>
      </c>
      <c r="K644" s="614"/>
      <c r="L644" s="609"/>
      <c r="M644" s="610"/>
      <c r="N644" s="615" t="s">
        <v>1555</v>
      </c>
      <c r="O644" s="615" t="s">
        <v>1611</v>
      </c>
      <c r="P644" s="610" t="s">
        <v>1114</v>
      </c>
      <c r="Q644" s="596"/>
      <c r="R644" s="497" t="s">
        <v>1583</v>
      </c>
      <c r="S644" s="497" t="s">
        <v>390</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1556</v>
      </c>
      <c r="K645" s="614"/>
      <c r="L645" s="609"/>
      <c r="M645" s="610"/>
      <c r="N645" s="615" t="s">
        <v>3181</v>
      </c>
      <c r="O645" s="615" t="s">
        <v>3064</v>
      </c>
      <c r="P645" s="610" t="s">
        <v>1115</v>
      </c>
      <c r="Q645" s="596"/>
      <c r="R645" s="497" t="s">
        <v>1320</v>
      </c>
      <c r="S645" s="497" t="s">
        <v>1881</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925</v>
      </c>
      <c r="P646" s="610" t="s">
        <v>1116</v>
      </c>
      <c r="Q646" s="596"/>
      <c r="R646" s="497" t="s">
        <v>1584</v>
      </c>
      <c r="S646" s="497" t="s">
        <v>933</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2626</v>
      </c>
      <c r="O647" s="615" t="s">
        <v>1130</v>
      </c>
      <c r="P647" s="610" t="s">
        <v>1117</v>
      </c>
      <c r="Q647" s="596"/>
      <c r="R647" s="497" t="s">
        <v>1585</v>
      </c>
      <c r="S647" s="497" t="s">
        <v>2122</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2625</v>
      </c>
      <c r="K648" s="614"/>
      <c r="L648" s="609"/>
      <c r="M648" s="610"/>
      <c r="N648" s="615" t="s">
        <v>3535</v>
      </c>
      <c r="O648" s="615" t="s">
        <v>2889</v>
      </c>
      <c r="P648" s="610" t="s">
        <v>1118</v>
      </c>
      <c r="Q648" s="596"/>
      <c r="R648" s="497" t="s">
        <v>1586</v>
      </c>
      <c r="S648" s="497" t="s">
        <v>888</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1745</v>
      </c>
      <c r="P649" s="610" t="s">
        <v>1119</v>
      </c>
      <c r="Q649" s="596"/>
      <c r="R649" s="497" t="s">
        <v>1587</v>
      </c>
      <c r="S649" s="497" t="s">
        <v>925</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2362</v>
      </c>
      <c r="O650" s="615" t="s">
        <v>927</v>
      </c>
      <c r="P650" s="610" t="s">
        <v>702</v>
      </c>
      <c r="Q650" s="596"/>
      <c r="R650" s="497" t="s">
        <v>1588</v>
      </c>
      <c r="S650" s="497" t="s">
        <v>197</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2360</v>
      </c>
      <c r="K651" s="614"/>
      <c r="L651" s="609"/>
      <c r="M651" s="610"/>
      <c r="N651" s="615" t="s">
        <v>1320</v>
      </c>
      <c r="O651" s="615" t="s">
        <v>1881</v>
      </c>
      <c r="P651" s="1367" t="s">
        <v>1312</v>
      </c>
      <c r="Q651" s="596"/>
      <c r="R651" s="497" t="s">
        <v>1589</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2361</v>
      </c>
      <c r="K652" s="614"/>
      <c r="L652" s="609"/>
      <c r="M652" s="610"/>
      <c r="N652" s="497" t="s">
        <v>1320</v>
      </c>
      <c r="O652" s="497" t="s">
        <v>1881</v>
      </c>
      <c r="P652" s="1368" t="s">
        <v>3033</v>
      </c>
      <c r="Q652" s="596"/>
      <c r="R652" s="497" t="s">
        <v>1590</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2363</v>
      </c>
      <c r="K653" s="614"/>
      <c r="L653" s="609"/>
      <c r="M653" s="610"/>
      <c r="N653" s="615" t="s">
        <v>2365</v>
      </c>
      <c r="O653" s="615" t="s">
        <v>3623</v>
      </c>
      <c r="P653" s="610" t="s">
        <v>703</v>
      </c>
      <c r="Q653" s="596"/>
      <c r="R653" s="497" t="s">
        <v>1591</v>
      </c>
      <c r="S653" s="497" t="s">
        <v>888</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2364</v>
      </c>
      <c r="K654" s="614"/>
      <c r="L654" s="609"/>
      <c r="M654" s="610"/>
      <c r="N654" s="615" t="s">
        <v>2368</v>
      </c>
      <c r="O654" s="615" t="s">
        <v>2385</v>
      </c>
      <c r="P654" s="610" t="s">
        <v>2368</v>
      </c>
      <c r="Q654" s="596"/>
      <c r="R654" s="497" t="s">
        <v>1592</v>
      </c>
      <c r="S654" s="497" t="s">
        <v>2503</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2366</v>
      </c>
      <c r="K655" s="614"/>
      <c r="L655" s="609"/>
      <c r="M655" s="610"/>
      <c r="N655" s="497" t="s">
        <v>1585</v>
      </c>
      <c r="O655" s="497" t="s">
        <v>2122</v>
      </c>
      <c r="P655" s="1368" t="s">
        <v>3033</v>
      </c>
      <c r="Q655" s="596"/>
      <c r="R655" s="497" t="s">
        <v>1593</v>
      </c>
      <c r="S655" s="497" t="s">
        <v>3492</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2367</v>
      </c>
      <c r="K656" s="614"/>
      <c r="L656" s="609"/>
      <c r="M656" s="610"/>
      <c r="N656" s="615" t="s">
        <v>3400</v>
      </c>
      <c r="O656" s="615" t="s">
        <v>115</v>
      </c>
      <c r="P656" s="610" t="s">
        <v>704</v>
      </c>
      <c r="Q656" s="596"/>
      <c r="R656" s="497" t="s">
        <v>1594</v>
      </c>
      <c r="S656" s="497" t="s">
        <v>197</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2369</v>
      </c>
      <c r="K657" s="614"/>
      <c r="L657" s="609"/>
      <c r="M657" s="610"/>
      <c r="N657" s="615" t="s">
        <v>1302</v>
      </c>
      <c r="O657" s="615" t="s">
        <v>1745</v>
      </c>
      <c r="P657" s="610" t="s">
        <v>705</v>
      </c>
      <c r="Q657" s="596"/>
      <c r="R657" s="497" t="s">
        <v>1595</v>
      </c>
      <c r="S657" s="497" t="s">
        <v>197</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1871</v>
      </c>
      <c r="O658" s="615" t="s">
        <v>2787</v>
      </c>
      <c r="P658" s="610" t="s">
        <v>706</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205</v>
      </c>
      <c r="K659" s="614"/>
      <c r="L659" s="609"/>
      <c r="M659" s="610"/>
      <c r="N659" s="615" t="s">
        <v>206</v>
      </c>
      <c r="O659" s="615" t="s">
        <v>1897</v>
      </c>
      <c r="P659" s="610" t="s">
        <v>707</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1490</v>
      </c>
      <c r="K660" s="614"/>
      <c r="L660" s="609"/>
      <c r="M660" s="610"/>
      <c r="N660" s="615" t="s">
        <v>1492</v>
      </c>
      <c r="O660" s="615" t="s">
        <v>2500</v>
      </c>
      <c r="P660" s="610" t="s">
        <v>708</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1491</v>
      </c>
      <c r="K661" s="614"/>
      <c r="L661" s="609"/>
      <c r="M661" s="610"/>
      <c r="N661" s="615" t="s">
        <v>1894</v>
      </c>
      <c r="O661" s="615" t="s">
        <v>197</v>
      </c>
      <c r="P661" s="610" t="s">
        <v>709</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1493</v>
      </c>
      <c r="K662" s="614"/>
      <c r="L662" s="609"/>
      <c r="M662" s="610"/>
      <c r="N662" s="615" t="s">
        <v>3542</v>
      </c>
      <c r="O662" s="615" t="s">
        <v>1362</v>
      </c>
      <c r="P662" s="610" t="s">
        <v>710</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1586</v>
      </c>
      <c r="O663" s="497" t="s">
        <v>888</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711</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2219</v>
      </c>
      <c r="O665" s="615" t="s">
        <v>2218</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1439</v>
      </c>
      <c r="K666" s="614"/>
      <c r="L666" s="609"/>
      <c r="M666" s="610"/>
      <c r="N666" s="615" t="s">
        <v>2061</v>
      </c>
      <c r="O666" s="615" t="s">
        <v>3547</v>
      </c>
      <c r="P666" s="610" t="s">
        <v>712</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1252</v>
      </c>
      <c r="K667" s="614"/>
      <c r="L667" s="609"/>
      <c r="M667" s="610"/>
      <c r="N667" s="615" t="s">
        <v>2063</v>
      </c>
      <c r="O667" s="615" t="s">
        <v>395</v>
      </c>
      <c r="P667" s="610" t="s">
        <v>713</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2060</v>
      </c>
      <c r="K668" s="614"/>
      <c r="L668" s="609"/>
      <c r="M668" s="610"/>
      <c r="N668" s="497" t="s">
        <v>1587</v>
      </c>
      <c r="O668" s="497" t="s">
        <v>925</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2062</v>
      </c>
      <c r="K669" s="614"/>
      <c r="L669" s="609"/>
      <c r="M669" s="610"/>
      <c r="N669" s="615" t="s">
        <v>1874</v>
      </c>
      <c r="O669" s="615" t="s">
        <v>3077</v>
      </c>
      <c r="P669" s="610" t="s">
        <v>714</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2064</v>
      </c>
      <c r="K670" s="614"/>
      <c r="L670" s="609"/>
      <c r="M670" s="610"/>
      <c r="N670" s="615" t="s">
        <v>1876</v>
      </c>
      <c r="O670" s="615" t="s">
        <v>3547</v>
      </c>
      <c r="P670" s="610" t="s">
        <v>715</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1873</v>
      </c>
      <c r="K671" s="614"/>
      <c r="L671" s="609"/>
      <c r="M671" s="610"/>
      <c r="N671" s="615" t="s">
        <v>2873</v>
      </c>
      <c r="O671" s="615" t="s">
        <v>1621</v>
      </c>
      <c r="P671" s="610" t="s">
        <v>716</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1875</v>
      </c>
      <c r="K672" s="614"/>
      <c r="L672" s="609"/>
      <c r="M672" s="610"/>
      <c r="N672" s="615" t="s">
        <v>1132</v>
      </c>
      <c r="O672" s="615" t="s">
        <v>385</v>
      </c>
      <c r="P672" s="610" t="s">
        <v>717</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1823</v>
      </c>
      <c r="O673" s="615" t="s">
        <v>938</v>
      </c>
      <c r="P673" s="610" t="s">
        <v>718</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1131</v>
      </c>
      <c r="K674" s="614"/>
      <c r="L674" s="609"/>
      <c r="M674" s="610"/>
      <c r="N674" s="497" t="s">
        <v>1588</v>
      </c>
      <c r="O674" s="497" t="s">
        <v>197</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1822</v>
      </c>
      <c r="K675" s="614"/>
      <c r="L675" s="609"/>
      <c r="M675" s="610"/>
      <c r="N675" s="615" t="s">
        <v>2761</v>
      </c>
      <c r="O675" s="615" t="s">
        <v>1619</v>
      </c>
      <c r="P675" s="610" t="s">
        <v>719</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2041</v>
      </c>
      <c r="P676" s="610" t="s">
        <v>720</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721</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722</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697</v>
      </c>
      <c r="O679" s="615" t="s">
        <v>2890</v>
      </c>
      <c r="P679" s="610" t="s">
        <v>723</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724</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696</v>
      </c>
      <c r="K681" s="614"/>
      <c r="L681" s="609"/>
      <c r="M681" s="610"/>
      <c r="N681" s="615" t="s">
        <v>3554</v>
      </c>
      <c r="O681" s="615" t="s">
        <v>3545</v>
      </c>
      <c r="P681" s="610" t="s">
        <v>725</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1678</v>
      </c>
      <c r="O682" s="615" t="s">
        <v>382</v>
      </c>
      <c r="P682" s="610" t="s">
        <v>726</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1368</v>
      </c>
      <c r="P683" s="610" t="s">
        <v>727</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1677</v>
      </c>
      <c r="K684" s="614"/>
      <c r="L684" s="609"/>
      <c r="M684" s="610"/>
      <c r="N684" s="615" t="s">
        <v>1303</v>
      </c>
      <c r="O684" s="615" t="s">
        <v>1902</v>
      </c>
      <c r="P684" s="610" t="s">
        <v>728</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1584</v>
      </c>
      <c r="O685" s="497" t="s">
        <v>933</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2135</v>
      </c>
      <c r="O686" s="615" t="s">
        <v>398</v>
      </c>
      <c r="P686" s="610" t="s">
        <v>729</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2133</v>
      </c>
      <c r="K687" s="614"/>
      <c r="L687" s="609"/>
      <c r="M687" s="610"/>
      <c r="N687" s="615" t="s">
        <v>2991</v>
      </c>
      <c r="O687" s="615" t="s">
        <v>1895</v>
      </c>
      <c r="P687" s="610" t="s">
        <v>730</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2134</v>
      </c>
      <c r="K688" s="614"/>
      <c r="L688" s="609"/>
      <c r="M688" s="610"/>
      <c r="N688" s="615" t="s">
        <v>2372</v>
      </c>
      <c r="O688" s="615" t="s">
        <v>1881</v>
      </c>
      <c r="P688" s="610" t="s">
        <v>731</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1432</v>
      </c>
      <c r="O689" s="615" t="s">
        <v>3155</v>
      </c>
      <c r="P689" s="610" t="s">
        <v>732</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1434</v>
      </c>
      <c r="O690" s="615" t="s">
        <v>389</v>
      </c>
      <c r="P690" s="610" t="s">
        <v>508</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2371</v>
      </c>
      <c r="K691" s="614"/>
      <c r="L691" s="609"/>
      <c r="M691" s="610"/>
      <c r="N691" s="615" t="s">
        <v>3510</v>
      </c>
      <c r="O691" s="615" t="s">
        <v>888</v>
      </c>
      <c r="P691" s="610" t="s">
        <v>509</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2373</v>
      </c>
      <c r="K692" s="614"/>
      <c r="L692" s="609"/>
      <c r="M692" s="610"/>
      <c r="N692" s="615" t="s">
        <v>2777</v>
      </c>
      <c r="O692" s="615" t="s">
        <v>130</v>
      </c>
      <c r="P692" s="610" t="s">
        <v>510</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1431</v>
      </c>
      <c r="K693" s="614"/>
      <c r="L693" s="609"/>
      <c r="M693" s="610"/>
      <c r="N693" s="615" t="s">
        <v>2780</v>
      </c>
      <c r="O693" s="615" t="s">
        <v>3155</v>
      </c>
      <c r="P693" s="610" t="s">
        <v>511</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1433</v>
      </c>
      <c r="K694" s="614"/>
      <c r="L694" s="609"/>
      <c r="M694" s="610"/>
      <c r="N694" s="615" t="s">
        <v>2782</v>
      </c>
      <c r="O694" s="615" t="s">
        <v>200</v>
      </c>
      <c r="P694" s="610" t="s">
        <v>512</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1435</v>
      </c>
      <c r="K695" s="614"/>
      <c r="L695" s="609"/>
      <c r="M695" s="610"/>
      <c r="N695" s="615" t="s">
        <v>909</v>
      </c>
      <c r="O695" s="615" t="s">
        <v>3379</v>
      </c>
      <c r="P695" s="610" t="s">
        <v>513</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1304</v>
      </c>
      <c r="O696" s="615" t="s">
        <v>3068</v>
      </c>
      <c r="P696" s="610" t="s">
        <v>514</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1589</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1590</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2050</v>
      </c>
      <c r="O699" s="615" t="s">
        <v>1749</v>
      </c>
      <c r="P699" s="610" t="s">
        <v>515</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516</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1988</v>
      </c>
      <c r="O701" s="615" t="s">
        <v>3155</v>
      </c>
      <c r="P701" s="610" t="s">
        <v>517</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908</v>
      </c>
      <c r="K702" s="614"/>
      <c r="L702" s="609"/>
      <c r="M702" s="610"/>
      <c r="N702" s="615" t="s">
        <v>3170</v>
      </c>
      <c r="O702" s="615" t="s">
        <v>2795</v>
      </c>
      <c r="P702" s="610" t="s">
        <v>518</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910</v>
      </c>
      <c r="K703" s="614"/>
      <c r="L703" s="609"/>
      <c r="M703" s="610"/>
      <c r="N703" s="615" t="s">
        <v>3172</v>
      </c>
      <c r="O703" s="615" t="s">
        <v>3064</v>
      </c>
      <c r="P703" s="610" t="s">
        <v>519</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911</v>
      </c>
      <c r="K704" s="614"/>
      <c r="L704" s="609"/>
      <c r="M704" s="610"/>
      <c r="N704" s="615" t="s">
        <v>3174</v>
      </c>
      <c r="O704" s="615" t="s">
        <v>3379</v>
      </c>
      <c r="P704" s="610" t="s">
        <v>520</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1630</v>
      </c>
      <c r="O705" s="615" t="s">
        <v>3075</v>
      </c>
      <c r="P705" s="610" t="s">
        <v>521</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1632</v>
      </c>
      <c r="O706" s="615" t="s">
        <v>1607</v>
      </c>
      <c r="P706" s="610" t="s">
        <v>522</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1989</v>
      </c>
      <c r="K707" s="614"/>
      <c r="L707" s="609"/>
      <c r="M707" s="610"/>
      <c r="N707" s="615" t="s">
        <v>2934</v>
      </c>
      <c r="O707" s="615" t="s">
        <v>384</v>
      </c>
      <c r="P707" s="610" t="s">
        <v>523</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524</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393</v>
      </c>
      <c r="P709" s="610" t="s">
        <v>525</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2664</v>
      </c>
      <c r="K710" s="614"/>
      <c r="L710" s="609"/>
      <c r="M710" s="610"/>
      <c r="N710" s="615" t="s">
        <v>2853</v>
      </c>
      <c r="O710" s="615" t="s">
        <v>223</v>
      </c>
      <c r="P710" s="610" t="s">
        <v>526</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1631</v>
      </c>
      <c r="K711" s="614"/>
      <c r="L711" s="609"/>
      <c r="M711" s="610"/>
      <c r="N711" s="615" t="s">
        <v>629</v>
      </c>
      <c r="O711" s="615" t="s">
        <v>1882</v>
      </c>
      <c r="P711" s="610" t="s">
        <v>527</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1130</v>
      </c>
      <c r="P712" s="610" t="s">
        <v>528</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1526</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1321</v>
      </c>
      <c r="O714" s="615" t="s">
        <v>2887</v>
      </c>
      <c r="P714" s="1367" t="s">
        <v>1312</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529</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686</v>
      </c>
      <c r="K716" s="614"/>
      <c r="L716" s="609"/>
      <c r="M716" s="610"/>
      <c r="N716" s="615" t="s">
        <v>3017</v>
      </c>
      <c r="O716" s="615" t="s">
        <v>2501</v>
      </c>
      <c r="P716" s="610" t="s">
        <v>530</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628</v>
      </c>
      <c r="K717" s="614"/>
      <c r="L717" s="609"/>
      <c r="M717" s="610"/>
      <c r="N717" s="615" t="s">
        <v>3256</v>
      </c>
      <c r="O717" s="615" t="s">
        <v>2753</v>
      </c>
      <c r="P717" s="610" t="s">
        <v>531</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197</v>
      </c>
      <c r="P718" s="610" t="s">
        <v>532</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2503</v>
      </c>
      <c r="P719" s="610" t="s">
        <v>533</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3259</v>
      </c>
      <c r="O720" s="615" t="s">
        <v>1619</v>
      </c>
      <c r="P720" s="610" t="s">
        <v>534</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535</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536</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2377</v>
      </c>
      <c r="O723" s="615" t="s">
        <v>3377</v>
      </c>
      <c r="P723" s="610" t="s">
        <v>537</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2378</v>
      </c>
      <c r="O724" s="615" t="s">
        <v>234</v>
      </c>
      <c r="P724" s="610" t="s">
        <v>538</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2534</v>
      </c>
      <c r="O725" s="615" t="s">
        <v>200</v>
      </c>
      <c r="P725" s="610" t="s">
        <v>539</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1591</v>
      </c>
      <c r="O726" s="497" t="s">
        <v>888</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1305</v>
      </c>
      <c r="O727" s="615" t="s">
        <v>2829</v>
      </c>
      <c r="P727" s="610" t="s">
        <v>540</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2535</v>
      </c>
      <c r="O728" s="615" t="s">
        <v>3547</v>
      </c>
      <c r="P728" s="610" t="s">
        <v>541</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2536</v>
      </c>
      <c r="O729" s="615" t="s">
        <v>3155</v>
      </c>
      <c r="P729" s="610" t="s">
        <v>2536</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2537</v>
      </c>
      <c r="O730" s="615" t="s">
        <v>2503</v>
      </c>
      <c r="P730" s="610" t="s">
        <v>542</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2538</v>
      </c>
      <c r="O731" s="615" t="s">
        <v>197</v>
      </c>
      <c r="P731" s="610" t="s">
        <v>543</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2539</v>
      </c>
      <c r="O732" s="615" t="s">
        <v>924</v>
      </c>
      <c r="P732" s="610" t="s">
        <v>544</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2540</v>
      </c>
      <c r="O733" s="615" t="s">
        <v>1449</v>
      </c>
      <c r="P733" s="610" t="s">
        <v>545</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2541</v>
      </c>
      <c r="O734" s="615" t="s">
        <v>1745</v>
      </c>
      <c r="P734" s="610" t="s">
        <v>2541</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2542</v>
      </c>
      <c r="O735" s="615" t="s">
        <v>938</v>
      </c>
      <c r="P735" s="610" t="s">
        <v>546</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1592</v>
      </c>
      <c r="O736" s="497" t="s">
        <v>2503</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2543</v>
      </c>
      <c r="O737" s="615" t="s">
        <v>223</v>
      </c>
      <c r="P737" s="610" t="s">
        <v>547</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2544</v>
      </c>
      <c r="O738" s="615" t="s">
        <v>214</v>
      </c>
      <c r="P738" s="610" t="s">
        <v>548</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2545</v>
      </c>
      <c r="O739" s="615" t="s">
        <v>2829</v>
      </c>
      <c r="P739" s="610" t="s">
        <v>549</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2546</v>
      </c>
      <c r="O740" s="615" t="s">
        <v>197</v>
      </c>
      <c r="P740" s="610" t="s">
        <v>550</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2547</v>
      </c>
      <c r="O741" s="615" t="s">
        <v>2787</v>
      </c>
      <c r="P741" s="610" t="s">
        <v>551</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2548</v>
      </c>
      <c r="O742" s="615" t="s">
        <v>1897</v>
      </c>
      <c r="P742" s="1367" t="s">
        <v>1312</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2549</v>
      </c>
      <c r="O743" s="615" t="s">
        <v>1449</v>
      </c>
      <c r="P743" s="610" t="s">
        <v>552</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2550</v>
      </c>
      <c r="O744" s="615" t="s">
        <v>1130</v>
      </c>
      <c r="P744" s="610" t="s">
        <v>553</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1593</v>
      </c>
      <c r="O745" s="497" t="s">
        <v>3492</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2551</v>
      </c>
      <c r="O746" s="615" t="s">
        <v>384</v>
      </c>
      <c r="P746" s="610" t="s">
        <v>554</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2552</v>
      </c>
      <c r="O747" s="615" t="s">
        <v>398</v>
      </c>
      <c r="P747" s="610" t="s">
        <v>555</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2553</v>
      </c>
      <c r="O748" s="615" t="s">
        <v>202</v>
      </c>
      <c r="P748" s="610" t="s">
        <v>556</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2554</v>
      </c>
      <c r="O749" s="615" t="s">
        <v>2890</v>
      </c>
      <c r="P749" s="610" t="s">
        <v>557</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2555</v>
      </c>
      <c r="O750" s="615" t="s">
        <v>2042</v>
      </c>
      <c r="P750" s="610" t="s">
        <v>558</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2556</v>
      </c>
      <c r="O751" s="615" t="s">
        <v>2755</v>
      </c>
      <c r="P751" s="610" t="s">
        <v>559</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2557</v>
      </c>
      <c r="O752" s="615" t="s">
        <v>390</v>
      </c>
      <c r="P752" s="610" t="s">
        <v>560</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2558</v>
      </c>
      <c r="O753" s="615" t="s">
        <v>113</v>
      </c>
      <c r="P753" s="610" t="s">
        <v>561</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361</v>
      </c>
      <c r="O754" s="615" t="s">
        <v>3379</v>
      </c>
      <c r="P754" s="610" t="s">
        <v>562</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563</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362</v>
      </c>
      <c r="O756" s="615" t="s">
        <v>3629</v>
      </c>
      <c r="P756" s="610" t="s">
        <v>564</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363</v>
      </c>
      <c r="O757" s="615" t="s">
        <v>385</v>
      </c>
      <c r="P757" s="610" t="s">
        <v>565</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364</v>
      </c>
      <c r="O758" s="615" t="s">
        <v>2891</v>
      </c>
      <c r="P758" s="610" t="s">
        <v>566</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365</v>
      </c>
      <c r="O759" s="615" t="s">
        <v>1897</v>
      </c>
      <c r="P759" s="610" t="s">
        <v>567</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366</v>
      </c>
      <c r="O760" s="615" t="s">
        <v>2793</v>
      </c>
      <c r="P760" s="610" t="s">
        <v>568</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367</v>
      </c>
      <c r="O761" s="615" t="s">
        <v>119</v>
      </c>
      <c r="P761" s="1367" t="s">
        <v>1312</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368</v>
      </c>
      <c r="O762" s="615" t="s">
        <v>936</v>
      </c>
      <c r="P762" s="610" t="s">
        <v>569</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1882</v>
      </c>
      <c r="P763" s="610" t="s">
        <v>570</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2144</v>
      </c>
      <c r="O764" s="615" t="s">
        <v>938</v>
      </c>
      <c r="P764" s="610" t="s">
        <v>571</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1594</v>
      </c>
      <c r="O765" s="497" t="s">
        <v>197</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2145</v>
      </c>
      <c r="O766" s="615" t="s">
        <v>1130</v>
      </c>
      <c r="P766" s="610" t="s">
        <v>572</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2146</v>
      </c>
      <c r="O767" s="615" t="s">
        <v>2633</v>
      </c>
      <c r="P767" s="610" t="s">
        <v>573</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2147</v>
      </c>
      <c r="O768" s="615" t="s">
        <v>1610</v>
      </c>
      <c r="P768" s="610" t="s">
        <v>574</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1595</v>
      </c>
      <c r="O769" s="497" t="s">
        <v>197</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2148</v>
      </c>
      <c r="O770" s="615" t="s">
        <v>1881</v>
      </c>
      <c r="P770" s="610" t="s">
        <v>575</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2149</v>
      </c>
      <c r="O771" s="615" t="s">
        <v>203</v>
      </c>
      <c r="P771" s="610" t="s">
        <v>576</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2150</v>
      </c>
      <c r="O772" s="615" t="s">
        <v>1902</v>
      </c>
      <c r="P772" s="610" t="s">
        <v>577</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2151</v>
      </c>
      <c r="O773" s="615" t="s">
        <v>2755</v>
      </c>
      <c r="P773" s="610" t="s">
        <v>578</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2152</v>
      </c>
      <c r="O774" s="615" t="s">
        <v>3075</v>
      </c>
      <c r="P774" s="610" t="s">
        <v>579</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2153</v>
      </c>
      <c r="O775" s="615" t="s">
        <v>202</v>
      </c>
      <c r="P775" s="610" t="s">
        <v>580</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938</v>
      </c>
      <c r="P776" s="610" t="s">
        <v>581</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924</v>
      </c>
      <c r="P777" s="610" t="s">
        <v>582</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398</v>
      </c>
      <c r="P778" s="610" t="s">
        <v>583</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1324</v>
      </c>
      <c r="O779" s="615" t="s">
        <v>402</v>
      </c>
      <c r="P779" s="610" t="s">
        <v>584</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1325</v>
      </c>
      <c r="O780" s="615" t="s">
        <v>2887</v>
      </c>
      <c r="P780" s="610" t="s">
        <v>585</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1326</v>
      </c>
      <c r="O781" s="615" t="s">
        <v>2789</v>
      </c>
      <c r="P781" s="610" t="s">
        <v>586</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1327</v>
      </c>
      <c r="O782" s="615" t="s">
        <v>1610</v>
      </c>
      <c r="P782" s="610" t="s">
        <v>587</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2012-056 Silver Comet Senior Village, Powder Springs, Cobb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874</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4059</v>
      </c>
      <c r="I5" s="1341"/>
      <c r="J5" s="1341"/>
      <c r="K5" s="1341"/>
      <c r="L5" s="1341"/>
      <c r="M5" s="1341"/>
      <c r="N5" s="1342"/>
      <c r="O5" s="826" t="s">
        <v>2870</v>
      </c>
      <c r="P5" s="826"/>
      <c r="Q5" s="1292" t="s">
        <v>3995</v>
      </c>
      <c r="R5" s="1341"/>
      <c r="S5" s="1342"/>
    </row>
    <row r="6" spans="1:19" s="449" customFormat="1" ht="12.6" customHeight="1">
      <c r="D6" s="498"/>
      <c r="E6" s="455" t="s">
        <v>1528</v>
      </c>
      <c r="F6" s="463"/>
      <c r="H6" s="1292" t="s">
        <v>3979</v>
      </c>
      <c r="I6" s="1341"/>
      <c r="J6" s="1341"/>
      <c r="K6" s="1341"/>
      <c r="L6" s="1341"/>
      <c r="M6" s="1341"/>
      <c r="N6" s="1342"/>
      <c r="O6" s="826" t="s">
        <v>2602</v>
      </c>
      <c r="Q6" s="1292" t="s">
        <v>4014</v>
      </c>
      <c r="R6" s="1341"/>
      <c r="S6" s="1342"/>
    </row>
    <row r="7" spans="1:19" s="449" customFormat="1" ht="12.6" customHeight="1">
      <c r="D7" s="498"/>
      <c r="E7" s="455" t="s">
        <v>877</v>
      </c>
      <c r="H7" s="1292" t="s">
        <v>993</v>
      </c>
      <c r="I7" s="1341"/>
      <c r="J7" s="1342"/>
      <c r="K7" s="1370" t="s">
        <v>1160</v>
      </c>
      <c r="L7" s="1292"/>
      <c r="M7" s="1341"/>
      <c r="N7" s="1342"/>
      <c r="O7" s="826" t="s">
        <v>2660</v>
      </c>
      <c r="Q7" s="1300">
        <v>7704755505</v>
      </c>
      <c r="R7" s="1305"/>
      <c r="S7" s="1301"/>
    </row>
    <row r="8" spans="1:19" s="449" customFormat="1" ht="12.6" customHeight="1">
      <c r="D8" s="498"/>
      <c r="E8" s="455" t="s">
        <v>2656</v>
      </c>
      <c r="H8" s="1306" t="s">
        <v>1338</v>
      </c>
      <c r="I8" s="839" t="s">
        <v>1844</v>
      </c>
      <c r="J8" s="1303">
        <v>300964720</v>
      </c>
      <c r="K8" s="1342"/>
      <c r="L8" s="397" t="s">
        <v>1847</v>
      </c>
      <c r="N8" s="1343">
        <v>7</v>
      </c>
      <c r="O8" s="826" t="s">
        <v>2859</v>
      </c>
      <c r="Q8" s="1300">
        <v>4044065219</v>
      </c>
      <c r="R8" s="1305"/>
      <c r="S8" s="1301"/>
    </row>
    <row r="9" spans="1:19" s="449" customFormat="1" ht="12.6" customHeight="1">
      <c r="D9" s="498"/>
      <c r="E9" s="455" t="s">
        <v>2865</v>
      </c>
      <c r="H9" s="1300"/>
      <c r="I9" s="1301"/>
      <c r="J9" s="1371"/>
      <c r="K9" s="839" t="s">
        <v>2659</v>
      </c>
      <c r="L9" s="1329">
        <v>7706707006</v>
      </c>
      <c r="M9" s="1342"/>
      <c r="N9" s="457" t="s">
        <v>2864</v>
      </c>
      <c r="O9" s="1307" t="s">
        <v>4015</v>
      </c>
      <c r="P9" s="1308"/>
      <c r="Q9" s="1308"/>
      <c r="R9" s="1308"/>
      <c r="S9" s="1309"/>
    </row>
    <row r="10" spans="1:19" s="449" customFormat="1" ht="13.15" customHeight="1">
      <c r="D10" s="498"/>
      <c r="E10" s="440" t="s">
        <v>920</v>
      </c>
      <c r="H10" s="491"/>
      <c r="L10" s="540" t="s">
        <v>1845</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1842</v>
      </c>
      <c r="O12" s="1372" t="s">
        <v>1843</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1846</v>
      </c>
      <c r="M14" s="472"/>
      <c r="O14" s="1373" t="s">
        <v>1841</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3006</v>
      </c>
      <c r="E16" s="449" t="s">
        <v>2728</v>
      </c>
      <c r="H16" s="1292" t="s">
        <v>4058</v>
      </c>
      <c r="I16" s="1341"/>
      <c r="J16" s="1341"/>
      <c r="K16" s="1341"/>
      <c r="L16" s="1341"/>
      <c r="M16" s="1341"/>
      <c r="N16" s="1342"/>
      <c r="O16" s="826" t="s">
        <v>2870</v>
      </c>
      <c r="P16" s="826"/>
      <c r="Q16" s="1292" t="s">
        <v>3995</v>
      </c>
      <c r="R16" s="1341"/>
      <c r="S16" s="1342"/>
    </row>
    <row r="17" spans="4:19" s="449" customFormat="1" ht="12.6" customHeight="1">
      <c r="D17" s="498"/>
      <c r="E17" s="455" t="s">
        <v>1528</v>
      </c>
      <c r="F17" s="463"/>
      <c r="H17" s="1292" t="s">
        <v>3991</v>
      </c>
      <c r="I17" s="1341"/>
      <c r="J17" s="1341"/>
      <c r="K17" s="1341"/>
      <c r="L17" s="1341"/>
      <c r="M17" s="1341"/>
      <c r="N17" s="1342"/>
      <c r="O17" s="826" t="s">
        <v>2602</v>
      </c>
      <c r="Q17" s="1292" t="s">
        <v>3990</v>
      </c>
      <c r="R17" s="1341"/>
      <c r="S17" s="1342"/>
    </row>
    <row r="18" spans="4:19" s="449" customFormat="1" ht="12.6" customHeight="1">
      <c r="D18" s="498"/>
      <c r="E18" s="455" t="s">
        <v>877</v>
      </c>
      <c r="H18" s="1292" t="s">
        <v>993</v>
      </c>
      <c r="I18" s="1341"/>
      <c r="J18" s="1342"/>
      <c r="O18" s="826" t="s">
        <v>2660</v>
      </c>
      <c r="Q18" s="1300">
        <v>7704755505</v>
      </c>
      <c r="R18" s="1305"/>
      <c r="S18" s="1301"/>
    </row>
    <row r="19" spans="4:19" s="449" customFormat="1" ht="12.6" customHeight="1">
      <c r="D19" s="452"/>
      <c r="E19" s="455" t="s">
        <v>2656</v>
      </c>
      <c r="H19" s="1306" t="s">
        <v>1338</v>
      </c>
      <c r="I19" s="839" t="s">
        <v>1844</v>
      </c>
      <c r="J19" s="1303">
        <v>300964720</v>
      </c>
      <c r="K19" s="1342"/>
      <c r="L19" s="397" t="s">
        <v>1847</v>
      </c>
      <c r="N19" s="1343">
        <v>7</v>
      </c>
      <c r="O19" s="826" t="s">
        <v>2859</v>
      </c>
      <c r="Q19" s="1300">
        <v>4044065219</v>
      </c>
      <c r="R19" s="1305"/>
      <c r="S19" s="1301"/>
    </row>
    <row r="20" spans="4:19" s="449" customFormat="1" ht="12.6" customHeight="1">
      <c r="D20" s="498"/>
      <c r="E20" s="455" t="s">
        <v>2865</v>
      </c>
      <c r="H20" s="1300"/>
      <c r="I20" s="1301"/>
      <c r="J20" s="1371"/>
      <c r="K20" s="839" t="s">
        <v>2659</v>
      </c>
      <c r="L20" s="1329">
        <v>7706707006</v>
      </c>
      <c r="M20" s="1342"/>
      <c r="N20" s="457" t="s">
        <v>2864</v>
      </c>
      <c r="O20" s="1307" t="s">
        <v>4015</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3007</v>
      </c>
      <c r="E22" s="449" t="s">
        <v>2729</v>
      </c>
      <c r="F22" s="833"/>
      <c r="H22" s="1292"/>
      <c r="I22" s="1341"/>
      <c r="J22" s="1341"/>
      <c r="K22" s="1341"/>
      <c r="L22" s="1341"/>
      <c r="M22" s="1341"/>
      <c r="N22" s="1342"/>
      <c r="O22" s="826" t="s">
        <v>2870</v>
      </c>
      <c r="P22" s="826"/>
      <c r="Q22" s="1292"/>
      <c r="R22" s="1341"/>
      <c r="S22" s="1342"/>
    </row>
    <row r="23" spans="4:19" s="449" customFormat="1" ht="12.6" customHeight="1">
      <c r="D23" s="498"/>
      <c r="E23" s="455" t="s">
        <v>1528</v>
      </c>
      <c r="F23" s="463"/>
      <c r="H23" s="1292"/>
      <c r="I23" s="1341"/>
      <c r="J23" s="1341"/>
      <c r="K23" s="1341"/>
      <c r="L23" s="1341"/>
      <c r="M23" s="1341"/>
      <c r="N23" s="1342"/>
      <c r="O23" s="826" t="s">
        <v>2602</v>
      </c>
      <c r="Q23" s="1292"/>
      <c r="R23" s="1341"/>
      <c r="S23" s="1342"/>
    </row>
    <row r="24" spans="4:19" s="449" customFormat="1" ht="12.6" customHeight="1">
      <c r="D24" s="498"/>
      <c r="E24" s="455" t="s">
        <v>877</v>
      </c>
      <c r="H24" s="1292"/>
      <c r="I24" s="1341"/>
      <c r="J24" s="1342"/>
      <c r="O24" s="826" t="s">
        <v>2660</v>
      </c>
      <c r="Q24" s="1300"/>
      <c r="R24" s="1305"/>
      <c r="S24" s="1301"/>
    </row>
    <row r="25" spans="4:19" s="449" customFormat="1" ht="12.6" customHeight="1">
      <c r="E25" s="455" t="s">
        <v>2656</v>
      </c>
      <c r="H25" s="1306"/>
      <c r="I25" s="483" t="s">
        <v>3139</v>
      </c>
      <c r="J25" s="1303"/>
      <c r="K25" s="1342"/>
      <c r="O25" s="826" t="s">
        <v>2859</v>
      </c>
      <c r="Q25" s="1300"/>
      <c r="R25" s="1305"/>
      <c r="S25" s="1301"/>
    </row>
    <row r="26" spans="4:19" s="449" customFormat="1" ht="12.6" customHeight="1">
      <c r="D26" s="498"/>
      <c r="E26" s="455" t="s">
        <v>2865</v>
      </c>
      <c r="H26" s="1300"/>
      <c r="I26" s="1301"/>
      <c r="J26" s="1371"/>
      <c r="K26" s="839" t="s">
        <v>2659</v>
      </c>
      <c r="L26" s="1329"/>
      <c r="M26" s="1342"/>
      <c r="N26" s="457" t="s">
        <v>2864</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2588</v>
      </c>
      <c r="E28" s="449" t="s">
        <v>2729</v>
      </c>
      <c r="F28" s="833"/>
      <c r="H28" s="1292"/>
      <c r="I28" s="1341"/>
      <c r="J28" s="1341"/>
      <c r="K28" s="1341"/>
      <c r="L28" s="1341"/>
      <c r="M28" s="1341"/>
      <c r="N28" s="1342"/>
      <c r="O28" s="826" t="s">
        <v>2870</v>
      </c>
      <c r="P28" s="826"/>
      <c r="Q28" s="1292"/>
      <c r="R28" s="1341"/>
      <c r="S28" s="1342"/>
    </row>
    <row r="29" spans="4:19" s="449" customFormat="1" ht="12.6" customHeight="1">
      <c r="D29" s="498"/>
      <c r="E29" s="455" t="s">
        <v>1528</v>
      </c>
      <c r="F29" s="463"/>
      <c r="H29" s="1292"/>
      <c r="I29" s="1341"/>
      <c r="J29" s="1341"/>
      <c r="K29" s="1341"/>
      <c r="L29" s="1341"/>
      <c r="M29" s="1341"/>
      <c r="N29" s="1342"/>
      <c r="O29" s="826" t="s">
        <v>2602</v>
      </c>
      <c r="Q29" s="1292"/>
      <c r="R29" s="1341"/>
      <c r="S29" s="1342"/>
    </row>
    <row r="30" spans="4:19" s="449" customFormat="1" ht="12.6" customHeight="1">
      <c r="D30" s="498"/>
      <c r="E30" s="455" t="s">
        <v>877</v>
      </c>
      <c r="H30" s="1292"/>
      <c r="I30" s="1341"/>
      <c r="J30" s="1342"/>
      <c r="O30" s="826" t="s">
        <v>2660</v>
      </c>
      <c r="Q30" s="1300"/>
      <c r="R30" s="1305"/>
      <c r="S30" s="1301"/>
    </row>
    <row r="31" spans="4:19" s="449" customFormat="1" ht="12.6" customHeight="1">
      <c r="E31" s="455" t="s">
        <v>2656</v>
      </c>
      <c r="H31" s="1306"/>
      <c r="I31" s="483" t="s">
        <v>3139</v>
      </c>
      <c r="J31" s="1303"/>
      <c r="K31" s="1342"/>
      <c r="O31" s="826" t="s">
        <v>2859</v>
      </c>
      <c r="Q31" s="1300"/>
      <c r="R31" s="1305"/>
      <c r="S31" s="1301"/>
    </row>
    <row r="32" spans="4:19" s="449" customFormat="1" ht="12.6" customHeight="1">
      <c r="D32" s="498"/>
      <c r="E32" s="455" t="s">
        <v>2865</v>
      </c>
      <c r="H32" s="1300"/>
      <c r="I32" s="1301"/>
      <c r="J32" s="1371"/>
      <c r="K32" s="839" t="s">
        <v>2659</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3006</v>
      </c>
      <c r="E36" s="449" t="s">
        <v>1147</v>
      </c>
      <c r="H36" s="1292" t="s">
        <v>3992</v>
      </c>
      <c r="I36" s="1341"/>
      <c r="J36" s="1341"/>
      <c r="K36" s="1341"/>
      <c r="L36" s="1341"/>
      <c r="M36" s="1341"/>
      <c r="N36" s="1342"/>
      <c r="O36" s="826" t="s">
        <v>2870</v>
      </c>
      <c r="P36" s="826"/>
      <c r="Q36" s="1292" t="s">
        <v>3993</v>
      </c>
      <c r="R36" s="1341"/>
      <c r="S36" s="1342"/>
    </row>
    <row r="37" spans="3:19" s="449" customFormat="1" ht="12.6" customHeight="1">
      <c r="D37" s="498"/>
      <c r="E37" s="455" t="s">
        <v>1528</v>
      </c>
      <c r="F37" s="463"/>
      <c r="H37" s="1292" t="s">
        <v>3994</v>
      </c>
      <c r="I37" s="1341"/>
      <c r="J37" s="1341"/>
      <c r="K37" s="1341"/>
      <c r="L37" s="1341"/>
      <c r="M37" s="1341"/>
      <c r="N37" s="1342"/>
      <c r="O37" s="826" t="s">
        <v>2602</v>
      </c>
      <c r="Q37" s="1292" t="s">
        <v>3980</v>
      </c>
      <c r="R37" s="1341"/>
      <c r="S37" s="1342"/>
    </row>
    <row r="38" spans="3:19" s="449" customFormat="1" ht="12.6" customHeight="1">
      <c r="D38" s="498"/>
      <c r="E38" s="455" t="s">
        <v>877</v>
      </c>
      <c r="H38" s="1292" t="s">
        <v>3544</v>
      </c>
      <c r="I38" s="1341"/>
      <c r="J38" s="1342"/>
      <c r="O38" s="826" t="s">
        <v>2660</v>
      </c>
      <c r="Q38" s="1300"/>
      <c r="R38" s="1305"/>
      <c r="S38" s="1301"/>
    </row>
    <row r="39" spans="3:19" s="449" customFormat="1" ht="12.6" customHeight="1">
      <c r="E39" s="455" t="s">
        <v>2656</v>
      </c>
      <c r="H39" s="1306" t="s">
        <v>1910</v>
      </c>
      <c r="I39" s="483" t="s">
        <v>3139</v>
      </c>
      <c r="J39" s="1303">
        <v>652030000</v>
      </c>
      <c r="K39" s="1342"/>
      <c r="O39" s="826" t="s">
        <v>2859</v>
      </c>
      <c r="Q39" s="1300"/>
      <c r="R39" s="1305"/>
      <c r="S39" s="1301"/>
    </row>
    <row r="40" spans="3:19" s="449" customFormat="1" ht="12.6" customHeight="1">
      <c r="D40" s="498"/>
      <c r="E40" s="455" t="s">
        <v>2865</v>
      </c>
      <c r="H40" s="1300">
        <v>5734432021</v>
      </c>
      <c r="I40" s="1301"/>
      <c r="J40" s="1371"/>
      <c r="K40" s="839" t="s">
        <v>2659</v>
      </c>
      <c r="L40" s="1329">
        <v>5738747116</v>
      </c>
      <c r="M40" s="1342"/>
      <c r="N40" s="457" t="s">
        <v>2864</v>
      </c>
      <c r="O40" s="1307" t="s">
        <v>4060</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3007</v>
      </c>
      <c r="E42" s="449" t="s">
        <v>1148</v>
      </c>
      <c r="F42" s="452"/>
      <c r="H42" s="1292" t="s">
        <v>3992</v>
      </c>
      <c r="I42" s="1341"/>
      <c r="J42" s="1341"/>
      <c r="K42" s="1341"/>
      <c r="L42" s="1341"/>
      <c r="M42" s="1341"/>
      <c r="N42" s="1342"/>
      <c r="O42" s="826" t="s">
        <v>2870</v>
      </c>
      <c r="P42" s="826"/>
      <c r="Q42" s="1292" t="s">
        <v>3993</v>
      </c>
      <c r="R42" s="1341"/>
      <c r="S42" s="1342"/>
    </row>
    <row r="43" spans="3:19" s="449" customFormat="1" ht="12.6" customHeight="1">
      <c r="D43" s="498"/>
      <c r="E43" s="455" t="s">
        <v>1528</v>
      </c>
      <c r="F43" s="463"/>
      <c r="H43" s="1292" t="s">
        <v>3994</v>
      </c>
      <c r="I43" s="1341"/>
      <c r="J43" s="1341"/>
      <c r="K43" s="1341"/>
      <c r="L43" s="1341"/>
      <c r="M43" s="1341"/>
      <c r="N43" s="1342"/>
      <c r="O43" s="826" t="s">
        <v>2602</v>
      </c>
      <c r="Q43" s="1292" t="s">
        <v>3980</v>
      </c>
      <c r="R43" s="1341"/>
      <c r="S43" s="1342"/>
    </row>
    <row r="44" spans="3:19" s="449" customFormat="1" ht="12.6" customHeight="1">
      <c r="D44" s="498"/>
      <c r="E44" s="455" t="s">
        <v>877</v>
      </c>
      <c r="H44" s="1292" t="s">
        <v>3544</v>
      </c>
      <c r="I44" s="1341"/>
      <c r="J44" s="1342"/>
      <c r="O44" s="826" t="s">
        <v>2660</v>
      </c>
      <c r="Q44" s="1300"/>
      <c r="R44" s="1305"/>
      <c r="S44" s="1301"/>
    </row>
    <row r="45" spans="3:19" s="449" customFormat="1" ht="12.6" customHeight="1">
      <c r="D45" s="452"/>
      <c r="E45" s="455" t="s">
        <v>2656</v>
      </c>
      <c r="H45" s="1306" t="s">
        <v>1910</v>
      </c>
      <c r="I45" s="483" t="s">
        <v>3139</v>
      </c>
      <c r="J45" s="1303">
        <v>652034905</v>
      </c>
      <c r="K45" s="1342"/>
      <c r="O45" s="826" t="s">
        <v>2859</v>
      </c>
      <c r="Q45" s="1300"/>
      <c r="R45" s="1305"/>
      <c r="S45" s="1301"/>
    </row>
    <row r="46" spans="3:19" s="449" customFormat="1" ht="12.6" customHeight="1">
      <c r="D46" s="498"/>
      <c r="E46" s="455" t="s">
        <v>2865</v>
      </c>
      <c r="H46" s="1300">
        <v>5734432021</v>
      </c>
      <c r="I46" s="1301"/>
      <c r="J46" s="1371"/>
      <c r="K46" s="839" t="s">
        <v>2659</v>
      </c>
      <c r="L46" s="1329">
        <v>5738747116</v>
      </c>
      <c r="M46" s="1342"/>
      <c r="N46" s="457" t="s">
        <v>2864</v>
      </c>
      <c r="O46" s="1307" t="s">
        <v>4060</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3550</v>
      </c>
      <c r="D48" s="496" t="s">
        <v>917</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3988</v>
      </c>
      <c r="I50" s="1341"/>
      <c r="J50" s="1341"/>
      <c r="K50" s="1341"/>
      <c r="L50" s="1341"/>
      <c r="M50" s="1341"/>
      <c r="N50" s="1342"/>
      <c r="O50" s="826" t="s">
        <v>2870</v>
      </c>
      <c r="P50" s="826"/>
      <c r="Q50" s="1292" t="s">
        <v>3995</v>
      </c>
      <c r="R50" s="1341"/>
      <c r="S50" s="1342"/>
    </row>
    <row r="51" spans="1:19" s="449" customFormat="1" ht="12.6" customHeight="1">
      <c r="D51" s="498"/>
      <c r="E51" s="455" t="s">
        <v>1528</v>
      </c>
      <c r="F51" s="463"/>
      <c r="H51" s="1292" t="s">
        <v>3979</v>
      </c>
      <c r="I51" s="1341"/>
      <c r="J51" s="1341"/>
      <c r="K51" s="1341"/>
      <c r="L51" s="1341"/>
      <c r="M51" s="1341"/>
      <c r="N51" s="1342"/>
      <c r="O51" s="826" t="s">
        <v>2602</v>
      </c>
      <c r="Q51" s="1292" t="s">
        <v>4014</v>
      </c>
      <c r="R51" s="1341"/>
      <c r="S51" s="1342"/>
    </row>
    <row r="52" spans="1:19" s="449" customFormat="1" ht="12.6" customHeight="1">
      <c r="D52" s="498"/>
      <c r="E52" s="455" t="s">
        <v>877</v>
      </c>
      <c r="H52" s="1292" t="s">
        <v>993</v>
      </c>
      <c r="I52" s="1341"/>
      <c r="J52" s="1342"/>
      <c r="O52" s="826" t="s">
        <v>2660</v>
      </c>
      <c r="Q52" s="1300">
        <v>7704755505</v>
      </c>
      <c r="R52" s="1305"/>
      <c r="S52" s="1301"/>
    </row>
    <row r="53" spans="1:19" s="449" customFormat="1" ht="12.6" customHeight="1">
      <c r="E53" s="455" t="s">
        <v>2656</v>
      </c>
      <c r="H53" s="1306" t="s">
        <v>1338</v>
      </c>
      <c r="I53" s="483" t="s">
        <v>3139</v>
      </c>
      <c r="J53" s="1303">
        <v>300964720</v>
      </c>
      <c r="K53" s="1342"/>
      <c r="O53" s="826" t="s">
        <v>2859</v>
      </c>
      <c r="Q53" s="1300">
        <v>4044065219</v>
      </c>
      <c r="R53" s="1305"/>
      <c r="S53" s="1301"/>
    </row>
    <row r="54" spans="1:19" s="449" customFormat="1" ht="12.6" customHeight="1">
      <c r="D54" s="498"/>
      <c r="E54" s="455" t="s">
        <v>2865</v>
      </c>
      <c r="H54" s="1300"/>
      <c r="I54" s="1301"/>
      <c r="J54" s="1371"/>
      <c r="K54" s="839" t="s">
        <v>2659</v>
      </c>
      <c r="L54" s="1329"/>
      <c r="M54" s="1342"/>
      <c r="N54" s="457" t="s">
        <v>2864</v>
      </c>
      <c r="O54" s="1307" t="s">
        <v>4016</v>
      </c>
      <c r="P54" s="1308"/>
      <c r="Q54" s="1308"/>
      <c r="R54" s="1308"/>
      <c r="S54" s="1309"/>
    </row>
    <row r="55" spans="1:19" ht="13.15" customHeight="1"/>
    <row r="56" spans="1:19" s="449" customFormat="1" ht="13.15" customHeight="1">
      <c r="A56" s="452" t="s">
        <v>1137</v>
      </c>
      <c r="B56" s="452" t="s">
        <v>918</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2863</v>
      </c>
      <c r="C58" s="452" t="s">
        <v>350</v>
      </c>
      <c r="H58" s="1292" t="s">
        <v>3988</v>
      </c>
      <c r="I58" s="1341"/>
      <c r="J58" s="1341"/>
      <c r="K58" s="1341"/>
      <c r="L58" s="1341"/>
      <c r="M58" s="1341"/>
      <c r="N58" s="1342"/>
      <c r="O58" s="826" t="s">
        <v>2870</v>
      </c>
      <c r="P58" s="826"/>
      <c r="Q58" s="1292" t="s">
        <v>3995</v>
      </c>
      <c r="R58" s="1341"/>
      <c r="S58" s="1342"/>
    </row>
    <row r="59" spans="1:19" s="449" customFormat="1" ht="13.15" customHeight="1">
      <c r="D59" s="498"/>
      <c r="E59" s="455" t="s">
        <v>1528</v>
      </c>
      <c r="F59" s="463"/>
      <c r="H59" s="1292" t="s">
        <v>3979</v>
      </c>
      <c r="I59" s="1341"/>
      <c r="J59" s="1341"/>
      <c r="K59" s="1341"/>
      <c r="L59" s="1341"/>
      <c r="M59" s="1341"/>
      <c r="N59" s="1342"/>
      <c r="O59" s="826" t="s">
        <v>2602</v>
      </c>
      <c r="Q59" s="1292" t="s">
        <v>4014</v>
      </c>
      <c r="R59" s="1341"/>
      <c r="S59" s="1342"/>
    </row>
    <row r="60" spans="1:19" s="449" customFormat="1" ht="13.15" customHeight="1">
      <c r="D60" s="498"/>
      <c r="E60" s="455" t="s">
        <v>877</v>
      </c>
      <c r="H60" s="1292" t="s">
        <v>993</v>
      </c>
      <c r="I60" s="1341"/>
      <c r="J60" s="1342"/>
      <c r="O60" s="826" t="s">
        <v>2660</v>
      </c>
      <c r="Q60" s="1300">
        <v>7704755505</v>
      </c>
      <c r="R60" s="1305"/>
      <c r="S60" s="1301"/>
    </row>
    <row r="61" spans="1:19" s="449" customFormat="1" ht="13.15" customHeight="1">
      <c r="E61" s="455" t="s">
        <v>2656</v>
      </c>
      <c r="H61" s="1306" t="s">
        <v>1338</v>
      </c>
      <c r="I61" s="483" t="s">
        <v>3139</v>
      </c>
      <c r="J61" s="1303">
        <v>300964720</v>
      </c>
      <c r="K61" s="1342"/>
      <c r="O61" s="826" t="s">
        <v>2859</v>
      </c>
      <c r="Q61" s="1300">
        <v>4044065219</v>
      </c>
      <c r="R61" s="1305"/>
      <c r="S61" s="1301"/>
    </row>
    <row r="62" spans="1:19" s="449" customFormat="1" ht="13.15" customHeight="1">
      <c r="D62" s="498"/>
      <c r="E62" s="455" t="s">
        <v>2865</v>
      </c>
      <c r="H62" s="1300">
        <v>7704755505</v>
      </c>
      <c r="I62" s="1301"/>
      <c r="J62" s="1371"/>
      <c r="K62" s="839" t="s">
        <v>2659</v>
      </c>
      <c r="L62" s="1329">
        <v>7704755528</v>
      </c>
      <c r="M62" s="1342"/>
      <c r="N62" s="457" t="s">
        <v>2864</v>
      </c>
      <c r="O62" s="1307" t="s">
        <v>4015</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2866</v>
      </c>
      <c r="C64" s="452" t="s">
        <v>351</v>
      </c>
      <c r="H64" s="1292"/>
      <c r="I64" s="1341"/>
      <c r="J64" s="1341"/>
      <c r="K64" s="1341"/>
      <c r="L64" s="1341"/>
      <c r="M64" s="1341"/>
      <c r="N64" s="1342"/>
      <c r="O64" s="826" t="s">
        <v>2870</v>
      </c>
      <c r="P64" s="826"/>
      <c r="Q64" s="1292"/>
      <c r="R64" s="1341"/>
      <c r="S64" s="1342"/>
    </row>
    <row r="65" spans="2:19" s="449" customFormat="1" ht="13.15" customHeight="1">
      <c r="D65" s="498"/>
      <c r="E65" s="455" t="s">
        <v>1528</v>
      </c>
      <c r="F65" s="463"/>
      <c r="H65" s="1292"/>
      <c r="I65" s="1341"/>
      <c r="J65" s="1341"/>
      <c r="K65" s="1341"/>
      <c r="L65" s="1341"/>
      <c r="M65" s="1341"/>
      <c r="N65" s="1342"/>
      <c r="O65" s="826" t="s">
        <v>2602</v>
      </c>
      <c r="Q65" s="1292"/>
      <c r="R65" s="1341"/>
      <c r="S65" s="1342"/>
    </row>
    <row r="66" spans="2:19" s="449" customFormat="1" ht="13.15" customHeight="1">
      <c r="D66" s="498"/>
      <c r="E66" s="455" t="s">
        <v>877</v>
      </c>
      <c r="H66" s="1292"/>
      <c r="I66" s="1341"/>
      <c r="J66" s="1342"/>
      <c r="O66" s="826" t="s">
        <v>2660</v>
      </c>
      <c r="Q66" s="1300"/>
      <c r="R66" s="1305"/>
      <c r="S66" s="1301"/>
    </row>
    <row r="67" spans="2:19" s="449" customFormat="1" ht="13.15" customHeight="1">
      <c r="E67" s="455" t="s">
        <v>2656</v>
      </c>
      <c r="H67" s="1306" t="s">
        <v>1338</v>
      </c>
      <c r="I67" s="483" t="s">
        <v>3139</v>
      </c>
      <c r="J67" s="1303"/>
      <c r="K67" s="1342"/>
      <c r="O67" s="826" t="s">
        <v>2859</v>
      </c>
      <c r="Q67" s="1300"/>
      <c r="R67" s="1305"/>
      <c r="S67" s="1301"/>
    </row>
    <row r="68" spans="2:19" s="449" customFormat="1" ht="13.15" customHeight="1">
      <c r="D68" s="498"/>
      <c r="E68" s="455" t="s">
        <v>2865</v>
      </c>
      <c r="H68" s="1300"/>
      <c r="I68" s="1301"/>
      <c r="J68" s="1371"/>
      <c r="K68" s="839" t="s">
        <v>2659</v>
      </c>
      <c r="L68" s="1329"/>
      <c r="M68" s="1342"/>
      <c r="N68" s="457" t="s">
        <v>2864</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1146</v>
      </c>
      <c r="C70" s="452" t="s">
        <v>2130</v>
      </c>
      <c r="H70" s="1292"/>
      <c r="I70" s="1341"/>
      <c r="J70" s="1341"/>
      <c r="K70" s="1341"/>
      <c r="L70" s="1341"/>
      <c r="M70" s="1341"/>
      <c r="N70" s="1342"/>
      <c r="O70" s="826" t="s">
        <v>2870</v>
      </c>
      <c r="P70" s="826"/>
      <c r="Q70" s="1292"/>
      <c r="R70" s="1341"/>
      <c r="S70" s="1342"/>
    </row>
    <row r="71" spans="2:19" s="449" customFormat="1" ht="13.15" customHeight="1">
      <c r="D71" s="498"/>
      <c r="E71" s="455" t="s">
        <v>1528</v>
      </c>
      <c r="F71" s="463"/>
      <c r="H71" s="1292"/>
      <c r="I71" s="1341"/>
      <c r="J71" s="1341"/>
      <c r="K71" s="1341"/>
      <c r="L71" s="1341"/>
      <c r="M71" s="1341"/>
      <c r="N71" s="1342"/>
      <c r="O71" s="826" t="s">
        <v>2602</v>
      </c>
      <c r="Q71" s="1292"/>
      <c r="R71" s="1341"/>
      <c r="S71" s="1342"/>
    </row>
    <row r="72" spans="2:19" s="449" customFormat="1" ht="13.15" customHeight="1">
      <c r="D72" s="498"/>
      <c r="E72" s="455" t="s">
        <v>877</v>
      </c>
      <c r="H72" s="1292"/>
      <c r="I72" s="1341"/>
      <c r="J72" s="1342"/>
      <c r="O72" s="826" t="s">
        <v>2660</v>
      </c>
      <c r="Q72" s="1300"/>
      <c r="R72" s="1305"/>
      <c r="S72" s="1301"/>
    </row>
    <row r="73" spans="2:19" s="449" customFormat="1" ht="13.15" customHeight="1">
      <c r="E73" s="455" t="s">
        <v>2656</v>
      </c>
      <c r="H73" s="1306"/>
      <c r="I73" s="483" t="s">
        <v>3139</v>
      </c>
      <c r="J73" s="1303"/>
      <c r="K73" s="1342"/>
      <c r="O73" s="826" t="s">
        <v>2859</v>
      </c>
      <c r="Q73" s="1300"/>
      <c r="R73" s="1305"/>
      <c r="S73" s="1301"/>
    </row>
    <row r="74" spans="2:19" s="449" customFormat="1" ht="13.15" customHeight="1">
      <c r="D74" s="498"/>
      <c r="E74" s="455" t="s">
        <v>2865</v>
      </c>
      <c r="H74" s="1300"/>
      <c r="I74" s="1301"/>
      <c r="J74" s="1371"/>
      <c r="K74" s="839" t="s">
        <v>2659</v>
      </c>
      <c r="L74" s="1329"/>
      <c r="M74" s="1342"/>
      <c r="N74" s="457" t="s">
        <v>2864</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3005</v>
      </c>
      <c r="C76" s="452" t="s">
        <v>352</v>
      </c>
      <c r="H76" s="1292"/>
      <c r="I76" s="1341"/>
      <c r="J76" s="1341"/>
      <c r="K76" s="1341"/>
      <c r="L76" s="1341"/>
      <c r="M76" s="1341"/>
      <c r="N76" s="1342"/>
      <c r="O76" s="826" t="s">
        <v>2870</v>
      </c>
      <c r="P76" s="826"/>
      <c r="Q76" s="1292"/>
      <c r="R76" s="1341"/>
      <c r="S76" s="1342"/>
    </row>
    <row r="77" spans="2:19" s="449" customFormat="1" ht="13.15" customHeight="1">
      <c r="D77" s="498"/>
      <c r="E77" s="455" t="s">
        <v>1528</v>
      </c>
      <c r="F77" s="463"/>
      <c r="H77" s="1292"/>
      <c r="I77" s="1341"/>
      <c r="J77" s="1341"/>
      <c r="K77" s="1341"/>
      <c r="L77" s="1341"/>
      <c r="M77" s="1341"/>
      <c r="N77" s="1342"/>
      <c r="O77" s="826" t="s">
        <v>2602</v>
      </c>
      <c r="Q77" s="1292"/>
      <c r="R77" s="1341"/>
      <c r="S77" s="1342"/>
    </row>
    <row r="78" spans="2:19" s="449" customFormat="1" ht="13.15" customHeight="1">
      <c r="D78" s="498"/>
      <c r="E78" s="455" t="s">
        <v>877</v>
      </c>
      <c r="H78" s="1292"/>
      <c r="I78" s="1341"/>
      <c r="J78" s="1342"/>
      <c r="O78" s="826" t="s">
        <v>2660</v>
      </c>
      <c r="Q78" s="1300"/>
      <c r="R78" s="1305"/>
      <c r="S78" s="1301"/>
    </row>
    <row r="79" spans="2:19" s="449" customFormat="1" ht="13.15" customHeight="1">
      <c r="E79" s="455" t="s">
        <v>2656</v>
      </c>
      <c r="H79" s="1306" t="s">
        <v>1338</v>
      </c>
      <c r="I79" s="483" t="s">
        <v>3139</v>
      </c>
      <c r="J79" s="1303"/>
      <c r="K79" s="1342"/>
      <c r="O79" s="826" t="s">
        <v>2859</v>
      </c>
      <c r="Q79" s="1300"/>
      <c r="R79" s="1305"/>
      <c r="S79" s="1301"/>
    </row>
    <row r="80" spans="2:19" s="449" customFormat="1" ht="13.15" customHeight="1">
      <c r="D80" s="498"/>
      <c r="E80" s="455" t="s">
        <v>2865</v>
      </c>
      <c r="H80" s="1300">
        <v>9999999999</v>
      </c>
      <c r="I80" s="1301"/>
      <c r="J80" s="1371"/>
      <c r="K80" s="839" t="s">
        <v>2659</v>
      </c>
      <c r="L80" s="1329"/>
      <c r="M80" s="1342"/>
      <c r="N80" s="457" t="s">
        <v>2864</v>
      </c>
      <c r="O80" s="1307"/>
      <c r="P80" s="1308"/>
      <c r="Q80" s="1308"/>
      <c r="R80" s="1308"/>
      <c r="S80" s="1309"/>
    </row>
    <row r="81" spans="1:19" ht="13.15" customHeight="1"/>
    <row r="82" spans="1:19" s="455" customFormat="1" ht="13.15" customHeight="1">
      <c r="A82" s="456" t="s">
        <v>1139</v>
      </c>
      <c r="B82" s="456" t="s">
        <v>353</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2863</v>
      </c>
      <c r="C84" s="452" t="s">
        <v>354</v>
      </c>
      <c r="H84" s="1292"/>
      <c r="I84" s="1341"/>
      <c r="J84" s="1341"/>
      <c r="K84" s="1341"/>
      <c r="L84" s="1341"/>
      <c r="M84" s="1341"/>
      <c r="N84" s="1342"/>
      <c r="O84" s="826" t="s">
        <v>2870</v>
      </c>
      <c r="P84" s="826"/>
      <c r="Q84" s="1292"/>
      <c r="R84" s="1341"/>
      <c r="S84" s="1342"/>
    </row>
    <row r="85" spans="1:19" s="449" customFormat="1" ht="13.15" customHeight="1">
      <c r="D85" s="498"/>
      <c r="E85" s="455" t="s">
        <v>1528</v>
      </c>
      <c r="F85" s="463"/>
      <c r="H85" s="1292"/>
      <c r="I85" s="1341"/>
      <c r="J85" s="1341"/>
      <c r="K85" s="1341"/>
      <c r="L85" s="1341"/>
      <c r="M85" s="1341"/>
      <c r="N85" s="1342"/>
      <c r="O85" s="826" t="s">
        <v>2602</v>
      </c>
      <c r="Q85" s="1292"/>
      <c r="R85" s="1341"/>
      <c r="S85" s="1342"/>
    </row>
    <row r="86" spans="1:19" s="449" customFormat="1" ht="13.15" customHeight="1">
      <c r="D86" s="498"/>
      <c r="E86" s="455" t="s">
        <v>877</v>
      </c>
      <c r="H86" s="1292"/>
      <c r="I86" s="1341"/>
      <c r="J86" s="1342"/>
      <c r="O86" s="826" t="s">
        <v>2660</v>
      </c>
      <c r="Q86" s="1300"/>
      <c r="R86" s="1305"/>
      <c r="S86" s="1301"/>
    </row>
    <row r="87" spans="1:19" s="449" customFormat="1" ht="13.15" customHeight="1">
      <c r="E87" s="455" t="s">
        <v>2656</v>
      </c>
      <c r="H87" s="1306"/>
      <c r="I87" s="483" t="s">
        <v>3139</v>
      </c>
      <c r="J87" s="1303"/>
      <c r="K87" s="1342"/>
      <c r="O87" s="826" t="s">
        <v>2859</v>
      </c>
      <c r="Q87" s="1300"/>
      <c r="R87" s="1305"/>
      <c r="S87" s="1301"/>
    </row>
    <row r="88" spans="1:19" s="449" customFormat="1" ht="13.15" customHeight="1">
      <c r="D88" s="498"/>
      <c r="E88" s="455" t="s">
        <v>2865</v>
      </c>
      <c r="H88" s="1300"/>
      <c r="I88" s="1301"/>
      <c r="J88" s="1371"/>
      <c r="K88" s="839" t="s">
        <v>2659</v>
      </c>
      <c r="L88" s="1329"/>
      <c r="M88" s="1342"/>
      <c r="N88" s="457" t="s">
        <v>2864</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2866</v>
      </c>
      <c r="C90" s="452" t="s">
        <v>355</v>
      </c>
      <c r="H90" s="1292" t="s">
        <v>4061</v>
      </c>
      <c r="I90" s="1341"/>
      <c r="J90" s="1341"/>
      <c r="K90" s="1341"/>
      <c r="L90" s="1341"/>
      <c r="M90" s="1341"/>
      <c r="N90" s="1342"/>
      <c r="O90" s="826" t="s">
        <v>2870</v>
      </c>
      <c r="P90" s="826"/>
      <c r="Q90" s="1292" t="s">
        <v>3993</v>
      </c>
      <c r="R90" s="1341"/>
      <c r="S90" s="1342"/>
    </row>
    <row r="91" spans="1:19" s="449" customFormat="1" ht="13.15" customHeight="1">
      <c r="D91" s="498"/>
      <c r="E91" s="455" t="s">
        <v>1528</v>
      </c>
      <c r="F91" s="463"/>
      <c r="H91" s="1292" t="s">
        <v>3994</v>
      </c>
      <c r="I91" s="1341"/>
      <c r="J91" s="1341"/>
      <c r="K91" s="1341"/>
      <c r="L91" s="1341"/>
      <c r="M91" s="1341"/>
      <c r="N91" s="1342"/>
      <c r="O91" s="826" t="s">
        <v>2602</v>
      </c>
      <c r="Q91" s="1292" t="s">
        <v>3980</v>
      </c>
      <c r="R91" s="1341"/>
      <c r="S91" s="1342"/>
    </row>
    <row r="92" spans="1:19" s="449" customFormat="1" ht="13.15" customHeight="1">
      <c r="D92" s="498"/>
      <c r="E92" s="455" t="s">
        <v>877</v>
      </c>
      <c r="H92" s="1292" t="s">
        <v>3544</v>
      </c>
      <c r="I92" s="1341"/>
      <c r="J92" s="1342"/>
      <c r="O92" s="826" t="s">
        <v>2660</v>
      </c>
      <c r="Q92" s="1300"/>
      <c r="R92" s="1305"/>
      <c r="S92" s="1301"/>
    </row>
    <row r="93" spans="1:19" s="449" customFormat="1" ht="13.15" customHeight="1">
      <c r="E93" s="455" t="s">
        <v>2656</v>
      </c>
      <c r="H93" s="1306" t="s">
        <v>1910</v>
      </c>
      <c r="I93" s="483" t="s">
        <v>3139</v>
      </c>
      <c r="J93" s="1303">
        <v>652030000</v>
      </c>
      <c r="K93" s="1342"/>
      <c r="O93" s="826" t="s">
        <v>2859</v>
      </c>
      <c r="Q93" s="1300"/>
      <c r="R93" s="1305"/>
      <c r="S93" s="1301"/>
    </row>
    <row r="94" spans="1:19" s="449" customFormat="1" ht="13.15" customHeight="1">
      <c r="D94" s="498"/>
      <c r="E94" s="455" t="s">
        <v>2865</v>
      </c>
      <c r="H94" s="1300">
        <v>5734432021</v>
      </c>
      <c r="I94" s="1301"/>
      <c r="J94" s="1371"/>
      <c r="K94" s="839" t="s">
        <v>2659</v>
      </c>
      <c r="L94" s="1329">
        <v>5734424261</v>
      </c>
      <c r="M94" s="1342"/>
      <c r="N94" s="457" t="s">
        <v>2864</v>
      </c>
      <c r="O94" s="1307" t="s">
        <v>4063</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1146</v>
      </c>
      <c r="C96" s="452" t="s">
        <v>356</v>
      </c>
      <c r="F96" s="472"/>
      <c r="H96" s="1292" t="s">
        <v>3996</v>
      </c>
      <c r="I96" s="1341"/>
      <c r="J96" s="1341"/>
      <c r="K96" s="1341"/>
      <c r="L96" s="1341"/>
      <c r="M96" s="1341"/>
      <c r="N96" s="1342"/>
      <c r="O96" s="826" t="s">
        <v>2870</v>
      </c>
      <c r="P96" s="826"/>
      <c r="Q96" s="1292" t="s">
        <v>3993</v>
      </c>
      <c r="R96" s="1341"/>
      <c r="S96" s="1342"/>
    </row>
    <row r="97" spans="2:19" s="449" customFormat="1" ht="13.15" customHeight="1">
      <c r="D97" s="498"/>
      <c r="E97" s="455" t="s">
        <v>1528</v>
      </c>
      <c r="F97" s="463"/>
      <c r="H97" s="1292" t="s">
        <v>4062</v>
      </c>
      <c r="I97" s="1341"/>
      <c r="J97" s="1341"/>
      <c r="K97" s="1341"/>
      <c r="L97" s="1341"/>
      <c r="M97" s="1341"/>
      <c r="N97" s="1342"/>
      <c r="O97" s="826" t="s">
        <v>2602</v>
      </c>
      <c r="Q97" s="1292" t="s">
        <v>3980</v>
      </c>
      <c r="R97" s="1341"/>
      <c r="S97" s="1342"/>
    </row>
    <row r="98" spans="2:19" s="449" customFormat="1" ht="13.15" customHeight="1">
      <c r="D98" s="498"/>
      <c r="E98" s="455" t="s">
        <v>877</v>
      </c>
      <c r="H98" s="1292" t="s">
        <v>1744</v>
      </c>
      <c r="I98" s="1341"/>
      <c r="J98" s="1342"/>
      <c r="O98" s="826" t="s">
        <v>2660</v>
      </c>
      <c r="Q98" s="1300"/>
      <c r="R98" s="1305"/>
      <c r="S98" s="1301"/>
    </row>
    <row r="99" spans="2:19" s="449" customFormat="1" ht="13.15" customHeight="1">
      <c r="D99" s="498"/>
      <c r="E99" s="455" t="s">
        <v>2656</v>
      </c>
      <c r="H99" s="1306" t="s">
        <v>1338</v>
      </c>
      <c r="I99" s="483" t="s">
        <v>3139</v>
      </c>
      <c r="J99" s="1303">
        <v>303270000</v>
      </c>
      <c r="K99" s="1342"/>
      <c r="O99" s="826" t="s">
        <v>2859</v>
      </c>
      <c r="Q99" s="1300"/>
      <c r="R99" s="1305"/>
      <c r="S99" s="1301"/>
    </row>
    <row r="100" spans="2:19" s="449" customFormat="1" ht="13.15" customHeight="1">
      <c r="D100" s="498"/>
      <c r="E100" s="455" t="s">
        <v>2865</v>
      </c>
      <c r="H100" s="1300">
        <v>5734432021</v>
      </c>
      <c r="I100" s="1301"/>
      <c r="J100" s="1371"/>
      <c r="K100" s="839" t="s">
        <v>2659</v>
      </c>
      <c r="L100" s="1329">
        <v>5734432725</v>
      </c>
      <c r="M100" s="1342"/>
      <c r="N100" s="457" t="s">
        <v>2864</v>
      </c>
      <c r="O100" s="1307" t="s">
        <v>4064</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3005</v>
      </c>
      <c r="C102" s="452" t="s">
        <v>357</v>
      </c>
      <c r="H102" s="1292" t="s">
        <v>3997</v>
      </c>
      <c r="I102" s="1341"/>
      <c r="J102" s="1341"/>
      <c r="K102" s="1341"/>
      <c r="L102" s="1341"/>
      <c r="M102" s="1341"/>
      <c r="N102" s="1342"/>
      <c r="O102" s="826" t="s">
        <v>2870</v>
      </c>
      <c r="P102" s="826"/>
      <c r="Q102" s="1292" t="s">
        <v>3998</v>
      </c>
      <c r="R102" s="1341"/>
      <c r="S102" s="1342"/>
    </row>
    <row r="103" spans="2:19" s="449" customFormat="1" ht="13.15" customHeight="1">
      <c r="D103" s="498"/>
      <c r="E103" s="455" t="s">
        <v>1528</v>
      </c>
      <c r="F103" s="463"/>
      <c r="H103" s="1292" t="s">
        <v>4000</v>
      </c>
      <c r="I103" s="1341"/>
      <c r="J103" s="1341"/>
      <c r="K103" s="1341"/>
      <c r="L103" s="1341"/>
      <c r="M103" s="1341"/>
      <c r="N103" s="1342"/>
      <c r="O103" s="826" t="s">
        <v>2602</v>
      </c>
      <c r="Q103" s="1292" t="s">
        <v>3999</v>
      </c>
      <c r="R103" s="1341"/>
      <c r="S103" s="1342"/>
    </row>
    <row r="104" spans="2:19" s="449" customFormat="1" ht="13.15" customHeight="1">
      <c r="D104" s="498"/>
      <c r="E104" s="455" t="s">
        <v>877</v>
      </c>
      <c r="H104" s="1292" t="s">
        <v>1744</v>
      </c>
      <c r="I104" s="1341"/>
      <c r="J104" s="1342"/>
      <c r="O104" s="826" t="s">
        <v>2660</v>
      </c>
      <c r="Q104" s="1300">
        <v>4049264182</v>
      </c>
      <c r="R104" s="1305"/>
      <c r="S104" s="1301"/>
    </row>
    <row r="105" spans="2:19" s="449" customFormat="1" ht="13.15" customHeight="1">
      <c r="D105" s="498"/>
      <c r="E105" s="455" t="s">
        <v>2656</v>
      </c>
      <c r="H105" s="1306" t="s">
        <v>1338</v>
      </c>
      <c r="I105" s="483" t="s">
        <v>3139</v>
      </c>
      <c r="J105" s="1303">
        <v>303261053</v>
      </c>
      <c r="K105" s="1342"/>
      <c r="O105" s="826" t="s">
        <v>2859</v>
      </c>
      <c r="Q105" s="1300"/>
      <c r="R105" s="1305"/>
      <c r="S105" s="1301"/>
    </row>
    <row r="106" spans="2:19" ht="13.15" customHeight="1">
      <c r="E106" s="455" t="s">
        <v>2865</v>
      </c>
      <c r="F106" s="449"/>
      <c r="G106" s="449"/>
      <c r="H106" s="1300"/>
      <c r="I106" s="1301"/>
      <c r="J106" s="1371"/>
      <c r="K106" s="839" t="s">
        <v>2659</v>
      </c>
      <c r="L106" s="1329">
        <v>4049953851</v>
      </c>
      <c r="M106" s="1342"/>
      <c r="N106" s="457" t="s">
        <v>2864</v>
      </c>
      <c r="O106" s="1307" t="s">
        <v>4071</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2589</v>
      </c>
      <c r="C109" s="452" t="s">
        <v>358</v>
      </c>
      <c r="H109" s="1292" t="s">
        <v>4001</v>
      </c>
      <c r="I109" s="1341"/>
      <c r="J109" s="1341"/>
      <c r="K109" s="1341"/>
      <c r="L109" s="1341"/>
      <c r="M109" s="1341"/>
      <c r="N109" s="1342"/>
      <c r="O109" s="826" t="s">
        <v>2870</v>
      </c>
      <c r="P109" s="826"/>
      <c r="Q109" s="1292" t="s">
        <v>4002</v>
      </c>
      <c r="R109" s="1341"/>
      <c r="S109" s="1342"/>
    </row>
    <row r="110" spans="2:19" s="449" customFormat="1" ht="13.15" customHeight="1">
      <c r="D110" s="498"/>
      <c r="E110" s="455" t="s">
        <v>1528</v>
      </c>
      <c r="F110" s="463"/>
      <c r="H110" s="1292" t="s">
        <v>4004</v>
      </c>
      <c r="I110" s="1341"/>
      <c r="J110" s="1341"/>
      <c r="K110" s="1341"/>
      <c r="L110" s="1341"/>
      <c r="M110" s="1341"/>
      <c r="N110" s="1342"/>
      <c r="O110" s="826" t="s">
        <v>2602</v>
      </c>
      <c r="Q110" s="1292" t="s">
        <v>3999</v>
      </c>
      <c r="R110" s="1341"/>
      <c r="S110" s="1342"/>
    </row>
    <row r="111" spans="2:19" s="449" customFormat="1" ht="13.15" customHeight="1">
      <c r="D111" s="498"/>
      <c r="E111" s="455" t="s">
        <v>877</v>
      </c>
      <c r="H111" s="1292" t="s">
        <v>1744</v>
      </c>
      <c r="I111" s="1341"/>
      <c r="J111" s="1342"/>
      <c r="O111" s="826" t="s">
        <v>2660</v>
      </c>
      <c r="Q111" s="1300">
        <v>4048988245</v>
      </c>
      <c r="R111" s="1305"/>
      <c r="S111" s="1301"/>
    </row>
    <row r="112" spans="2:19" s="449" customFormat="1" ht="13.15" customHeight="1">
      <c r="D112" s="498"/>
      <c r="E112" s="455" t="s">
        <v>2656</v>
      </c>
      <c r="H112" s="1306" t="s">
        <v>1338</v>
      </c>
      <c r="I112" s="483" t="s">
        <v>3139</v>
      </c>
      <c r="J112" s="1303">
        <v>303286132</v>
      </c>
      <c r="K112" s="1342"/>
      <c r="O112" s="826" t="s">
        <v>2859</v>
      </c>
      <c r="Q112" s="1300"/>
      <c r="R112" s="1305"/>
      <c r="S112" s="1301"/>
    </row>
    <row r="113" spans="1:19" ht="13.15" customHeight="1">
      <c r="E113" s="455" t="s">
        <v>2865</v>
      </c>
      <c r="F113" s="449"/>
      <c r="G113" s="449"/>
      <c r="H113" s="1300">
        <v>4048929651</v>
      </c>
      <c r="I113" s="1301"/>
      <c r="J113" s="1371"/>
      <c r="K113" s="839" t="s">
        <v>2659</v>
      </c>
      <c r="L113" s="1329"/>
      <c r="M113" s="1342"/>
      <c r="N113" s="457" t="s">
        <v>2864</v>
      </c>
      <c r="O113" s="1307" t="s">
        <v>4003</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2590</v>
      </c>
      <c r="C115" s="452" t="s">
        <v>359</v>
      </c>
      <c r="H115" s="1292" t="s">
        <v>4005</v>
      </c>
      <c r="I115" s="1341"/>
      <c r="J115" s="1341"/>
      <c r="K115" s="1341"/>
      <c r="L115" s="1341"/>
      <c r="M115" s="1341"/>
      <c r="N115" s="1342"/>
      <c r="O115" s="826" t="s">
        <v>2870</v>
      </c>
      <c r="P115" s="826"/>
      <c r="Q115" s="1292" t="s">
        <v>4006</v>
      </c>
      <c r="R115" s="1341"/>
      <c r="S115" s="1342"/>
    </row>
    <row r="116" spans="1:19" s="449" customFormat="1" ht="13.15" customHeight="1">
      <c r="D116" s="498"/>
      <c r="E116" s="455" t="s">
        <v>1528</v>
      </c>
      <c r="F116" s="463"/>
      <c r="H116" s="1292" t="s">
        <v>4009</v>
      </c>
      <c r="I116" s="1341"/>
      <c r="J116" s="1341"/>
      <c r="K116" s="1341"/>
      <c r="L116" s="1341"/>
      <c r="M116" s="1341"/>
      <c r="N116" s="1342"/>
      <c r="O116" s="826" t="s">
        <v>2602</v>
      </c>
      <c r="Q116" s="1292" t="s">
        <v>4007</v>
      </c>
      <c r="R116" s="1341"/>
      <c r="S116" s="1342"/>
    </row>
    <row r="117" spans="1:19" s="449" customFormat="1" ht="13.15" customHeight="1">
      <c r="D117" s="498"/>
      <c r="E117" s="455" t="s">
        <v>877</v>
      </c>
      <c r="H117" s="1292" t="s">
        <v>1744</v>
      </c>
      <c r="I117" s="1341"/>
      <c r="J117" s="1342"/>
      <c r="O117" s="826" t="s">
        <v>2660</v>
      </c>
      <c r="Q117" s="1300">
        <v>4045841686</v>
      </c>
      <c r="R117" s="1305"/>
      <c r="S117" s="1301"/>
    </row>
    <row r="118" spans="1:19" s="449" customFormat="1" ht="13.15" customHeight="1">
      <c r="D118" s="503"/>
      <c r="E118" s="455" t="s">
        <v>2656</v>
      </c>
      <c r="H118" s="1306" t="s">
        <v>1338</v>
      </c>
      <c r="I118" s="483" t="s">
        <v>3139</v>
      </c>
      <c r="J118" s="1303">
        <v>303031224</v>
      </c>
      <c r="K118" s="1342"/>
      <c r="O118" s="826" t="s">
        <v>2859</v>
      </c>
      <c r="Q118" s="1300">
        <v>7708338297</v>
      </c>
      <c r="R118" s="1305"/>
      <c r="S118" s="1301"/>
    </row>
    <row r="119" spans="1:19" s="449" customFormat="1" ht="13.15" customHeight="1">
      <c r="D119" s="503"/>
      <c r="E119" s="455" t="s">
        <v>2865</v>
      </c>
      <c r="H119" s="1300">
        <v>4045841680</v>
      </c>
      <c r="I119" s="1301"/>
      <c r="J119" s="1371"/>
      <c r="K119" s="839" t="s">
        <v>2659</v>
      </c>
      <c r="L119" s="1329"/>
      <c r="M119" s="1342"/>
      <c r="N119" s="457" t="s">
        <v>2864</v>
      </c>
      <c r="O119" s="1307" t="s">
        <v>4008</v>
      </c>
      <c r="P119" s="1308"/>
      <c r="Q119" s="1308"/>
      <c r="R119" s="1308"/>
      <c r="S119" s="1309"/>
    </row>
    <row r="120" spans="1:19" ht="13.15" customHeight="1"/>
    <row r="121" spans="1:19" s="449" customFormat="1" ht="13.15" customHeight="1">
      <c r="A121" s="452" t="s">
        <v>2649</v>
      </c>
      <c r="B121" s="452" t="s">
        <v>3644</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900</v>
      </c>
      <c r="B123" s="1377"/>
      <c r="C123" s="1377"/>
      <c r="D123" s="1378"/>
      <c r="E123" s="949" t="s">
        <v>3309</v>
      </c>
      <c r="F123" s="924" t="s">
        <v>3302</v>
      </c>
      <c r="G123" s="917" t="s">
        <v>3303</v>
      </c>
      <c r="H123" s="928"/>
      <c r="I123" s="929"/>
      <c r="J123" s="917" t="s">
        <v>3304</v>
      </c>
      <c r="K123" s="935"/>
      <c r="L123" s="917" t="s">
        <v>3305</v>
      </c>
      <c r="M123" s="940"/>
      <c r="N123" s="917" t="s">
        <v>3306</v>
      </c>
      <c r="O123" s="929"/>
      <c r="P123" s="917" t="s">
        <v>3307</v>
      </c>
      <c r="Q123" s="929"/>
      <c r="R123" s="917" t="s">
        <v>3308</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3301</v>
      </c>
      <c r="B128" s="835"/>
      <c r="C128" s="835"/>
      <c r="D128" s="836"/>
      <c r="E128" s="1385" t="s">
        <v>3983</v>
      </c>
      <c r="F128" s="1385" t="s">
        <v>3983</v>
      </c>
      <c r="G128" s="1386" t="s">
        <v>3983</v>
      </c>
      <c r="H128" s="1387"/>
      <c r="I128" s="1388"/>
      <c r="J128" s="1386" t="s">
        <v>3983</v>
      </c>
      <c r="K128" s="1388"/>
      <c r="L128" s="1386" t="s">
        <v>3983</v>
      </c>
      <c r="M128" s="1388"/>
      <c r="N128" s="1386" t="s">
        <v>3983</v>
      </c>
      <c r="O128" s="1388"/>
      <c r="P128" s="1389" t="s">
        <v>3640</v>
      </c>
      <c r="Q128" s="1390"/>
      <c r="R128" s="1391">
        <v>1E-4</v>
      </c>
      <c r="S128" s="1392"/>
    </row>
    <row r="129" spans="1:19" s="449" customFormat="1" ht="13.9" customHeight="1">
      <c r="A129" s="832" t="s">
        <v>3291</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3292</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3293</v>
      </c>
      <c r="B131" s="833"/>
      <c r="C131" s="833"/>
      <c r="D131" s="837"/>
      <c r="E131" s="1393" t="s">
        <v>3983</v>
      </c>
      <c r="F131" s="1393" t="s">
        <v>3983</v>
      </c>
      <c r="G131" s="1394" t="s">
        <v>3983</v>
      </c>
      <c r="H131" s="1395"/>
      <c r="I131" s="1396"/>
      <c r="J131" s="1394" t="s">
        <v>3984</v>
      </c>
      <c r="K131" s="1396"/>
      <c r="L131" s="1394" t="s">
        <v>3983</v>
      </c>
      <c r="M131" s="1396"/>
      <c r="N131" s="1394" t="s">
        <v>3983</v>
      </c>
      <c r="O131" s="1396"/>
      <c r="P131" s="1397" t="s">
        <v>4010</v>
      </c>
      <c r="Q131" s="1398"/>
      <c r="R131" s="1399">
        <v>0.9899</v>
      </c>
      <c r="S131" s="1400"/>
    </row>
    <row r="132" spans="1:19" s="449" customFormat="1" ht="13.9" customHeight="1">
      <c r="A132" s="832" t="s">
        <v>3294</v>
      </c>
      <c r="B132" s="833"/>
      <c r="C132" s="833"/>
      <c r="D132" s="837"/>
      <c r="E132" s="1393" t="s">
        <v>3983</v>
      </c>
      <c r="F132" s="1393" t="s">
        <v>3983</v>
      </c>
      <c r="G132" s="1394" t="s">
        <v>3983</v>
      </c>
      <c r="H132" s="1395"/>
      <c r="I132" s="1396"/>
      <c r="J132" s="1394" t="s">
        <v>3984</v>
      </c>
      <c r="K132" s="1396"/>
      <c r="L132" s="1394" t="s">
        <v>3983</v>
      </c>
      <c r="M132" s="1396"/>
      <c r="N132" s="1394" t="s">
        <v>3983</v>
      </c>
      <c r="O132" s="1396"/>
      <c r="P132" s="1397" t="s">
        <v>4010</v>
      </c>
      <c r="Q132" s="1398"/>
      <c r="R132" s="1399">
        <v>0.01</v>
      </c>
      <c r="S132" s="1400"/>
    </row>
    <row r="133" spans="1:19" s="449" customFormat="1" ht="13.9" customHeight="1">
      <c r="A133" s="832" t="s">
        <v>3295</v>
      </c>
      <c r="B133" s="833"/>
      <c r="C133" s="833"/>
      <c r="D133" s="837"/>
      <c r="E133" s="1393" t="s">
        <v>3983</v>
      </c>
      <c r="F133" s="1393" t="s">
        <v>3983</v>
      </c>
      <c r="G133" s="1394" t="s">
        <v>3983</v>
      </c>
      <c r="H133" s="1395"/>
      <c r="I133" s="1396"/>
      <c r="J133" s="1394" t="s">
        <v>3983</v>
      </c>
      <c r="K133" s="1396"/>
      <c r="L133" s="1394" t="s">
        <v>3983</v>
      </c>
      <c r="M133" s="1396"/>
      <c r="N133" s="1394" t="s">
        <v>3983</v>
      </c>
      <c r="O133" s="1396"/>
      <c r="P133" s="1397" t="s">
        <v>3640</v>
      </c>
      <c r="Q133" s="1398"/>
      <c r="R133" s="1399"/>
      <c r="S133" s="1400"/>
    </row>
    <row r="134" spans="1:19" s="449" customFormat="1" ht="13.9" customHeight="1">
      <c r="A134" s="832" t="s">
        <v>919</v>
      </c>
      <c r="B134" s="833"/>
      <c r="C134" s="833"/>
      <c r="D134" s="837"/>
      <c r="E134" s="1393" t="s">
        <v>3983</v>
      </c>
      <c r="F134" s="1393" t="s">
        <v>3983</v>
      </c>
      <c r="G134" s="1394" t="s">
        <v>3983</v>
      </c>
      <c r="H134" s="1395"/>
      <c r="I134" s="1396"/>
      <c r="J134" s="1394" t="s">
        <v>3983</v>
      </c>
      <c r="K134" s="1396"/>
      <c r="L134" s="1394" t="s">
        <v>3983</v>
      </c>
      <c r="M134" s="1396"/>
      <c r="N134" s="1394" t="s">
        <v>3983</v>
      </c>
      <c r="O134" s="1396"/>
      <c r="P134" s="1397" t="s">
        <v>3640</v>
      </c>
      <c r="Q134" s="1398"/>
      <c r="R134" s="1399"/>
      <c r="S134" s="1400"/>
    </row>
    <row r="135" spans="1:19" s="449" customFormat="1" ht="13.9" customHeight="1">
      <c r="A135" s="832" t="s">
        <v>3296</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3297</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3298</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3299</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2131</v>
      </c>
      <c r="B139" s="833"/>
      <c r="C139" s="833"/>
      <c r="D139" s="837"/>
      <c r="E139" s="1393" t="s">
        <v>3983</v>
      </c>
      <c r="F139" s="1393" t="s">
        <v>3983</v>
      </c>
      <c r="G139" s="1394" t="s">
        <v>3983</v>
      </c>
      <c r="H139" s="1395"/>
      <c r="I139" s="1396"/>
      <c r="J139" s="1394" t="s">
        <v>3984</v>
      </c>
      <c r="K139" s="1396"/>
      <c r="L139" s="1394" t="s">
        <v>3983</v>
      </c>
      <c r="M139" s="1396"/>
      <c r="N139" s="1394" t="s">
        <v>3983</v>
      </c>
      <c r="O139" s="1396"/>
      <c r="P139" s="1397" t="s">
        <v>4010</v>
      </c>
      <c r="Q139" s="1398"/>
      <c r="R139" s="1399"/>
      <c r="S139" s="1400"/>
    </row>
    <row r="140" spans="1:19" s="449" customFormat="1" ht="13.9" customHeight="1">
      <c r="A140" s="841" t="s">
        <v>3300</v>
      </c>
      <c r="B140" s="842"/>
      <c r="C140" s="842"/>
      <c r="D140" s="504"/>
      <c r="E140" s="1401" t="s">
        <v>3983</v>
      </c>
      <c r="F140" s="1401" t="s">
        <v>3983</v>
      </c>
      <c r="G140" s="1402" t="s">
        <v>3983</v>
      </c>
      <c r="H140" s="1403"/>
      <c r="I140" s="1404"/>
      <c r="J140" s="1402" t="s">
        <v>3984</v>
      </c>
      <c r="K140" s="1404"/>
      <c r="L140" s="1402" t="s">
        <v>3983</v>
      </c>
      <c r="M140" s="1404"/>
      <c r="N140" s="1402" t="s">
        <v>3983</v>
      </c>
      <c r="O140" s="1404"/>
      <c r="P140" s="1405" t="s">
        <v>4010</v>
      </c>
      <c r="Q140" s="1406"/>
      <c r="R140" s="1407"/>
      <c r="S140" s="1408"/>
    </row>
    <row r="141" spans="1:19" s="833" customFormat="1" ht="13.9" customHeight="1">
      <c r="G141" s="461"/>
      <c r="H141" s="461"/>
      <c r="I141" s="461"/>
      <c r="J141" s="839"/>
      <c r="K141" s="839"/>
      <c r="L141" s="839"/>
      <c r="M141" s="839"/>
      <c r="P141" s="459"/>
      <c r="Q141" s="479" t="s">
        <v>776</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2651</v>
      </c>
      <c r="B143" s="496"/>
      <c r="C143" s="481" t="s">
        <v>816</v>
      </c>
      <c r="N143" s="481" t="s">
        <v>766</v>
      </c>
      <c r="O143" s="481" t="s">
        <v>85</v>
      </c>
    </row>
    <row r="144" spans="1:19" ht="3.6" customHeight="1">
      <c r="B144" s="496"/>
    </row>
    <row r="145" spans="1:24" ht="90" customHeight="1">
      <c r="A145" s="1360" t="s">
        <v>4017</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2656</v>
      </c>
    </row>
    <row r="151" spans="1:24" s="449" customFormat="1" ht="12" customHeight="1">
      <c r="A151" s="498"/>
      <c r="B151" s="472"/>
      <c r="C151" s="472"/>
      <c r="D151" s="472"/>
      <c r="E151" s="472"/>
      <c r="F151" s="472"/>
      <c r="G151" s="472"/>
      <c r="H151" s="472"/>
      <c r="I151" s="472"/>
      <c r="J151" s="472"/>
      <c r="K151" s="472"/>
      <c r="L151" s="472"/>
      <c r="M151" s="472"/>
      <c r="N151" s="472"/>
      <c r="O151" s="472"/>
      <c r="P151" s="497" t="s">
        <v>1328</v>
      </c>
    </row>
    <row r="152" spans="1:24" s="449" customFormat="1" ht="12" customHeight="1">
      <c r="A152" s="498"/>
      <c r="B152" s="472"/>
      <c r="C152" s="472"/>
      <c r="D152" s="472"/>
      <c r="E152" s="472"/>
      <c r="F152" s="472"/>
      <c r="G152" s="472"/>
      <c r="H152" s="472"/>
      <c r="I152" s="472"/>
      <c r="J152" s="472"/>
      <c r="K152" s="472"/>
      <c r="L152" s="472"/>
      <c r="M152" s="472"/>
      <c r="N152" s="472"/>
      <c r="O152" s="472"/>
      <c r="P152" s="497" t="s">
        <v>1329</v>
      </c>
    </row>
    <row r="153" spans="1:24" s="449" customFormat="1" ht="12" customHeight="1">
      <c r="A153" s="498"/>
      <c r="B153" s="472"/>
      <c r="C153" s="472"/>
      <c r="D153" s="472"/>
      <c r="E153" s="472"/>
      <c r="F153" s="472"/>
      <c r="G153" s="472"/>
      <c r="H153" s="472"/>
      <c r="I153" s="472"/>
      <c r="J153" s="472"/>
      <c r="K153" s="472"/>
      <c r="L153" s="472"/>
      <c r="M153" s="472"/>
      <c r="N153" s="472"/>
      <c r="O153" s="472"/>
      <c r="P153" s="497" t="s">
        <v>1330</v>
      </c>
    </row>
    <row r="154" spans="1:24" s="449" customFormat="1" ht="12" customHeight="1">
      <c r="A154" s="846"/>
      <c r="B154" s="472"/>
      <c r="C154" s="472"/>
      <c r="D154" s="472"/>
      <c r="E154" s="472"/>
      <c r="F154" s="472"/>
      <c r="G154" s="472"/>
      <c r="H154" s="472"/>
      <c r="I154" s="472"/>
      <c r="J154" s="472"/>
      <c r="K154" s="472"/>
      <c r="L154" s="472"/>
      <c r="M154" s="472"/>
      <c r="N154" s="472"/>
      <c r="O154" s="472"/>
      <c r="P154" s="497" t="s">
        <v>1331</v>
      </c>
    </row>
    <row r="155" spans="1:24" s="449" customFormat="1" ht="12" customHeight="1">
      <c r="B155" s="472"/>
      <c r="C155" s="472"/>
      <c r="D155" s="472"/>
      <c r="E155" s="472"/>
      <c r="F155" s="472"/>
      <c r="G155" s="472"/>
      <c r="H155" s="472"/>
      <c r="I155" s="472"/>
      <c r="J155" s="472"/>
      <c r="K155" s="472"/>
      <c r="L155" s="472"/>
      <c r="M155" s="472"/>
      <c r="N155" s="472"/>
      <c r="O155" s="472"/>
      <c r="P155" s="497" t="s">
        <v>1332</v>
      </c>
    </row>
    <row r="156" spans="1:24" s="449" customFormat="1" ht="12" customHeight="1">
      <c r="B156" s="472"/>
      <c r="C156" s="472"/>
      <c r="D156" s="472"/>
      <c r="E156" s="472"/>
      <c r="F156" s="472"/>
      <c r="G156" s="472"/>
      <c r="H156" s="472"/>
      <c r="I156" s="472"/>
      <c r="J156" s="472"/>
      <c r="K156" s="472"/>
      <c r="L156" s="472"/>
      <c r="M156" s="472"/>
      <c r="N156" s="472"/>
      <c r="O156" s="472"/>
      <c r="P156" s="497" t="s">
        <v>1333</v>
      </c>
    </row>
    <row r="157" spans="1:24" s="449" customFormat="1" ht="12" customHeight="1">
      <c r="B157" s="472"/>
      <c r="C157" s="472"/>
      <c r="D157" s="472"/>
      <c r="E157" s="472"/>
      <c r="F157" s="472"/>
      <c r="G157" s="472"/>
      <c r="H157" s="472"/>
      <c r="I157" s="472"/>
      <c r="J157" s="472"/>
      <c r="K157" s="472"/>
      <c r="L157" s="472"/>
      <c r="M157" s="472"/>
      <c r="N157" s="472"/>
      <c r="O157" s="472"/>
      <c r="P157" s="497" t="s">
        <v>1334</v>
      </c>
    </row>
    <row r="158" spans="1:24" s="449" customFormat="1" ht="12" customHeight="1">
      <c r="B158" s="472"/>
      <c r="C158" s="472"/>
      <c r="D158" s="472"/>
      <c r="E158" s="472"/>
      <c r="F158" s="472"/>
      <c r="G158" s="472"/>
      <c r="H158" s="472"/>
      <c r="I158" s="472"/>
      <c r="J158" s="472"/>
      <c r="K158" s="472"/>
      <c r="L158" s="472"/>
      <c r="M158" s="472"/>
      <c r="N158" s="472"/>
      <c r="O158" s="472"/>
      <c r="P158" s="497" t="s">
        <v>1335</v>
      </c>
    </row>
    <row r="159" spans="1:24" ht="12" customHeight="1">
      <c r="P159" s="497" t="s">
        <v>1336</v>
      </c>
    </row>
    <row r="160" spans="1:24" ht="12" customHeight="1">
      <c r="A160" s="481"/>
      <c r="P160" s="497" t="s">
        <v>1337</v>
      </c>
    </row>
    <row r="161" spans="16:16" ht="12" customHeight="1">
      <c r="P161" s="497" t="s">
        <v>1338</v>
      </c>
    </row>
    <row r="162" spans="16:16" ht="12" customHeight="1">
      <c r="P162" s="497" t="s">
        <v>1339</v>
      </c>
    </row>
    <row r="163" spans="16:16" ht="12" customHeight="1">
      <c r="P163" s="497" t="s">
        <v>1340</v>
      </c>
    </row>
    <row r="164" spans="16:16" ht="12" customHeight="1">
      <c r="P164" s="497" t="s">
        <v>1341</v>
      </c>
    </row>
    <row r="165" spans="16:16" ht="12" customHeight="1">
      <c r="P165" s="497" t="s">
        <v>1342</v>
      </c>
    </row>
    <row r="166" spans="16:16" ht="12" customHeight="1">
      <c r="P166" s="497" t="s">
        <v>1343</v>
      </c>
    </row>
    <row r="167" spans="16:16" ht="12" customHeight="1">
      <c r="P167" s="497" t="s">
        <v>1344</v>
      </c>
    </row>
    <row r="168" spans="16:16" ht="12" customHeight="1">
      <c r="P168" s="497" t="s">
        <v>1345</v>
      </c>
    </row>
    <row r="169" spans="16:16" ht="12" customHeight="1">
      <c r="P169" s="497" t="s">
        <v>1346</v>
      </c>
    </row>
    <row r="170" spans="16:16" ht="12" customHeight="1">
      <c r="P170" s="497" t="s">
        <v>1347</v>
      </c>
    </row>
    <row r="171" spans="16:16" ht="12" customHeight="1">
      <c r="P171" s="497" t="s">
        <v>1348</v>
      </c>
    </row>
    <row r="172" spans="16:16" ht="12" customHeight="1">
      <c r="P172" s="497" t="s">
        <v>1349</v>
      </c>
    </row>
    <row r="173" spans="16:16" ht="12" customHeight="1">
      <c r="P173" s="497" t="s">
        <v>1350</v>
      </c>
    </row>
    <row r="174" spans="16:16" ht="12" customHeight="1">
      <c r="P174" s="497" t="s">
        <v>1351</v>
      </c>
    </row>
    <row r="175" spans="16:16" ht="12" customHeight="1">
      <c r="P175" s="497" t="s">
        <v>1352</v>
      </c>
    </row>
    <row r="176" spans="16:16" ht="12" customHeight="1">
      <c r="P176" s="497" t="s">
        <v>1910</v>
      </c>
    </row>
    <row r="177" spans="16:16" ht="12" customHeight="1">
      <c r="P177" s="497" t="s">
        <v>1911</v>
      </c>
    </row>
    <row r="178" spans="16:16" ht="12" customHeight="1">
      <c r="P178" s="497" t="s">
        <v>1912</v>
      </c>
    </row>
    <row r="179" spans="16:16" ht="12" customHeight="1">
      <c r="P179" s="497" t="s">
        <v>1913</v>
      </c>
    </row>
    <row r="180" spans="16:16" ht="12" customHeight="1">
      <c r="P180" s="497" t="s">
        <v>1914</v>
      </c>
    </row>
    <row r="181" spans="16:16" ht="13.5">
      <c r="P181" s="497" t="s">
        <v>1915</v>
      </c>
    </row>
    <row r="182" spans="16:16" ht="12" customHeight="1">
      <c r="P182" s="497" t="s">
        <v>1916</v>
      </c>
    </row>
    <row r="183" spans="16:16" ht="12" customHeight="1">
      <c r="P183" s="497" t="s">
        <v>1917</v>
      </c>
    </row>
    <row r="184" spans="16:16" ht="12" customHeight="1">
      <c r="P184" s="497" t="s">
        <v>1918</v>
      </c>
    </row>
    <row r="185" spans="16:16" ht="12" customHeight="1">
      <c r="P185" s="497" t="s">
        <v>1919</v>
      </c>
    </row>
    <row r="186" spans="16:16" ht="12" customHeight="1">
      <c r="P186" s="497" t="s">
        <v>1920</v>
      </c>
    </row>
    <row r="187" spans="16:16" ht="12" customHeight="1">
      <c r="P187" s="497" t="s">
        <v>1921</v>
      </c>
    </row>
    <row r="188" spans="16:16" ht="12" customHeight="1">
      <c r="P188" s="497" t="s">
        <v>1922</v>
      </c>
    </row>
    <row r="189" spans="16:16" ht="12" customHeight="1">
      <c r="P189" s="497" t="s">
        <v>1923</v>
      </c>
    </row>
    <row r="190" spans="16:16" ht="12" customHeight="1">
      <c r="P190" s="497" t="s">
        <v>1924</v>
      </c>
    </row>
    <row r="191" spans="16:16" ht="12" customHeight="1">
      <c r="P191" s="497" t="s">
        <v>1925</v>
      </c>
    </row>
    <row r="192" spans="16:16" ht="12" customHeight="1">
      <c r="P192" s="497" t="s">
        <v>1926</v>
      </c>
    </row>
    <row r="193" spans="16:16" ht="12" customHeight="1">
      <c r="P193" s="497" t="s">
        <v>1927</v>
      </c>
    </row>
    <row r="194" spans="16:16" ht="12" customHeight="1">
      <c r="P194" s="497" t="s">
        <v>1928</v>
      </c>
    </row>
    <row r="195" spans="16:16" ht="12" customHeight="1">
      <c r="P195" s="497" t="s">
        <v>1929</v>
      </c>
    </row>
    <row r="196" spans="16:16" ht="12" customHeight="1">
      <c r="P196" s="497" t="s">
        <v>1930</v>
      </c>
    </row>
    <row r="197" spans="16:16" ht="12" customHeight="1">
      <c r="P197" s="497" t="s">
        <v>1931</v>
      </c>
    </row>
    <row r="198" spans="16:16" ht="12" customHeight="1">
      <c r="P198" s="497" t="s">
        <v>1932</v>
      </c>
    </row>
    <row r="199" spans="16:16" ht="12" customHeight="1">
      <c r="P199" s="497" t="s">
        <v>1933</v>
      </c>
    </row>
    <row r="200" spans="16:16" ht="12" customHeight="1">
      <c r="P200" s="497" t="s">
        <v>1934</v>
      </c>
    </row>
    <row r="201" spans="16:16" ht="12" customHeight="1">
      <c r="P201" s="497" t="s">
        <v>1935</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2012-056 Silver Comet Senior Village, Powder Springs, Cobb County</v>
      </c>
      <c r="B1" s="946"/>
      <c r="C1" s="946"/>
      <c r="D1" s="946"/>
      <c r="E1" s="946"/>
      <c r="F1" s="946"/>
      <c r="G1" s="946"/>
      <c r="H1" s="946"/>
      <c r="I1" s="946"/>
      <c r="J1" s="946"/>
      <c r="K1" s="946"/>
      <c r="L1" s="946"/>
      <c r="M1" s="946"/>
      <c r="N1" s="946"/>
      <c r="O1" s="946"/>
      <c r="P1" s="946"/>
      <c r="Q1" s="947"/>
      <c r="S1" s="953" t="str">
        <f>$A$1</f>
        <v>PART THREE - SOURCES OF FUNDS  -  2012-056 Silver Comet Senior Village, Powder Springs, Cobb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874</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3866</v>
      </c>
      <c r="T4" s="954"/>
    </row>
    <row r="5" spans="1:20" s="397" customFormat="1" ht="16.899999999999999" customHeight="1">
      <c r="A5" s="846"/>
      <c r="B5" s="1306" t="s">
        <v>3984</v>
      </c>
      <c r="C5" s="826" t="s">
        <v>3393</v>
      </c>
      <c r="D5" s="449"/>
      <c r="E5" s="1306"/>
      <c r="F5" s="829" t="s">
        <v>2495</v>
      </c>
      <c r="G5" s="449"/>
      <c r="J5" s="1410"/>
      <c r="K5" s="1411"/>
      <c r="M5" s="1306"/>
      <c r="N5" s="826" t="s">
        <v>787</v>
      </c>
      <c r="P5" s="1306"/>
      <c r="Q5" s="956" t="s">
        <v>3656</v>
      </c>
      <c r="S5" s="1412"/>
      <c r="T5" s="1413"/>
    </row>
    <row r="6" spans="1:20" s="397" customFormat="1" ht="16.899999999999999" customHeight="1">
      <c r="A6" s="846"/>
      <c r="B6" s="1306"/>
      <c r="C6" s="826" t="s">
        <v>2661</v>
      </c>
      <c r="D6" s="449"/>
      <c r="E6" s="1306"/>
      <c r="F6" s="829" t="s">
        <v>3100</v>
      </c>
      <c r="H6" s="1306"/>
      <c r="I6" s="833" t="s">
        <v>788</v>
      </c>
      <c r="J6" s="1306"/>
      <c r="K6" s="833" t="s">
        <v>2141</v>
      </c>
      <c r="M6" s="1306"/>
      <c r="N6" s="829" t="s">
        <v>786</v>
      </c>
      <c r="Q6" s="956"/>
      <c r="S6" s="1414"/>
      <c r="T6" s="1415"/>
    </row>
    <row r="7" spans="1:20" s="397" customFormat="1" ht="16.899999999999999" customHeight="1">
      <c r="A7" s="449"/>
      <c r="B7" s="1306"/>
      <c r="C7" s="826" t="s">
        <v>2662</v>
      </c>
      <c r="E7" s="1306"/>
      <c r="F7" s="829" t="s">
        <v>3099</v>
      </c>
      <c r="G7" s="449"/>
      <c r="H7" s="1306"/>
      <c r="I7" s="955" t="s">
        <v>3654</v>
      </c>
      <c r="J7" s="1306"/>
      <c r="K7" s="956" t="s">
        <v>3653</v>
      </c>
      <c r="L7" s="957"/>
      <c r="M7" s="1306"/>
      <c r="N7" s="455" t="s">
        <v>3655</v>
      </c>
      <c r="Q7" s="958"/>
      <c r="S7" s="1414"/>
      <c r="T7" s="1415"/>
    </row>
    <row r="8" spans="1:20" s="397" customFormat="1" ht="16.899999999999999" customHeight="1">
      <c r="A8" s="846"/>
      <c r="B8" s="1306"/>
      <c r="C8" s="833" t="s">
        <v>3641</v>
      </c>
      <c r="D8" s="449"/>
      <c r="E8" s="1306"/>
      <c r="F8" s="477" t="s">
        <v>3642</v>
      </c>
      <c r="I8" s="955"/>
      <c r="K8" s="956"/>
      <c r="L8" s="957"/>
      <c r="M8" s="1306"/>
      <c r="N8" s="1292" t="s">
        <v>3025</v>
      </c>
      <c r="O8" s="1293"/>
      <c r="P8" s="1293"/>
      <c r="Q8" s="1294"/>
      <c r="S8" s="1416"/>
      <c r="T8" s="1417"/>
    </row>
    <row r="9" spans="1:20" s="397" customFormat="1" ht="16.899999999999999" customHeight="1">
      <c r="A9" s="846"/>
      <c r="B9" s="397" t="s">
        <v>291</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1137</v>
      </c>
      <c r="B11" s="394" t="s">
        <v>3271</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7" t="s">
        <v>1865</v>
      </c>
      <c r="I13" s="977"/>
      <c r="J13" s="977"/>
      <c r="K13" s="977"/>
      <c r="L13" s="888" t="s">
        <v>2871</v>
      </c>
      <c r="M13" s="888"/>
      <c r="N13" s="888" t="s">
        <v>2109</v>
      </c>
      <c r="O13" s="888"/>
      <c r="P13" s="888" t="s">
        <v>2382</v>
      </c>
      <c r="Q13" s="888"/>
      <c r="S13" s="954" t="s">
        <v>3866</v>
      </c>
      <c r="T13" s="954"/>
    </row>
    <row r="14" spans="1:20" s="397" customFormat="1" ht="16.899999999999999" customHeight="1">
      <c r="A14" s="449"/>
      <c r="B14" s="961" t="s">
        <v>2196</v>
      </c>
      <c r="C14" s="962"/>
      <c r="D14" s="962"/>
      <c r="E14" s="835"/>
      <c r="F14" s="835"/>
      <c r="G14" s="835"/>
      <c r="H14" s="1292" t="s">
        <v>4011</v>
      </c>
      <c r="I14" s="1293"/>
      <c r="J14" s="1293"/>
      <c r="K14" s="1294"/>
      <c r="L14" s="1418">
        <v>8478160</v>
      </c>
      <c r="M14" s="1419"/>
      <c r="N14" s="1420">
        <v>5.7500000000000002E-2</v>
      </c>
      <c r="O14" s="1421"/>
      <c r="P14" s="1422">
        <v>18</v>
      </c>
      <c r="Q14" s="1423"/>
      <c r="S14" s="1412"/>
      <c r="T14" s="1413"/>
    </row>
    <row r="15" spans="1:20" s="397" customFormat="1" ht="16.899999999999999" customHeight="1">
      <c r="A15" s="449"/>
      <c r="B15" s="959" t="s">
        <v>2197</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2198</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3119</v>
      </c>
      <c r="C17" s="962"/>
      <c r="D17" s="962"/>
      <c r="E17" s="833"/>
      <c r="F17" s="833"/>
      <c r="G17" s="833"/>
      <c r="H17" s="1292" t="s">
        <v>3992</v>
      </c>
      <c r="I17" s="1293"/>
      <c r="J17" s="1293"/>
      <c r="K17" s="1294"/>
      <c r="L17" s="1418">
        <v>1413720</v>
      </c>
      <c r="M17" s="1419"/>
      <c r="N17" s="963"/>
      <c r="O17" s="964"/>
      <c r="P17" s="965"/>
      <c r="Q17" s="965"/>
      <c r="S17" s="1414"/>
      <c r="T17" s="1415"/>
    </row>
    <row r="18" spans="1:20" s="397" customFormat="1" ht="16.899999999999999" customHeight="1">
      <c r="A18" s="449"/>
      <c r="B18" s="959" t="s">
        <v>1288</v>
      </c>
      <c r="C18" s="960"/>
      <c r="D18" s="960"/>
      <c r="E18" s="833"/>
      <c r="H18" s="1292" t="s">
        <v>3992</v>
      </c>
      <c r="I18" s="1293"/>
      <c r="J18" s="1293"/>
      <c r="K18" s="1294"/>
      <c r="L18" s="1418">
        <v>434280</v>
      </c>
      <c r="M18" s="1419"/>
      <c r="N18" s="963"/>
      <c r="O18" s="964"/>
      <c r="P18" s="965"/>
      <c r="Q18" s="965"/>
      <c r="S18" s="1414"/>
      <c r="T18" s="1415"/>
    </row>
    <row r="19" spans="1:20" s="397" customFormat="1" ht="16.899999999999999" customHeight="1">
      <c r="A19" s="449"/>
      <c r="B19" s="959" t="s">
        <v>901</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1289</v>
      </c>
      <c r="C20" s="960"/>
      <c r="D20" s="960"/>
      <c r="E20" s="833"/>
      <c r="H20" s="1292"/>
      <c r="I20" s="1293"/>
      <c r="J20" s="1293"/>
      <c r="K20" s="1294"/>
      <c r="L20" s="1418"/>
      <c r="M20" s="1419"/>
      <c r="N20" s="449"/>
      <c r="O20" s="449"/>
      <c r="P20" s="449"/>
      <c r="Q20" s="449"/>
      <c r="S20" s="1416"/>
      <c r="T20" s="1417"/>
    </row>
    <row r="21" spans="1:20" s="397" customFormat="1" ht="16.899999999999999" customHeight="1">
      <c r="A21" s="449"/>
      <c r="B21" s="959" t="s">
        <v>1290</v>
      </c>
      <c r="C21" s="960"/>
      <c r="D21" s="960"/>
      <c r="E21" s="833"/>
      <c r="H21" s="1292"/>
      <c r="I21" s="1293"/>
      <c r="J21" s="1293"/>
      <c r="K21" s="1294"/>
      <c r="L21" s="1418"/>
      <c r="M21" s="1419"/>
      <c r="N21" s="449"/>
      <c r="O21" s="449"/>
      <c r="P21" s="449"/>
      <c r="Q21" s="449"/>
      <c r="S21" s="1412"/>
      <c r="T21" s="1413"/>
    </row>
    <row r="22" spans="1:20" s="397" customFormat="1" ht="16.899999999999999" customHeight="1">
      <c r="A22" s="449"/>
      <c r="B22" s="832" t="s">
        <v>290</v>
      </c>
      <c r="C22" s="833"/>
      <c r="D22" s="1426" t="s">
        <v>4043</v>
      </c>
      <c r="E22" s="1426"/>
      <c r="F22" s="1426"/>
      <c r="G22" s="1426"/>
      <c r="H22" s="1292" t="s">
        <v>4046</v>
      </c>
      <c r="I22" s="1293"/>
      <c r="J22" s="1293"/>
      <c r="K22" s="1294"/>
      <c r="L22" s="1418">
        <v>100</v>
      </c>
      <c r="M22" s="1419"/>
      <c r="N22" s="449"/>
      <c r="O22" s="449"/>
      <c r="P22" s="449"/>
      <c r="Q22" s="449"/>
      <c r="S22" s="1414"/>
      <c r="T22" s="1415"/>
    </row>
    <row r="23" spans="1:20" s="397" customFormat="1" ht="16.899999999999999" customHeight="1">
      <c r="A23" s="449"/>
      <c r="B23" s="832" t="s">
        <v>290</v>
      </c>
      <c r="C23" s="833"/>
      <c r="D23" s="1426" t="s">
        <v>4043</v>
      </c>
      <c r="E23" s="1426"/>
      <c r="F23" s="1426"/>
      <c r="G23" s="1426"/>
      <c r="H23" s="1292" t="s">
        <v>4045</v>
      </c>
      <c r="I23" s="1293"/>
      <c r="J23" s="1293"/>
      <c r="K23" s="1294"/>
      <c r="L23" s="1418">
        <v>10</v>
      </c>
      <c r="M23" s="1419"/>
      <c r="N23" s="449"/>
      <c r="O23" s="449"/>
      <c r="P23" s="449"/>
      <c r="Q23" s="449"/>
      <c r="S23" s="1414"/>
      <c r="T23" s="1415"/>
    </row>
    <row r="24" spans="1:20" s="397" customFormat="1" ht="16.899999999999999" customHeight="1">
      <c r="A24" s="449"/>
      <c r="B24" s="841" t="s">
        <v>290</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1866</v>
      </c>
      <c r="C25" s="449"/>
      <c r="D25" s="449"/>
      <c r="E25" s="449"/>
      <c r="F25" s="449"/>
      <c r="G25" s="449"/>
      <c r="H25" s="449"/>
      <c r="I25" s="449"/>
      <c r="L25" s="982">
        <f>SUM(L14:L24)</f>
        <v>10326270</v>
      </c>
      <c r="M25" s="983"/>
      <c r="N25" s="472"/>
      <c r="O25" s="472"/>
      <c r="P25" s="472"/>
      <c r="Q25" s="472"/>
      <c r="S25" s="1414"/>
      <c r="T25" s="1415"/>
    </row>
    <row r="26" spans="1:20" s="397" customFormat="1" ht="16.899999999999999" customHeight="1">
      <c r="A26" s="449"/>
      <c r="B26" s="826" t="s">
        <v>1867</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Funds'!$G$111+'Part IV-Uses of Funds'!G42+'Part IV-Uses of Funds'!G100+'Part IV-Uses of Funds'!G115+'Part IV-Uses of Funds'!G112+'Part IV-Uses of Funds'!G84</f>
        <v>10326270</v>
      </c>
      <c r="M26" s="1428"/>
      <c r="N26" s="980"/>
      <c r="O26" s="981"/>
      <c r="P26" s="981"/>
      <c r="Q26" s="981"/>
      <c r="S26" s="1414"/>
      <c r="T26" s="1415"/>
    </row>
    <row r="27" spans="1:20" s="397" customFormat="1" ht="16.899999999999999" customHeight="1">
      <c r="A27" s="449"/>
      <c r="B27" s="455" t="s">
        <v>3050</v>
      </c>
      <c r="C27" s="449"/>
      <c r="D27" s="449"/>
      <c r="E27" s="449"/>
      <c r="F27" s="449"/>
      <c r="G27" s="449"/>
      <c r="H27" s="449"/>
      <c r="I27" s="449"/>
      <c r="L27" s="984">
        <f>L25-L26</f>
        <v>0</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1139</v>
      </c>
      <c r="B29" s="394" t="s">
        <v>1287</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2988</v>
      </c>
      <c r="K30" s="839" t="s">
        <v>1863</v>
      </c>
      <c r="L30" s="839" t="s">
        <v>1868</v>
      </c>
      <c r="M30" s="896" t="s">
        <v>39</v>
      </c>
      <c r="N30" s="896"/>
      <c r="O30" s="830"/>
      <c r="P30" s="839"/>
      <c r="Q30" s="975" t="s">
        <v>3268</v>
      </c>
      <c r="S30" s="507"/>
    </row>
    <row r="31" spans="1:20" s="397" customFormat="1" ht="13.15" customHeight="1">
      <c r="A31" s="449"/>
      <c r="B31" s="838" t="s">
        <v>2744</v>
      </c>
      <c r="C31" s="842"/>
      <c r="D31" s="842"/>
      <c r="E31" s="960" t="s">
        <v>1865</v>
      </c>
      <c r="F31" s="960"/>
      <c r="G31" s="960"/>
      <c r="H31" s="888" t="s">
        <v>677</v>
      </c>
      <c r="I31" s="888"/>
      <c r="J31" s="828" t="s">
        <v>2668</v>
      </c>
      <c r="K31" s="828" t="s">
        <v>3118</v>
      </c>
      <c r="L31" s="828" t="s">
        <v>3118</v>
      </c>
      <c r="M31" s="1429"/>
      <c r="N31" s="1429"/>
      <c r="O31" s="888" t="s">
        <v>80</v>
      </c>
      <c r="P31" s="888"/>
      <c r="Q31" s="976"/>
      <c r="S31" s="954" t="s">
        <v>3866</v>
      </c>
      <c r="T31" s="954"/>
    </row>
    <row r="32" spans="1:20" s="397" customFormat="1" ht="13.15" customHeight="1">
      <c r="A32" s="449"/>
      <c r="B32" s="961" t="s">
        <v>3664</v>
      </c>
      <c r="C32" s="962"/>
      <c r="D32" s="962"/>
      <c r="E32" s="1430" t="s">
        <v>4011</v>
      </c>
      <c r="F32" s="1431"/>
      <c r="G32" s="1432"/>
      <c r="H32" s="1433">
        <v>2600000</v>
      </c>
      <c r="I32" s="1434"/>
      <c r="J32" s="1435">
        <v>6.25E-2</v>
      </c>
      <c r="K32" s="1306">
        <v>20</v>
      </c>
      <c r="L32" s="1306">
        <v>30</v>
      </c>
      <c r="M32" s="1436">
        <f t="shared" ref="M32:M37" si="0">IF(OR(H32&lt;=0,H32=""),"",IF(O32="Amortizing",-PMT(J32/12,L32*12,H32,0,0)*12,""))</f>
        <v>192103.76653303418</v>
      </c>
      <c r="N32" s="1437"/>
      <c r="O32" s="1286" t="s">
        <v>4013</v>
      </c>
      <c r="P32" s="1287"/>
      <c r="Q32" s="1438">
        <v>1.2</v>
      </c>
      <c r="S32" s="1412"/>
      <c r="T32" s="1413"/>
    </row>
    <row r="33" spans="1:20" s="397" customFormat="1" ht="13.15" customHeight="1">
      <c r="A33" s="449"/>
      <c r="B33" s="959" t="s">
        <v>3665</v>
      </c>
      <c r="C33" s="960"/>
      <c r="D33" s="960"/>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9" t="s">
        <v>3666</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1138</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1950</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273</v>
      </c>
      <c r="C37" s="842"/>
      <c r="D37" s="543">
        <f>IF(OR(H37="",H37=0,'Part IV-Uses of Funds'!$G$109="",'Part IV-Uses of Funds'!$G$109=0),"",H37/'Part IV-Uses of Funds'!$G$109)</f>
        <v>6.8115238366724271E-2</v>
      </c>
      <c r="E37" s="1292" t="s">
        <v>4012</v>
      </c>
      <c r="F37" s="1442"/>
      <c r="G37" s="1434"/>
      <c r="H37" s="1441">
        <v>95819</v>
      </c>
      <c r="I37" s="1434"/>
      <c r="J37" s="1435">
        <v>2.64E-2</v>
      </c>
      <c r="K37" s="1306">
        <v>10</v>
      </c>
      <c r="L37" s="1306">
        <v>10</v>
      </c>
      <c r="M37" s="1436" t="str">
        <f t="shared" si="0"/>
        <v/>
      </c>
      <c r="N37" s="1437"/>
      <c r="O37" s="1286" t="s">
        <v>1688</v>
      </c>
      <c r="P37" s="1287"/>
      <c r="Q37" s="1438"/>
      <c r="S37" s="1414"/>
      <c r="T37" s="1415"/>
    </row>
    <row r="38" spans="1:20" s="397" customFormat="1" ht="13.15" customHeight="1">
      <c r="A38" s="449"/>
      <c r="B38" s="961" t="s">
        <v>3119</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1288</v>
      </c>
      <c r="C39" s="960"/>
      <c r="D39" s="968"/>
      <c r="E39" s="1292"/>
      <c r="F39" s="1442"/>
      <c r="G39" s="1434"/>
      <c r="H39" s="1443"/>
      <c r="I39" s="1444"/>
      <c r="J39" s="971" t="s">
        <v>753</v>
      </c>
      <c r="K39" s="972"/>
      <c r="L39" s="970" t="s">
        <v>754</v>
      </c>
      <c r="M39" s="970"/>
      <c r="O39" s="625" t="s">
        <v>752</v>
      </c>
      <c r="P39" s="545"/>
      <c r="Q39" s="544"/>
      <c r="S39" s="1414"/>
      <c r="T39" s="1415"/>
    </row>
    <row r="40" spans="1:20" s="397" customFormat="1" ht="13.15" customHeight="1">
      <c r="A40" s="449"/>
      <c r="B40" s="959" t="s">
        <v>1289</v>
      </c>
      <c r="C40" s="960"/>
      <c r="D40" s="968"/>
      <c r="E40" s="1292" t="s">
        <v>3992</v>
      </c>
      <c r="F40" s="1293"/>
      <c r="G40" s="1294"/>
      <c r="H40" s="1441">
        <v>7068600</v>
      </c>
      <c r="I40" s="1445"/>
      <c r="J40" s="973">
        <f>'Part IV-Uses of Funds'!$J$165*10*'Part IV-Uses of Funds'!$N$158</f>
        <v>7140000</v>
      </c>
      <c r="K40" s="974"/>
      <c r="L40" s="969">
        <f>H40-J40</f>
        <v>-71400</v>
      </c>
      <c r="M40" s="969"/>
      <c r="O40" s="626" t="s">
        <v>3591</v>
      </c>
      <c r="P40" s="545"/>
      <c r="Q40" s="544"/>
      <c r="S40" s="1414"/>
      <c r="T40" s="1415"/>
    </row>
    <row r="41" spans="1:20" s="397" customFormat="1" ht="13.15" customHeight="1">
      <c r="A41" s="449"/>
      <c r="B41" s="959" t="s">
        <v>1290</v>
      </c>
      <c r="C41" s="960"/>
      <c r="D41" s="968"/>
      <c r="E41" s="1292" t="s">
        <v>3992</v>
      </c>
      <c r="F41" s="1293"/>
      <c r="G41" s="1294"/>
      <c r="H41" s="1441">
        <v>2171400</v>
      </c>
      <c r="I41" s="1445"/>
      <c r="J41" s="973">
        <f>'Part IV-Uses of Funds'!$J$165*10*'Part IV-Uses of Funds'!$Q$158</f>
        <v>2100000</v>
      </c>
      <c r="K41" s="974"/>
      <c r="L41" s="969">
        <f>H41-J41</f>
        <v>71400</v>
      </c>
      <c r="M41" s="969"/>
      <c r="O41" s="627">
        <f>H40/H50</f>
        <v>0.5922119677488028</v>
      </c>
      <c r="P41" s="545"/>
      <c r="Q41" s="544"/>
      <c r="S41" s="1414"/>
      <c r="T41" s="1415"/>
    </row>
    <row r="42" spans="1:20" s="397" customFormat="1" ht="13.15" customHeight="1">
      <c r="A42" s="449"/>
      <c r="B42" s="959" t="s">
        <v>1985</v>
      </c>
      <c r="C42" s="960"/>
      <c r="D42" s="968"/>
      <c r="E42" s="1292"/>
      <c r="F42" s="1293"/>
      <c r="G42" s="1294"/>
      <c r="H42" s="1441"/>
      <c r="I42" s="1445"/>
      <c r="M42" s="545"/>
      <c r="O42" s="627">
        <f>H41/H50</f>
        <v>0.18192132342610282</v>
      </c>
      <c r="P42" s="545"/>
      <c r="Q42" s="544"/>
      <c r="S42" s="1416"/>
      <c r="T42" s="1417"/>
    </row>
    <row r="43" spans="1:20" s="397" customFormat="1" ht="13.15" customHeight="1">
      <c r="A43" s="449"/>
      <c r="B43" s="832" t="s">
        <v>768</v>
      </c>
      <c r="C43" s="833"/>
      <c r="D43" s="837"/>
      <c r="E43" s="1292"/>
      <c r="F43" s="1293"/>
      <c r="G43" s="1294"/>
      <c r="H43" s="1441"/>
      <c r="I43" s="1445"/>
      <c r="K43" s="449"/>
      <c r="L43" s="449"/>
      <c r="M43" s="545"/>
      <c r="O43" s="628">
        <f>SUM(O41:O42)</f>
        <v>0.77413329117490559</v>
      </c>
      <c r="P43" s="545"/>
      <c r="Q43" s="544"/>
      <c r="S43" s="1414"/>
      <c r="T43" s="1415"/>
    </row>
    <row r="44" spans="1:20" s="397" customFormat="1" ht="13.15" customHeight="1">
      <c r="A44" s="449"/>
      <c r="B44" s="832" t="s">
        <v>2742</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2743</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1138</v>
      </c>
      <c r="C46" s="1292" t="s">
        <v>4043</v>
      </c>
      <c r="D46" s="1294"/>
      <c r="E46" s="1292" t="s">
        <v>4044</v>
      </c>
      <c r="F46" s="1293"/>
      <c r="G46" s="1294"/>
      <c r="H46" s="1441">
        <v>100</v>
      </c>
      <c r="I46" s="1445"/>
      <c r="J46" s="449"/>
      <c r="M46" s="545"/>
      <c r="N46" s="545"/>
      <c r="O46" s="545"/>
      <c r="P46" s="545"/>
      <c r="Q46" s="544"/>
      <c r="S46" s="1414"/>
      <c r="T46" s="1415"/>
    </row>
    <row r="47" spans="1:20" s="397" customFormat="1" ht="13.15" customHeight="1">
      <c r="A47" s="449"/>
      <c r="B47" s="832" t="s">
        <v>1138</v>
      </c>
      <c r="C47" s="1292" t="s">
        <v>4043</v>
      </c>
      <c r="D47" s="1294"/>
      <c r="E47" s="1292" t="s">
        <v>4045</v>
      </c>
      <c r="F47" s="1293"/>
      <c r="G47" s="1294"/>
      <c r="H47" s="1441">
        <v>10</v>
      </c>
      <c r="I47" s="1445"/>
      <c r="J47" s="449"/>
      <c r="K47" s="449"/>
      <c r="L47" s="546"/>
      <c r="M47" s="545"/>
      <c r="N47" s="545"/>
      <c r="O47" s="545"/>
      <c r="P47" s="545"/>
      <c r="Q47" s="544"/>
      <c r="S47" s="1414"/>
      <c r="T47" s="1415"/>
    </row>
    <row r="48" spans="1:20" s="397" customFormat="1" ht="13.15" customHeight="1">
      <c r="A48" s="449"/>
      <c r="B48" s="841" t="s">
        <v>1138</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3120</v>
      </c>
      <c r="C49" s="449"/>
      <c r="D49" s="449"/>
      <c r="E49" s="449"/>
      <c r="F49" s="449"/>
      <c r="G49" s="449"/>
      <c r="H49" s="989">
        <f>SUM(H32:I48)</f>
        <v>11935929</v>
      </c>
      <c r="I49" s="990"/>
      <c r="J49" s="472"/>
      <c r="K49" s="449"/>
      <c r="L49" s="546"/>
      <c r="M49" s="545"/>
      <c r="N49" s="545"/>
      <c r="O49" s="545"/>
      <c r="P49" s="545"/>
      <c r="Q49" s="544"/>
      <c r="S49" s="1414"/>
      <c r="T49" s="1415"/>
    </row>
    <row r="50" spans="1:23" s="397" customFormat="1" ht="13.15" customHeight="1" thickBot="1">
      <c r="A50" s="449"/>
      <c r="B50" s="826" t="s">
        <v>3121</v>
      </c>
      <c r="C50" s="449"/>
      <c r="D50" s="449"/>
      <c r="E50" s="449"/>
      <c r="F50" s="449"/>
      <c r="G50" s="449"/>
      <c r="H50" s="987">
        <f>'Part IV-Uses of Funds'!$G$123</f>
        <v>11935929</v>
      </c>
      <c r="I50" s="988"/>
      <c r="J50" s="472"/>
      <c r="K50" s="449"/>
      <c r="L50" s="546"/>
      <c r="M50" s="545"/>
      <c r="N50" s="545"/>
      <c r="O50" s="545"/>
      <c r="P50" s="545"/>
      <c r="Q50" s="544"/>
      <c r="S50" s="1414"/>
      <c r="T50" s="1415"/>
    </row>
    <row r="51" spans="1:23" s="397" customFormat="1" ht="13.15" customHeight="1" thickBot="1">
      <c r="A51" s="449"/>
      <c r="B51" s="455" t="s">
        <v>2127</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2649</v>
      </c>
      <c r="B53" s="452" t="s">
        <v>816</v>
      </c>
      <c r="C53" s="472"/>
      <c r="D53" s="472"/>
      <c r="E53" s="472"/>
      <c r="F53" s="472"/>
      <c r="G53" s="472"/>
      <c r="H53" s="472"/>
      <c r="I53" s="472"/>
      <c r="J53" s="472"/>
      <c r="K53" s="452" t="s">
        <v>2649</v>
      </c>
      <c r="L53" s="452" t="s">
        <v>85</v>
      </c>
      <c r="M53" s="472"/>
      <c r="N53" s="472"/>
      <c r="O53" s="472"/>
      <c r="P53" s="472"/>
      <c r="Q53" s="472"/>
    </row>
    <row r="54" spans="1:23" ht="5.45" customHeight="1">
      <c r="B54" s="509"/>
    </row>
    <row r="55" spans="1:23" ht="67.900000000000006" customHeight="1">
      <c r="A55" s="1360" t="s">
        <v>4072</v>
      </c>
      <c r="B55" s="1446"/>
      <c r="C55" s="1446"/>
      <c r="D55" s="1446"/>
      <c r="E55" s="1446"/>
      <c r="F55" s="1446"/>
      <c r="G55" s="1446"/>
      <c r="H55" s="1446"/>
      <c r="I55" s="1446"/>
      <c r="J55" s="1447"/>
      <c r="K55" s="1363"/>
      <c r="L55" s="1446"/>
      <c r="M55" s="1446"/>
      <c r="N55" s="1446"/>
      <c r="O55" s="1446"/>
      <c r="P55" s="1446"/>
      <c r="Q55" s="1447"/>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2012-056 Silver Comet Senior Village, Powder Springs, Cobb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260</v>
      </c>
      <c r="B3" s="994"/>
      <c r="C3" s="994"/>
      <c r="D3" s="994"/>
      <c r="E3" s="994"/>
      <c r="F3" s="994"/>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700</v>
      </c>
      <c r="C6" s="373">
        <v>0</v>
      </c>
      <c r="D6" s="161" t="s">
        <v>701</v>
      </c>
      <c r="E6" s="40"/>
    </row>
    <row r="7" spans="1:17">
      <c r="A7" s="40"/>
      <c r="B7" s="297" t="s">
        <v>3485</v>
      </c>
      <c r="C7" s="374"/>
      <c r="D7" s="161" t="s">
        <v>2498</v>
      </c>
      <c r="E7" s="40"/>
    </row>
    <row r="8" spans="1:17" ht="13.15" customHeight="1">
      <c r="A8" s="40" t="s">
        <v>3473</v>
      </c>
      <c r="B8" s="40"/>
      <c r="C8" s="373">
        <v>0</v>
      </c>
      <c r="D8" s="161" t="s">
        <v>2499</v>
      </c>
      <c r="E8" s="40"/>
    </row>
    <row r="9" spans="1:17">
      <c r="A9" s="40" t="s">
        <v>1958</v>
      </c>
      <c r="B9" s="40"/>
      <c r="C9" s="375"/>
      <c r="D9" s="40"/>
      <c r="E9" s="40"/>
    </row>
    <row r="10" spans="1:17">
      <c r="A10" s="40" t="s">
        <v>1959</v>
      </c>
      <c r="B10" s="40"/>
      <c r="C10" s="375"/>
      <c r="D10" s="40"/>
      <c r="E10" s="40"/>
    </row>
    <row r="11" spans="1:17">
      <c r="A11" s="40" t="s">
        <v>1956</v>
      </c>
      <c r="B11" s="40"/>
      <c r="C11" s="376" t="e">
        <f>PMT(C7/12,C10*12,-C5,0,0)*12</f>
        <v>#NUM!</v>
      </c>
      <c r="D11" s="371" t="e">
        <f>PMT($C$7/12,$C$10*12,-D5,0,0)*12</f>
        <v>#NUM!</v>
      </c>
      <c r="E11" s="371" t="e">
        <f>PMT($C$7/12,$C$10*12,-E5,0,0)*12</f>
        <v>#NUM!</v>
      </c>
    </row>
    <row r="12" spans="1:17">
      <c r="A12" s="40" t="s">
        <v>1957</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3486</v>
      </c>
      <c r="B16" s="286" t="s">
        <v>3483</v>
      </c>
      <c r="C16" s="286" t="s">
        <v>3484</v>
      </c>
      <c r="D16" s="1004" t="s">
        <v>3168</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2012-056 Silver Comet Senior Village, Powder Springs, Cobb County</v>
      </c>
      <c r="B58" s="996"/>
      <c r="C58" s="996"/>
      <c r="D58" s="996"/>
      <c r="E58" s="996"/>
      <c r="F58" s="996"/>
      <c r="G58" s="996" t="str">
        <f>CONCATENATE('Part I-Project Information'!$O$4," ",'Part I-Project Information'!$F$22,", ",'Part I-Project Information'!$F$24,", ",'Part I-Project Information'!$J$25," County")</f>
        <v>2012-056 Silver Comet Senior Village, Powder Springs, Cobb County</v>
      </c>
      <c r="H58" s="996"/>
      <c r="I58" s="996"/>
      <c r="J58" s="996"/>
      <c r="K58" s="996"/>
      <c r="L58" s="996"/>
    </row>
    <row r="59" spans="1:12" ht="15">
      <c r="A59" s="993" t="s">
        <v>3477</v>
      </c>
      <c r="B59" s="993"/>
      <c r="C59" s="993"/>
      <c r="D59" s="993"/>
      <c r="E59" s="993"/>
      <c r="F59" s="993"/>
      <c r="G59" s="993" t="s">
        <v>3477</v>
      </c>
      <c r="H59" s="993"/>
      <c r="I59" s="993"/>
      <c r="J59" s="993"/>
      <c r="K59" s="993"/>
      <c r="L59" s="993"/>
    </row>
    <row r="60" spans="1:12" ht="6" customHeight="1">
      <c r="C60" s="270"/>
      <c r="D60" s="270"/>
      <c r="I60" s="270"/>
      <c r="J60" s="270"/>
    </row>
    <row r="61" spans="1:12">
      <c r="A61" s="273" t="s">
        <v>3478</v>
      </c>
      <c r="B61" s="274" t="s">
        <v>3479</v>
      </c>
      <c r="C61" s="274" t="s">
        <v>1862</v>
      </c>
      <c r="D61" s="274" t="s">
        <v>3480</v>
      </c>
      <c r="E61" s="273" t="s">
        <v>3481</v>
      </c>
      <c r="F61" s="307" t="s">
        <v>3486</v>
      </c>
      <c r="G61" s="273" t="s">
        <v>3478</v>
      </c>
      <c r="H61" s="274" t="s">
        <v>3479</v>
      </c>
      <c r="I61" s="274" t="s">
        <v>1862</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2012-056 Silver Comet Senior Village, Powder Springs, Cobb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260</v>
      </c>
      <c r="B3" s="994"/>
      <c r="C3" s="994"/>
      <c r="D3" s="994"/>
      <c r="E3" s="994"/>
      <c r="F3" s="994"/>
      <c r="G3" s="317"/>
      <c r="H3" s="317"/>
    </row>
    <row r="4" spans="1:17">
      <c r="A4" s="16"/>
      <c r="B4" s="260"/>
      <c r="C4" s="260"/>
      <c r="D4" s="260"/>
    </row>
    <row r="5" spans="1:17" ht="13.15" customHeight="1">
      <c r="A5" s="31" t="s">
        <v>3169</v>
      </c>
      <c r="D5" s="304"/>
      <c r="E5" s="1005" t="s">
        <v>1452</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2569</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1425</v>
      </c>
      <c r="D18" s="320" t="e">
        <f>PMT(D10/12,D16*12,-D5,0,0)*12</f>
        <v>#NUM!</v>
      </c>
      <c r="E18" s="31" t="s">
        <v>2097</v>
      </c>
      <c r="F18" s="319"/>
    </row>
    <row r="19" spans="1:10">
      <c r="D19" s="270"/>
      <c r="F19" s="319"/>
    </row>
    <row r="20" spans="1:10">
      <c r="A20" s="31" t="s">
        <v>2098</v>
      </c>
      <c r="D20" s="270" t="e">
        <f>D18/12</f>
        <v>#NUM!</v>
      </c>
      <c r="E20" s="31" t="s">
        <v>2097</v>
      </c>
      <c r="F20" s="319"/>
    </row>
    <row r="24" spans="1:10" ht="18" customHeight="1">
      <c r="A24" s="995" t="s">
        <v>2570</v>
      </c>
      <c r="B24" s="995"/>
      <c r="C24" s="995"/>
      <c r="D24" s="995"/>
      <c r="E24" s="995"/>
      <c r="F24" s="995"/>
      <c r="J24" s="321"/>
    </row>
    <row r="25" spans="1:10">
      <c r="C25" s="270"/>
      <c r="J25" s="321"/>
    </row>
    <row r="26" spans="1:10">
      <c r="A26" s="143"/>
      <c r="B26" s="108"/>
      <c r="C26" s="1007" t="s">
        <v>3168</v>
      </c>
      <c r="D26" s="316"/>
      <c r="E26" s="108"/>
      <c r="F26" s="1007" t="s">
        <v>3168</v>
      </c>
      <c r="J26" s="321"/>
    </row>
    <row r="27" spans="1:10">
      <c r="A27" s="322" t="s">
        <v>3486</v>
      </c>
      <c r="B27" s="87" t="s">
        <v>1533</v>
      </c>
      <c r="C27" s="1008"/>
      <c r="D27" s="323" t="s">
        <v>3486</v>
      </c>
      <c r="E27" s="87" t="s">
        <v>1533</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2012-056 Silver Comet Senior Village, Powder Springs, Cobb County</v>
      </c>
      <c r="B50" s="996"/>
      <c r="C50" s="996"/>
      <c r="D50" s="996"/>
      <c r="E50" s="996"/>
      <c r="F50" s="996"/>
      <c r="G50" s="297"/>
      <c r="H50" s="297"/>
    </row>
    <row r="51" spans="1:10" ht="15">
      <c r="A51" s="993" t="s">
        <v>3477</v>
      </c>
      <c r="B51" s="993"/>
      <c r="C51" s="993"/>
      <c r="D51" s="993"/>
      <c r="E51" s="993"/>
      <c r="F51" s="993"/>
      <c r="G51" s="333"/>
      <c r="H51" s="333"/>
      <c r="I51" s="333"/>
      <c r="J51" s="333"/>
    </row>
    <row r="52" spans="1:10" ht="5.45" customHeight="1">
      <c r="C52" s="270"/>
      <c r="D52" s="270"/>
      <c r="G52" s="275"/>
      <c r="H52" s="269"/>
      <c r="I52" s="275"/>
    </row>
    <row r="53" spans="1:10">
      <c r="A53" s="273" t="s">
        <v>3478</v>
      </c>
      <c r="B53" s="273" t="s">
        <v>3479</v>
      </c>
      <c r="C53" s="273" t="s">
        <v>1862</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85" zoomScaleNormal="8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2012-056 Silver Comet Senior Village, Powder Springs, Cobb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2012-056 Silver Comet Senior Village, Powder Springs, Cobb County</v>
      </c>
      <c r="W1" s="1010"/>
    </row>
    <row r="2" spans="1:23" ht="2.25" customHeight="1"/>
    <row r="3" spans="1:23" s="449" customFormat="1">
      <c r="A3" s="1017" t="s">
        <v>334</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874</v>
      </c>
      <c r="B5" s="684" t="s">
        <v>1394</v>
      </c>
      <c r="H5" s="833"/>
      <c r="I5" s="833"/>
      <c r="J5" s="1011" t="s">
        <v>335</v>
      </c>
      <c r="K5" s="1012"/>
      <c r="L5" s="512"/>
      <c r="M5" s="1023" t="s">
        <v>678</v>
      </c>
      <c r="N5" s="1024"/>
      <c r="P5" s="1011" t="s">
        <v>336</v>
      </c>
      <c r="Q5" s="1012"/>
      <c r="S5" s="1011" t="s">
        <v>337</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3866</v>
      </c>
      <c r="W6" s="1076"/>
    </row>
    <row r="7" spans="1:23" s="449" customFormat="1" ht="13.15" customHeight="1">
      <c r="B7" s="452" t="s">
        <v>111</v>
      </c>
      <c r="O7" s="846" t="str">
        <f>B7</f>
        <v>PRE-DEVELOPMENT COSTS</v>
      </c>
      <c r="V7" s="449" t="str">
        <f>B7</f>
        <v>PRE-DEVELOPMENT COSTS</v>
      </c>
    </row>
    <row r="8" spans="1:23" s="449" customFormat="1" ht="12.6" customHeight="1">
      <c r="B8" s="449" t="s">
        <v>2881</v>
      </c>
      <c r="G8" s="1418">
        <v>5000</v>
      </c>
      <c r="H8" s="1419"/>
      <c r="J8" s="1418">
        <v>5000</v>
      </c>
      <c r="K8" s="1419"/>
      <c r="L8" s="843"/>
      <c r="M8" s="1418"/>
      <c r="N8" s="1419"/>
      <c r="P8" s="1418"/>
      <c r="Q8" s="1419"/>
      <c r="S8" s="1418"/>
      <c r="T8" s="1419"/>
      <c r="V8" s="1448"/>
      <c r="W8" s="1449"/>
    </row>
    <row r="9" spans="1:23" s="449" customFormat="1" ht="12.6" customHeight="1">
      <c r="B9" s="449" t="s">
        <v>632</v>
      </c>
      <c r="G9" s="1418">
        <v>6000</v>
      </c>
      <c r="H9" s="1419"/>
      <c r="J9" s="1418">
        <v>6000</v>
      </c>
      <c r="K9" s="1419"/>
      <c r="L9" s="843"/>
      <c r="M9" s="1418"/>
      <c r="N9" s="1419"/>
      <c r="P9" s="1418"/>
      <c r="Q9" s="1419"/>
      <c r="S9" s="1418"/>
      <c r="T9" s="1419"/>
      <c r="V9" s="1450"/>
      <c r="W9" s="1451"/>
    </row>
    <row r="10" spans="1:23" s="449" customFormat="1" ht="12.6" customHeight="1">
      <c r="B10" s="449" t="s">
        <v>675</v>
      </c>
      <c r="G10" s="1418">
        <v>6000</v>
      </c>
      <c r="H10" s="1419"/>
      <c r="J10" s="1418">
        <v>6000</v>
      </c>
      <c r="K10" s="1419"/>
      <c r="L10" s="843"/>
      <c r="M10" s="1418"/>
      <c r="N10" s="1419"/>
      <c r="P10" s="1418"/>
      <c r="Q10" s="1419"/>
      <c r="S10" s="1418"/>
      <c r="T10" s="1419"/>
      <c r="V10" s="1450"/>
      <c r="W10" s="1451"/>
    </row>
    <row r="11" spans="1:23" s="449" customFormat="1" ht="12.6" customHeight="1">
      <c r="B11" s="449" t="s">
        <v>676</v>
      </c>
      <c r="G11" s="1418">
        <v>4000</v>
      </c>
      <c r="H11" s="1419"/>
      <c r="J11" s="1418">
        <v>4000</v>
      </c>
      <c r="K11" s="1419"/>
      <c r="L11" s="843"/>
      <c r="M11" s="1418"/>
      <c r="N11" s="1419"/>
      <c r="P11" s="1418"/>
      <c r="Q11" s="1419"/>
      <c r="S11" s="1418"/>
      <c r="T11" s="1419"/>
      <c r="V11" s="1450"/>
      <c r="W11" s="1451"/>
    </row>
    <row r="12" spans="1:23" s="449" customFormat="1" ht="12.6" customHeight="1">
      <c r="B12" s="449" t="s">
        <v>3508</v>
      </c>
      <c r="G12" s="1418">
        <v>7000</v>
      </c>
      <c r="H12" s="1419"/>
      <c r="J12" s="1418">
        <v>7000</v>
      </c>
      <c r="K12" s="1419"/>
      <c r="L12" s="843"/>
      <c r="M12" s="1418"/>
      <c r="N12" s="1419"/>
      <c r="P12" s="1418"/>
      <c r="Q12" s="1419"/>
      <c r="S12" s="1418"/>
      <c r="T12" s="1419"/>
      <c r="V12" s="1450"/>
      <c r="W12" s="1451"/>
    </row>
    <row r="13" spans="1:23" s="449" customFormat="1" ht="12.6" customHeight="1">
      <c r="B13" s="449" t="s">
        <v>230</v>
      </c>
      <c r="G13" s="1418">
        <v>3000</v>
      </c>
      <c r="H13" s="1419"/>
      <c r="J13" s="1418">
        <v>3000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1138</v>
      </c>
      <c r="C14" s="1298" t="s">
        <v>3399</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1138</v>
      </c>
      <c r="C15" s="1298" t="s">
        <v>3399</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1138</v>
      </c>
      <c r="C16" s="1298" t="s">
        <v>3399</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231</v>
      </c>
      <c r="G17" s="1015">
        <f>SUM(G8:H16)</f>
        <v>31000</v>
      </c>
      <c r="H17" s="1016"/>
      <c r="J17" s="1015">
        <f>SUM(J8:K16)</f>
        <v>31000</v>
      </c>
      <c r="K17" s="1028"/>
      <c r="L17" s="843"/>
      <c r="M17" s="1015">
        <f>SUM(M8:N16)</f>
        <v>0</v>
      </c>
      <c r="N17" s="1016"/>
      <c r="P17" s="1015">
        <f>SUM(P8:Q16)</f>
        <v>0</v>
      </c>
      <c r="Q17" s="1016"/>
      <c r="S17" s="1015">
        <f>SUM(S8:T16)</f>
        <v>0</v>
      </c>
      <c r="T17" s="1016"/>
      <c r="V17" s="1454"/>
      <c r="W17" s="1455"/>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18">
        <v>775000</v>
      </c>
      <c r="H19" s="1419"/>
      <c r="J19" s="515"/>
      <c r="K19" s="512"/>
      <c r="L19" s="515"/>
      <c r="M19" s="515"/>
      <c r="N19" s="512"/>
      <c r="P19" s="515"/>
      <c r="Q19" s="512"/>
      <c r="S19" s="1418"/>
      <c r="T19" s="1419"/>
      <c r="V19" s="1448"/>
      <c r="W19" s="1449"/>
    </row>
    <row r="20" spans="2:23" s="449" customFormat="1" ht="12.6" customHeight="1">
      <c r="B20" s="449" t="s">
        <v>1633</v>
      </c>
      <c r="G20" s="1418"/>
      <c r="H20" s="1419"/>
      <c r="J20" s="515"/>
      <c r="K20" s="512"/>
      <c r="L20" s="515"/>
      <c r="M20" s="515"/>
      <c r="N20" s="512"/>
      <c r="P20" s="515"/>
      <c r="Q20" s="512"/>
      <c r="S20" s="1418"/>
      <c r="T20" s="1419"/>
      <c r="V20" s="1450"/>
      <c r="W20" s="1451"/>
    </row>
    <row r="21" spans="2:23" s="449" customFormat="1" ht="12.6" customHeight="1">
      <c r="B21" s="449" t="s">
        <v>633</v>
      </c>
      <c r="G21" s="1418"/>
      <c r="H21" s="1419"/>
      <c r="J21" s="515"/>
      <c r="K21" s="512"/>
      <c r="L21" s="515"/>
      <c r="M21" s="1418"/>
      <c r="N21" s="1419"/>
      <c r="P21" s="515"/>
      <c r="Q21" s="512"/>
      <c r="S21" s="1418"/>
      <c r="T21" s="1419"/>
      <c r="V21" s="1450"/>
      <c r="W21" s="1451"/>
    </row>
    <row r="22" spans="2:23" s="449" customFormat="1" ht="12.6" customHeight="1" thickBot="1">
      <c r="B22" s="449" t="s">
        <v>599</v>
      </c>
      <c r="G22" s="1456"/>
      <c r="H22" s="1457"/>
      <c r="J22" s="515"/>
      <c r="K22" s="512"/>
      <c r="L22" s="515"/>
      <c r="M22" s="1456"/>
      <c r="N22" s="1457"/>
      <c r="P22" s="515"/>
      <c r="Q22" s="512"/>
      <c r="S22" s="1418"/>
      <c r="T22" s="1419"/>
      <c r="V22" s="1450"/>
      <c r="W22" s="1451"/>
    </row>
    <row r="23" spans="2:23" s="449" customFormat="1" ht="12.6" customHeight="1" thickTop="1">
      <c r="F23" s="513" t="s">
        <v>231</v>
      </c>
      <c r="G23" s="1015">
        <f>SUM(G19:H22)</f>
        <v>775000</v>
      </c>
      <c r="H23" s="1016"/>
      <c r="J23" s="515"/>
      <c r="K23" s="512"/>
      <c r="L23" s="515"/>
      <c r="M23" s="1015">
        <f>SUM(M21:N22)</f>
        <v>0</v>
      </c>
      <c r="N23" s="1016"/>
      <c r="P23" s="515"/>
      <c r="Q23" s="512"/>
      <c r="S23" s="1015">
        <f>SUM(S19:T22)</f>
        <v>0</v>
      </c>
      <c r="T23" s="1016"/>
      <c r="V23" s="1454"/>
      <c r="W23" s="1455"/>
    </row>
    <row r="24" spans="2:23" s="449" customFormat="1" ht="13.15" customHeight="1">
      <c r="B24" s="452" t="s">
        <v>1634</v>
      </c>
      <c r="J24" s="515"/>
      <c r="K24" s="512"/>
      <c r="M24" s="515"/>
      <c r="N24" s="512"/>
      <c r="O24" s="514" t="str">
        <f>B24</f>
        <v>LAND IMPROVEMENTS</v>
      </c>
      <c r="P24" s="515"/>
      <c r="Q24" s="512"/>
      <c r="S24" s="515"/>
      <c r="T24" s="512"/>
      <c r="V24" s="449" t="str">
        <f>B24</f>
        <v>LAND IMPROVEMENTS</v>
      </c>
    </row>
    <row r="25" spans="2:23" s="449" customFormat="1" ht="12.6" customHeight="1">
      <c r="B25" s="449" t="s">
        <v>1635</v>
      </c>
      <c r="G25" s="1418">
        <v>912700</v>
      </c>
      <c r="H25" s="1419"/>
      <c r="J25" s="1452">
        <v>848811</v>
      </c>
      <c r="K25" s="1453"/>
      <c r="L25" s="843"/>
      <c r="M25" s="1452"/>
      <c r="N25" s="1453"/>
      <c r="P25" s="1452"/>
      <c r="Q25" s="1453"/>
      <c r="S25" s="1418"/>
      <c r="T25" s="1419"/>
      <c r="V25" s="1448"/>
      <c r="W25" s="1449"/>
    </row>
    <row r="26" spans="2:23" s="449" customFormat="1" ht="12.6" customHeight="1" thickBot="1">
      <c r="B26" s="449" t="s">
        <v>1636</v>
      </c>
      <c r="G26" s="1418"/>
      <c r="H26" s="1419"/>
      <c r="J26" s="1452"/>
      <c r="K26" s="1453"/>
      <c r="L26" s="516"/>
      <c r="M26" s="1029"/>
      <c r="N26" s="1029"/>
      <c r="P26" s="1029"/>
      <c r="Q26" s="1029"/>
      <c r="S26" s="1418"/>
      <c r="T26" s="1419"/>
      <c r="V26" s="1450"/>
      <c r="W26" s="1451"/>
    </row>
    <row r="27" spans="2:23" s="449" customFormat="1" ht="12.6" customHeight="1" thickTop="1">
      <c r="F27" s="513" t="s">
        <v>231</v>
      </c>
      <c r="G27" s="1015">
        <f>SUM(G25:H26)</f>
        <v>912700</v>
      </c>
      <c r="H27" s="1016"/>
      <c r="J27" s="1015">
        <f>SUM(J25:K26)</f>
        <v>848811</v>
      </c>
      <c r="K27" s="1016"/>
      <c r="L27" s="515"/>
      <c r="M27" s="1015">
        <f>M25</f>
        <v>0</v>
      </c>
      <c r="N27" s="1016"/>
      <c r="P27" s="1015">
        <f>P25</f>
        <v>0</v>
      </c>
      <c r="Q27" s="1016"/>
      <c r="S27" s="1015">
        <f>SUM(S25:T26)</f>
        <v>0</v>
      </c>
      <c r="T27" s="1016"/>
      <c r="V27" s="1454"/>
      <c r="W27" s="1455"/>
    </row>
    <row r="28" spans="2:23" s="449" customFormat="1" ht="13.15" customHeight="1">
      <c r="B28" s="452" t="s">
        <v>1637</v>
      </c>
      <c r="J28" s="515"/>
      <c r="K28" s="512"/>
      <c r="M28" s="515"/>
      <c r="N28" s="512"/>
      <c r="O28" s="514" t="str">
        <f>B28</f>
        <v>STRUCTURES</v>
      </c>
      <c r="P28" s="515"/>
      <c r="Q28" s="512"/>
      <c r="S28" s="515"/>
      <c r="T28" s="512"/>
      <c r="V28" s="449" t="str">
        <f>B28</f>
        <v>STRUCTURES</v>
      </c>
    </row>
    <row r="29" spans="2:23" s="449" customFormat="1" ht="12.6" customHeight="1">
      <c r="B29" s="449" t="s">
        <v>1638</v>
      </c>
      <c r="G29" s="1418">
        <v>5355312</v>
      </c>
      <c r="H29" s="1419"/>
      <c r="J29" s="1418">
        <v>5355312</v>
      </c>
      <c r="K29" s="1419"/>
      <c r="L29" s="843"/>
      <c r="M29" s="1418"/>
      <c r="N29" s="1419"/>
      <c r="P29" s="1418"/>
      <c r="Q29" s="1419"/>
      <c r="S29" s="1418"/>
      <c r="T29" s="1419"/>
      <c r="V29" s="1448"/>
      <c r="W29" s="1449"/>
    </row>
    <row r="30" spans="2:23" s="449" customFormat="1" ht="12.6" customHeight="1">
      <c r="B30" s="449" t="s">
        <v>1639</v>
      </c>
      <c r="G30" s="1418"/>
      <c r="H30" s="1419"/>
      <c r="J30" s="1418"/>
      <c r="K30" s="1419"/>
      <c r="L30" s="843"/>
      <c r="M30" s="1418"/>
      <c r="N30" s="1419"/>
      <c r="P30" s="1418"/>
      <c r="Q30" s="1419"/>
      <c r="S30" s="1418"/>
      <c r="T30" s="1419"/>
      <c r="V30" s="1450"/>
      <c r="W30" s="1451"/>
    </row>
    <row r="31" spans="2:23" ht="12.6" customHeight="1" thickBot="1">
      <c r="B31" s="449" t="s">
        <v>1640</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231</v>
      </c>
      <c r="G32" s="1015">
        <f>SUM(G29:H31)</f>
        <v>5355312</v>
      </c>
      <c r="H32" s="1016"/>
      <c r="J32" s="1015">
        <f>SUM(J29:K31)</f>
        <v>5355312</v>
      </c>
      <c r="K32" s="1016"/>
      <c r="L32" s="843"/>
      <c r="M32" s="1015">
        <f>SUM(M29:N31)</f>
        <v>0</v>
      </c>
      <c r="N32" s="1016"/>
      <c r="P32" s="1015">
        <f>SUM(P29:Q31)</f>
        <v>0</v>
      </c>
      <c r="Q32" s="1016"/>
      <c r="S32" s="1015">
        <f>SUM(S29:T31)</f>
        <v>0</v>
      </c>
      <c r="T32" s="1016"/>
      <c r="V32" s="1454"/>
      <c r="W32" s="1455"/>
    </row>
    <row r="33" spans="1:23" s="449" customFormat="1" ht="13.15" customHeight="1">
      <c r="B33" s="452" t="s">
        <v>3269</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376080.72</v>
      </c>
      <c r="G34" s="1418">
        <v>376080</v>
      </c>
      <c r="H34" s="1419"/>
      <c r="I34" s="472"/>
      <c r="J34" s="1418">
        <v>376080</v>
      </c>
      <c r="K34" s="1419"/>
      <c r="L34" s="843"/>
      <c r="M34" s="1418"/>
      <c r="N34" s="1419"/>
      <c r="P34" s="1418"/>
      <c r="Q34" s="1419"/>
      <c r="S34" s="1418"/>
      <c r="T34" s="1419"/>
      <c r="V34" s="1448"/>
      <c r="W34" s="1449"/>
    </row>
    <row r="35" spans="1:23" s="449" customFormat="1" ht="12.6" customHeight="1" thickBot="1">
      <c r="B35" s="449" t="s">
        <v>2924</v>
      </c>
      <c r="E35" s="604">
        <f>'DCA Underwriting Assumptions'!$R$39+'DCA Underwriting Assumptions'!$R$40</f>
        <v>0.08</v>
      </c>
      <c r="F35" s="605">
        <f>E35*($G$27+$G$32)</f>
        <v>501440.96</v>
      </c>
      <c r="G35" s="1418">
        <v>501441</v>
      </c>
      <c r="H35" s="1419"/>
      <c r="I35" s="472"/>
      <c r="J35" s="1418">
        <v>501441</v>
      </c>
      <c r="K35" s="1419"/>
      <c r="L35" s="843"/>
      <c r="M35" s="1418"/>
      <c r="N35" s="1419"/>
      <c r="P35" s="1418"/>
      <c r="Q35" s="1419"/>
      <c r="S35" s="1418"/>
      <c r="T35" s="1419"/>
      <c r="V35" s="1450"/>
      <c r="W35" s="1451"/>
    </row>
    <row r="36" spans="1:23" s="449" customFormat="1" ht="12.6" customHeight="1" thickTop="1">
      <c r="B36" s="449" t="s">
        <v>2925</v>
      </c>
      <c r="D36" s="520"/>
      <c r="E36" s="833"/>
      <c r="F36" s="606" t="s">
        <v>231</v>
      </c>
      <c r="G36" s="1015">
        <f>SUM(G34:H35)</f>
        <v>877521</v>
      </c>
      <c r="H36" s="1016"/>
      <c r="J36" s="1015">
        <f>SUM(J34:K35)</f>
        <v>877521</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1643</v>
      </c>
      <c r="C38" s="522"/>
      <c r="D38" s="523">
        <f>B39/'Part VI-Revenues &amp; Expenses'!$M$62</f>
        <v>85065.869047619053</v>
      </c>
      <c r="E38" s="523"/>
      <c r="F38" s="524" t="s">
        <v>1975</v>
      </c>
      <c r="V38" s="1448"/>
      <c r="W38" s="1449"/>
    </row>
    <row r="39" spans="1:23" s="449" customFormat="1" ht="12.6" customHeight="1">
      <c r="B39" s="1030">
        <f>G27+G32+G36</f>
        <v>7145533</v>
      </c>
      <c r="C39" s="1031"/>
      <c r="D39" s="525">
        <f>B39/'Part VI-Revenues &amp; Expenses'!$M$100</f>
        <v>104.50352462852463</v>
      </c>
      <c r="E39" s="525"/>
      <c r="F39" s="526" t="s">
        <v>1243</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1641</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5.0000048981650495E-2</v>
      </c>
      <c r="G42" s="1418">
        <v>357277</v>
      </c>
      <c r="H42" s="1419"/>
      <c r="I42" s="449"/>
      <c r="J42" s="1418">
        <v>357277</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874</v>
      </c>
      <c r="B45" s="684" t="s">
        <v>1394</v>
      </c>
      <c r="H45" s="833"/>
      <c r="I45" s="833"/>
      <c r="J45" s="1011" t="s">
        <v>335</v>
      </c>
      <c r="K45" s="1012"/>
      <c r="L45" s="512"/>
      <c r="M45" s="1023" t="s">
        <v>678</v>
      </c>
      <c r="N45" s="1024"/>
      <c r="P45" s="1011" t="s">
        <v>336</v>
      </c>
      <c r="Q45" s="1012"/>
      <c r="S45" s="1011" t="s">
        <v>337</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3866</v>
      </c>
      <c r="W46" s="1076"/>
    </row>
    <row r="47" spans="1:23" s="449" customFormat="1" ht="12" customHeight="1">
      <c r="B47" s="452" t="s">
        <v>1004</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18">
        <v>84782</v>
      </c>
      <c r="H48" s="1419"/>
      <c r="J48" s="1418">
        <v>84782</v>
      </c>
      <c r="K48" s="1419"/>
      <c r="L48" s="843"/>
      <c r="M48" s="1418"/>
      <c r="N48" s="1419"/>
      <c r="P48" s="1418"/>
      <c r="Q48" s="1419"/>
      <c r="S48" s="1418"/>
      <c r="T48" s="1419"/>
      <c r="V48" s="1448"/>
      <c r="W48" s="1449"/>
    </row>
    <row r="49" spans="1:23" s="449" customFormat="1" ht="12" customHeight="1">
      <c r="B49" s="449" t="s">
        <v>3273</v>
      </c>
      <c r="G49" s="1418">
        <v>452849</v>
      </c>
      <c r="H49" s="1419"/>
      <c r="J49" s="1418">
        <v>275138</v>
      </c>
      <c r="K49" s="1419"/>
      <c r="L49" s="843"/>
      <c r="M49" s="1418"/>
      <c r="N49" s="1419"/>
      <c r="P49" s="1418"/>
      <c r="Q49" s="1419"/>
      <c r="S49" s="1418"/>
      <c r="T49" s="1419"/>
      <c r="V49" s="1450"/>
      <c r="W49" s="1451"/>
    </row>
    <row r="50" spans="1:23" s="449" customFormat="1" ht="12" customHeight="1">
      <c r="B50" s="449" t="s">
        <v>3274</v>
      </c>
      <c r="G50" s="1418">
        <v>15000</v>
      </c>
      <c r="H50" s="1419"/>
      <c r="J50" s="1418">
        <v>15000</v>
      </c>
      <c r="K50" s="1419"/>
      <c r="L50" s="843"/>
      <c r="M50" s="1418"/>
      <c r="N50" s="1419"/>
      <c r="P50" s="1418"/>
      <c r="Q50" s="1419"/>
      <c r="S50" s="1418"/>
      <c r="T50" s="1419"/>
      <c r="V50" s="1450"/>
      <c r="W50" s="1451"/>
    </row>
    <row r="51" spans="1:23" s="449" customFormat="1" ht="12" customHeight="1">
      <c r="B51" s="449" t="s">
        <v>3935</v>
      </c>
      <c r="G51" s="1418">
        <v>25000</v>
      </c>
      <c r="H51" s="1419"/>
      <c r="J51" s="1418">
        <v>25000</v>
      </c>
      <c r="K51" s="1419"/>
      <c r="L51" s="843"/>
      <c r="M51" s="1418"/>
      <c r="N51" s="1419"/>
      <c r="P51" s="1418"/>
      <c r="Q51" s="1419"/>
      <c r="S51" s="1418"/>
      <c r="T51" s="1419"/>
      <c r="V51" s="1450"/>
      <c r="W51" s="1451"/>
    </row>
    <row r="52" spans="1:23" s="449" customFormat="1" ht="12" customHeight="1">
      <c r="B52" s="449" t="s">
        <v>1005</v>
      </c>
      <c r="G52" s="1418">
        <v>5000</v>
      </c>
      <c r="H52" s="1419"/>
      <c r="J52" s="1418">
        <v>5000</v>
      </c>
      <c r="K52" s="1419"/>
      <c r="L52" s="843"/>
      <c r="M52" s="1418"/>
      <c r="N52" s="1419"/>
      <c r="P52" s="1418"/>
      <c r="Q52" s="1419"/>
      <c r="S52" s="1418"/>
      <c r="T52" s="1419"/>
      <c r="V52" s="1450"/>
      <c r="W52" s="1451"/>
    </row>
    <row r="53" spans="1:23" s="449" customFormat="1" ht="12" customHeight="1">
      <c r="B53" s="449" t="s">
        <v>3275</v>
      </c>
      <c r="G53" s="1418">
        <v>12000</v>
      </c>
      <c r="H53" s="1419"/>
      <c r="J53" s="1418">
        <v>12000</v>
      </c>
      <c r="K53" s="1419"/>
      <c r="L53" s="843"/>
      <c r="M53" s="1418"/>
      <c r="N53" s="1419"/>
      <c r="P53" s="1418"/>
      <c r="Q53" s="1419"/>
      <c r="S53" s="1418"/>
      <c r="T53" s="1419"/>
      <c r="V53" s="1450"/>
      <c r="W53" s="1451"/>
    </row>
    <row r="54" spans="1:23" s="449" customFormat="1" ht="12" customHeight="1">
      <c r="B54" s="449" t="s">
        <v>346</v>
      </c>
      <c r="G54" s="1418"/>
      <c r="H54" s="1419"/>
      <c r="J54" s="1418"/>
      <c r="K54" s="1419"/>
      <c r="L54" s="843"/>
      <c r="M54" s="1418"/>
      <c r="N54" s="1419"/>
      <c r="P54" s="1418"/>
      <c r="Q54" s="1419"/>
      <c r="S54" s="1418"/>
      <c r="T54" s="1419"/>
      <c r="V54" s="1450"/>
      <c r="W54" s="1451"/>
    </row>
    <row r="55" spans="1:23" s="449" customFormat="1" ht="12" customHeight="1">
      <c r="B55" s="519" t="s">
        <v>1675</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1138</v>
      </c>
      <c r="C56" s="1298" t="s">
        <v>3399</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231</v>
      </c>
      <c r="G57" s="1015">
        <f>SUM(G48:H56)</f>
        <v>594631</v>
      </c>
      <c r="H57" s="1016"/>
      <c r="J57" s="1015">
        <f>SUM(J48:K56)</f>
        <v>416920</v>
      </c>
      <c r="K57" s="1016"/>
      <c r="L57" s="515"/>
      <c r="M57" s="1015">
        <f>SUM(M48:N56)</f>
        <v>0</v>
      </c>
      <c r="N57" s="1016"/>
      <c r="P57" s="1015">
        <f>SUM(P48:Q56)</f>
        <v>0</v>
      </c>
      <c r="Q57" s="1016"/>
      <c r="S57" s="1015">
        <f>SUM(S48:T56)</f>
        <v>0</v>
      </c>
      <c r="T57" s="1016"/>
      <c r="V57" s="1454"/>
      <c r="W57" s="1455"/>
    </row>
    <row r="58" spans="1:23" s="449" customFormat="1" ht="12" customHeight="1">
      <c r="B58" s="452" t="s">
        <v>662</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663</v>
      </c>
      <c r="G59" s="1418">
        <v>210000</v>
      </c>
      <c r="H59" s="1419"/>
      <c r="J59" s="1418">
        <v>210000</v>
      </c>
      <c r="K59" s="1419"/>
      <c r="L59" s="843"/>
      <c r="M59" s="1418"/>
      <c r="N59" s="1419"/>
      <c r="P59" s="1418"/>
      <c r="Q59" s="1419"/>
      <c r="S59" s="1418"/>
      <c r="T59" s="1419"/>
      <c r="V59" s="1448"/>
      <c r="W59" s="1449"/>
    </row>
    <row r="60" spans="1:23" s="449" customFormat="1" ht="12" customHeight="1">
      <c r="B60" s="449" t="s">
        <v>664</v>
      </c>
      <c r="G60" s="1418">
        <v>30000</v>
      </c>
      <c r="H60" s="1419"/>
      <c r="J60" s="1418">
        <v>30000</v>
      </c>
      <c r="K60" s="1419"/>
      <c r="L60" s="843"/>
      <c r="M60" s="1418"/>
      <c r="N60" s="1419"/>
      <c r="P60" s="1418"/>
      <c r="Q60" s="1419"/>
      <c r="S60" s="1418"/>
      <c r="T60" s="1419"/>
      <c r="V60" s="1450"/>
      <c r="W60" s="1451"/>
    </row>
    <row r="61" spans="1:23" s="449" customFormat="1" ht="12" customHeight="1">
      <c r="B61" s="449" t="s">
        <v>1644</v>
      </c>
      <c r="G61" s="1418"/>
      <c r="H61" s="1419"/>
      <c r="J61" s="1418"/>
      <c r="K61" s="1419"/>
      <c r="L61" s="843"/>
      <c r="M61" s="1418"/>
      <c r="N61" s="1419"/>
      <c r="P61" s="1418"/>
      <c r="Q61" s="1419"/>
      <c r="S61" s="1418"/>
      <c r="T61" s="1419"/>
      <c r="V61" s="1450"/>
      <c r="W61" s="1451"/>
    </row>
    <row r="62" spans="1:23" s="449" customFormat="1" ht="12" customHeight="1">
      <c r="B62" s="449" t="s">
        <v>1645</v>
      </c>
      <c r="G62" s="1418">
        <v>20000</v>
      </c>
      <c r="H62" s="1419"/>
      <c r="J62" s="1418">
        <v>20000</v>
      </c>
      <c r="K62" s="1419"/>
      <c r="L62" s="843"/>
      <c r="M62" s="1418"/>
      <c r="N62" s="1419"/>
      <c r="P62" s="1418"/>
      <c r="Q62" s="1419"/>
      <c r="S62" s="1418"/>
      <c r="T62" s="1419"/>
      <c r="V62" s="1450"/>
      <c r="W62" s="1451"/>
    </row>
    <row r="63" spans="1:23" s="449" customFormat="1" ht="12" customHeight="1">
      <c r="B63" s="449" t="s">
        <v>1646</v>
      </c>
      <c r="G63" s="1418"/>
      <c r="H63" s="1419"/>
      <c r="J63" s="1418"/>
      <c r="K63" s="1419"/>
      <c r="L63" s="843"/>
      <c r="M63" s="1418"/>
      <c r="N63" s="1419"/>
      <c r="P63" s="1418"/>
      <c r="Q63" s="1419"/>
      <c r="S63" s="1418"/>
      <c r="T63" s="1419"/>
      <c r="V63" s="1450"/>
      <c r="W63" s="1451"/>
    </row>
    <row r="64" spans="1:23" s="449" customFormat="1" ht="12" customHeight="1">
      <c r="B64" s="449" t="s">
        <v>1647</v>
      </c>
      <c r="G64" s="1418">
        <v>30000</v>
      </c>
      <c r="H64" s="1419"/>
      <c r="J64" s="1418">
        <v>30000</v>
      </c>
      <c r="K64" s="1419"/>
      <c r="L64" s="843"/>
      <c r="M64" s="1418"/>
      <c r="N64" s="1419"/>
      <c r="P64" s="1418"/>
      <c r="Q64" s="1419"/>
      <c r="S64" s="1418"/>
      <c r="T64" s="1419"/>
      <c r="V64" s="1450"/>
      <c r="W64" s="1451"/>
    </row>
    <row r="65" spans="1:23" s="449" customFormat="1" ht="12" customHeight="1">
      <c r="B65" s="449" t="s">
        <v>665</v>
      </c>
      <c r="G65" s="1418">
        <v>60000</v>
      </c>
      <c r="H65" s="1419"/>
      <c r="J65" s="1418">
        <v>60000</v>
      </c>
      <c r="K65" s="1419"/>
      <c r="L65" s="843"/>
      <c r="M65" s="1418"/>
      <c r="N65" s="1419"/>
      <c r="P65" s="1418"/>
      <c r="Q65" s="1419"/>
      <c r="S65" s="1418"/>
      <c r="T65" s="1419"/>
      <c r="V65" s="1450"/>
      <c r="W65" s="1451"/>
    </row>
    <row r="66" spans="1:23" s="449" customFormat="1" ht="12" customHeight="1">
      <c r="B66" s="449" t="s">
        <v>666</v>
      </c>
      <c r="G66" s="1418">
        <v>70000</v>
      </c>
      <c r="H66" s="1419"/>
      <c r="J66" s="1418">
        <v>63750</v>
      </c>
      <c r="K66" s="1419"/>
      <c r="L66" s="843"/>
      <c r="M66" s="1418"/>
      <c r="N66" s="1419"/>
      <c r="P66" s="1418"/>
      <c r="Q66" s="1419"/>
      <c r="S66" s="1418"/>
      <c r="T66" s="1419"/>
      <c r="V66" s="1450"/>
      <c r="W66" s="1451"/>
    </row>
    <row r="67" spans="1:23" s="449" customFormat="1" ht="12" customHeight="1">
      <c r="B67" s="449" t="s">
        <v>2935</v>
      </c>
      <c r="G67" s="1418">
        <v>15000</v>
      </c>
      <c r="H67" s="1419"/>
      <c r="J67" s="1418">
        <v>15000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1138</v>
      </c>
      <c r="C68" s="1298" t="s">
        <v>3399</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231</v>
      </c>
      <c r="G69" s="1015">
        <f>SUM(G59:H68)</f>
        <v>435000</v>
      </c>
      <c r="H69" s="1016"/>
      <c r="J69" s="1015">
        <f>SUM(J59:K68)</f>
        <v>428750</v>
      </c>
      <c r="K69" s="1016"/>
      <c r="L69" s="515"/>
      <c r="M69" s="1015">
        <f>SUM(M59:N68)</f>
        <v>0</v>
      </c>
      <c r="N69" s="1016"/>
      <c r="P69" s="1015">
        <f>SUM(P59:Q68)</f>
        <v>0</v>
      </c>
      <c r="Q69" s="1016"/>
      <c r="S69" s="1015">
        <f>SUM(S59:T68)</f>
        <v>0</v>
      </c>
      <c r="T69" s="1016"/>
      <c r="V69" s="1454"/>
      <c r="W69" s="1455"/>
    </row>
    <row r="70" spans="1:23" ht="12" customHeight="1">
      <c r="A70" s="449"/>
      <c r="B70" s="452" t="s">
        <v>1825</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1826</v>
      </c>
      <c r="G71" s="1418">
        <v>187102</v>
      </c>
      <c r="H71" s="1419"/>
      <c r="J71" s="1418">
        <v>187102</v>
      </c>
      <c r="K71" s="1419"/>
      <c r="L71" s="843"/>
      <c r="M71" s="1418"/>
      <c r="N71" s="1419"/>
      <c r="P71" s="1418"/>
      <c r="Q71" s="1419"/>
      <c r="S71" s="1418"/>
      <c r="T71" s="1419"/>
      <c r="V71" s="1460"/>
      <c r="W71" s="1461"/>
    </row>
    <row r="72" spans="1:23" s="449" customFormat="1" ht="12" customHeight="1">
      <c r="B72" s="449" t="s">
        <v>1827</v>
      </c>
      <c r="G72" s="1418">
        <v>22220</v>
      </c>
      <c r="H72" s="1419"/>
      <c r="J72" s="1418">
        <v>22220</v>
      </c>
      <c r="K72" s="1419"/>
      <c r="L72" s="843"/>
      <c r="M72" s="1418"/>
      <c r="N72" s="1419"/>
      <c r="P72" s="1418"/>
      <c r="Q72" s="1419"/>
      <c r="S72" s="1418"/>
      <c r="T72" s="1419"/>
      <c r="V72" s="1462"/>
      <c r="W72" s="1463"/>
    </row>
    <row r="73" spans="1:23" s="449" customFormat="1" ht="12" customHeight="1">
      <c r="B73" s="449" t="s">
        <v>1828</v>
      </c>
      <c r="D73" s="529" t="s">
        <v>1976</v>
      </c>
      <c r="E73" s="1464" t="s">
        <v>3983</v>
      </c>
      <c r="G73" s="1418">
        <v>37380</v>
      </c>
      <c r="H73" s="1419"/>
      <c r="I73" s="472"/>
      <c r="J73" s="1418">
        <v>37380</v>
      </c>
      <c r="K73" s="1419"/>
      <c r="L73" s="843"/>
      <c r="M73" s="1418"/>
      <c r="N73" s="1419"/>
      <c r="P73" s="1418"/>
      <c r="Q73" s="1419"/>
      <c r="S73" s="1418"/>
      <c r="T73" s="1419"/>
      <c r="V73" s="1462"/>
      <c r="W73" s="1463"/>
    </row>
    <row r="74" spans="1:23" s="449" customFormat="1" ht="12" customHeight="1" thickBot="1">
      <c r="B74" s="449" t="s">
        <v>1829</v>
      </c>
      <c r="D74" s="529" t="s">
        <v>1976</v>
      </c>
      <c r="E74" s="1464" t="s">
        <v>3983</v>
      </c>
      <c r="G74" s="1418">
        <v>184875</v>
      </c>
      <c r="H74" s="1419"/>
      <c r="I74" s="472"/>
      <c r="J74" s="1418">
        <v>184875</v>
      </c>
      <c r="K74" s="1419"/>
      <c r="L74" s="843"/>
      <c r="M74" s="1418"/>
      <c r="N74" s="1419"/>
      <c r="P74" s="1418"/>
      <c r="Q74" s="1419"/>
      <c r="S74" s="1418"/>
      <c r="T74" s="1419"/>
      <c r="V74" s="1462"/>
      <c r="W74" s="1463"/>
    </row>
    <row r="75" spans="1:23" s="449" customFormat="1" ht="12" customHeight="1" thickTop="1">
      <c r="F75" s="513" t="s">
        <v>231</v>
      </c>
      <c r="G75" s="1015">
        <f>SUM(G71:H74)</f>
        <v>431577</v>
      </c>
      <c r="H75" s="1016"/>
      <c r="J75" s="1015">
        <f>SUM(J71:K74)</f>
        <v>431577</v>
      </c>
      <c r="K75" s="1016"/>
      <c r="L75" s="515"/>
      <c r="M75" s="1015">
        <f>SUM(M71:N74)</f>
        <v>0</v>
      </c>
      <c r="N75" s="1016"/>
      <c r="P75" s="1015">
        <f>SUM(P71:Q74)</f>
        <v>0</v>
      </c>
      <c r="Q75" s="1016"/>
      <c r="S75" s="1015">
        <f>SUM(S71:T74)</f>
        <v>0</v>
      </c>
      <c r="T75" s="1016"/>
      <c r="V75" s="1465"/>
      <c r="W75" s="1466"/>
    </row>
    <row r="76" spans="1:23" s="449" customFormat="1" ht="12" customHeight="1">
      <c r="B76" s="452" t="s">
        <v>1006</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1830</v>
      </c>
      <c r="G77" s="1418">
        <v>26000</v>
      </c>
      <c r="H77" s="1419"/>
      <c r="J77" s="1009"/>
      <c r="K77" s="1009"/>
      <c r="L77" s="843"/>
      <c r="M77" s="1009"/>
      <c r="N77" s="1009"/>
      <c r="P77" s="1009"/>
      <c r="Q77" s="1009"/>
      <c r="S77" s="1418"/>
      <c r="T77" s="1419"/>
      <c r="V77" s="1460"/>
      <c r="W77" s="1461"/>
    </row>
    <row r="78" spans="1:23" s="449" customFormat="1" ht="12" customHeight="1">
      <c r="B78" s="449" t="s">
        <v>1831</v>
      </c>
      <c r="G78" s="1418"/>
      <c r="H78" s="1419"/>
      <c r="J78" s="1027"/>
      <c r="K78" s="1027"/>
      <c r="L78" s="843"/>
      <c r="M78" s="1027"/>
      <c r="N78" s="1027"/>
      <c r="P78" s="1027"/>
      <c r="Q78" s="1027"/>
      <c r="S78" s="1418"/>
      <c r="T78" s="1419"/>
      <c r="V78" s="1462"/>
      <c r="W78" s="1463"/>
    </row>
    <row r="79" spans="1:23" s="449" customFormat="1" ht="12" customHeight="1">
      <c r="B79" s="449" t="s">
        <v>1832</v>
      </c>
      <c r="G79" s="1418">
        <v>20000</v>
      </c>
      <c r="H79" s="1419"/>
      <c r="J79" s="1418">
        <v>20000</v>
      </c>
      <c r="K79" s="1419"/>
      <c r="L79" s="843"/>
      <c r="M79" s="1418"/>
      <c r="N79" s="1419"/>
      <c r="P79" s="1418"/>
      <c r="Q79" s="1419"/>
      <c r="S79" s="1418"/>
      <c r="T79" s="1419"/>
      <c r="V79" s="1462"/>
      <c r="W79" s="1463"/>
    </row>
    <row r="80" spans="1:23" s="449" customFormat="1" ht="12" customHeight="1">
      <c r="B80" s="449" t="s">
        <v>1833</v>
      </c>
      <c r="G80" s="1418">
        <v>4000</v>
      </c>
      <c r="H80" s="1419"/>
      <c r="J80" s="1418">
        <v>4000</v>
      </c>
      <c r="K80" s="1419"/>
      <c r="L80" s="843"/>
      <c r="M80" s="1418"/>
      <c r="N80" s="1419"/>
      <c r="P80" s="1418"/>
      <c r="Q80" s="1419"/>
      <c r="S80" s="1418"/>
      <c r="T80" s="1419"/>
      <c r="V80" s="1462"/>
      <c r="W80" s="1463"/>
    </row>
    <row r="81" spans="1:23" s="449" customFormat="1" ht="12" customHeight="1">
      <c r="B81" s="449" t="s">
        <v>1834</v>
      </c>
      <c r="G81" s="1418"/>
      <c r="H81" s="1419"/>
      <c r="J81" s="1418"/>
      <c r="K81" s="1419"/>
      <c r="L81" s="843"/>
      <c r="M81" s="1418"/>
      <c r="N81" s="1419"/>
      <c r="P81" s="1418"/>
      <c r="Q81" s="1419"/>
      <c r="S81" s="1418"/>
      <c r="T81" s="1419"/>
      <c r="V81" s="1462"/>
      <c r="W81" s="1463"/>
    </row>
    <row r="82" spans="1:23" s="449" customFormat="1" ht="12" customHeight="1">
      <c r="B82" s="449" t="s">
        <v>3217</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1138</v>
      </c>
      <c r="C83" s="1298" t="s">
        <v>4019</v>
      </c>
      <c r="D83" s="1298"/>
      <c r="E83" s="1298"/>
      <c r="F83" s="1299"/>
      <c r="G83" s="1418">
        <v>7800</v>
      </c>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231</v>
      </c>
      <c r="G84" s="1015">
        <f>SUM(G77:H83)</f>
        <v>57800</v>
      </c>
      <c r="H84" s="1016"/>
      <c r="J84" s="1015">
        <f>SUM(J79:K83)</f>
        <v>24000</v>
      </c>
      <c r="K84" s="1016"/>
      <c r="L84" s="515"/>
      <c r="M84" s="1015">
        <f>SUM(M79:N83)</f>
        <v>0</v>
      </c>
      <c r="N84" s="1016"/>
      <c r="P84" s="1015">
        <f>SUM(P79:Q83)</f>
        <v>0</v>
      </c>
      <c r="Q84" s="1016"/>
      <c r="S84" s="1015">
        <f>SUM(S77:T83)</f>
        <v>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874</v>
      </c>
      <c r="B86" s="684" t="s">
        <v>1394</v>
      </c>
      <c r="H86" s="833"/>
      <c r="I86" s="833"/>
      <c r="J86" s="1011" t="s">
        <v>335</v>
      </c>
      <c r="K86" s="1012"/>
      <c r="L86" s="512"/>
      <c r="M86" s="1023" t="s">
        <v>678</v>
      </c>
      <c r="N86" s="1024"/>
      <c r="P86" s="1011" t="s">
        <v>336</v>
      </c>
      <c r="Q86" s="1012"/>
      <c r="S86" s="1011" t="s">
        <v>337</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3866</v>
      </c>
      <c r="W87" s="1076"/>
    </row>
    <row r="88" spans="1:23" s="449" customFormat="1" ht="13.15" customHeight="1">
      <c r="B88" s="452" t="s">
        <v>1007</v>
      </c>
      <c r="J88" s="515"/>
      <c r="K88" s="515"/>
      <c r="M88" s="515"/>
      <c r="N88" s="515"/>
      <c r="O88" s="514" t="str">
        <f>B88</f>
        <v>DCA-RELATED COSTS</v>
      </c>
      <c r="P88" s="515"/>
      <c r="Q88" s="515"/>
      <c r="S88" s="515"/>
      <c r="T88" s="515"/>
      <c r="V88" s="449" t="str">
        <f>B88</f>
        <v>DCA-RELATED COSTS</v>
      </c>
    </row>
    <row r="89" spans="1:23" s="449" customFormat="1" ht="12.6" customHeight="1">
      <c r="B89" s="449" t="s">
        <v>2139</v>
      </c>
      <c r="G89" s="1418"/>
      <c r="H89" s="1419"/>
      <c r="J89" s="515"/>
      <c r="K89" s="515"/>
      <c r="L89" s="843"/>
      <c r="M89" s="515"/>
      <c r="N89" s="515"/>
      <c r="P89" s="515"/>
      <c r="Q89" s="515"/>
      <c r="S89" s="1418"/>
      <c r="T89" s="1419"/>
      <c r="V89" s="1460"/>
      <c r="W89" s="1461"/>
    </row>
    <row r="90" spans="1:23" s="449" customFormat="1" ht="12.6" customHeight="1">
      <c r="B90" s="449" t="s">
        <v>1736</v>
      </c>
      <c r="G90" s="1418">
        <v>6500</v>
      </c>
      <c r="H90" s="1419"/>
      <c r="J90" s="515"/>
      <c r="K90" s="515"/>
      <c r="L90" s="530"/>
      <c r="M90" s="515"/>
      <c r="N90" s="515"/>
      <c r="P90" s="515"/>
      <c r="Q90" s="515"/>
      <c r="S90" s="1418"/>
      <c r="T90" s="1419"/>
      <c r="V90" s="1462"/>
      <c r="W90" s="1463"/>
    </row>
    <row r="91" spans="1:23" s="449" customFormat="1" ht="12.6" customHeight="1">
      <c r="B91" s="449" t="s">
        <v>3954</v>
      </c>
      <c r="G91" s="1418"/>
      <c r="H91" s="1419"/>
      <c r="J91" s="515"/>
      <c r="K91" s="515"/>
      <c r="L91" s="530"/>
      <c r="M91" s="515"/>
      <c r="N91" s="515"/>
      <c r="O91" s="833"/>
      <c r="P91" s="515"/>
      <c r="Q91" s="515"/>
      <c r="S91" s="1418"/>
      <c r="T91" s="1419"/>
      <c r="V91" s="1462"/>
      <c r="W91" s="1463"/>
    </row>
    <row r="92" spans="1:23" s="449" customFormat="1" ht="12.6" customHeight="1">
      <c r="B92" s="449" t="s">
        <v>755</v>
      </c>
      <c r="E92" s="1032">
        <f>'DCA Underwriting Assumptions'!$Q$41*$J$165</f>
        <v>67200</v>
      </c>
      <c r="F92" s="1033"/>
      <c r="G92" s="1418">
        <v>67200</v>
      </c>
      <c r="H92" s="1419"/>
      <c r="J92" s="515"/>
      <c r="K92" s="515"/>
      <c r="L92" s="843"/>
      <c r="M92" s="515"/>
      <c r="N92" s="515"/>
      <c r="O92" s="833"/>
      <c r="P92" s="515"/>
      <c r="Q92" s="515"/>
      <c r="S92" s="1418"/>
      <c r="T92" s="1419"/>
      <c r="V92" s="1462"/>
      <c r="W92" s="1463"/>
    </row>
    <row r="93" spans="1:23" s="449" customFormat="1" ht="12.6" customHeight="1">
      <c r="B93" s="449" t="s">
        <v>1150</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67200</v>
      </c>
      <c r="F93" s="1033"/>
      <c r="G93" s="1418">
        <v>67200</v>
      </c>
      <c r="H93" s="1419"/>
      <c r="J93" s="416"/>
      <c r="K93" s="416"/>
      <c r="L93" s="416"/>
      <c r="M93" s="416"/>
      <c r="N93" s="416"/>
      <c r="O93" s="416"/>
      <c r="P93" s="416"/>
      <c r="Q93" s="416"/>
      <c r="S93" s="1418"/>
      <c r="T93" s="1419"/>
      <c r="V93" s="1462"/>
      <c r="W93" s="1463"/>
    </row>
    <row r="94" spans="1:23" s="449" customFormat="1" ht="12.6" customHeight="1">
      <c r="B94" s="449" t="s">
        <v>673</v>
      </c>
      <c r="G94" s="1418"/>
      <c r="H94" s="1419"/>
      <c r="J94" s="416"/>
      <c r="K94" s="416"/>
      <c r="L94" s="416"/>
      <c r="M94" s="416"/>
      <c r="N94" s="416"/>
      <c r="O94" s="416"/>
      <c r="P94" s="416"/>
      <c r="Q94" s="416"/>
      <c r="S94" s="1418"/>
      <c r="T94" s="1419"/>
      <c r="V94" s="1462"/>
      <c r="W94" s="1463"/>
    </row>
    <row r="95" spans="1:23" s="449" customFormat="1" ht="12.6" customHeight="1">
      <c r="B95" s="449" t="s">
        <v>3316</v>
      </c>
      <c r="G95" s="1418">
        <v>3000</v>
      </c>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1138</v>
      </c>
      <c r="C96" s="1298" t="s">
        <v>3399</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1138</v>
      </c>
      <c r="C97" s="1298" t="s">
        <v>3399</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231</v>
      </c>
      <c r="G98" s="1015">
        <f>SUM(G89:H97)</f>
        <v>143900</v>
      </c>
      <c r="H98" s="1016"/>
      <c r="J98" s="515"/>
      <c r="K98" s="515"/>
      <c r="L98" s="843"/>
      <c r="M98" s="515"/>
      <c r="N98" s="515"/>
      <c r="P98" s="515"/>
      <c r="Q98" s="515"/>
      <c r="S98" s="1015">
        <f>SUM(S89:T97)</f>
        <v>0</v>
      </c>
      <c r="T98" s="1016"/>
      <c r="V98" s="1465"/>
      <c r="W98" s="1466"/>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345</v>
      </c>
      <c r="G100" s="1418">
        <v>2500</v>
      </c>
      <c r="H100" s="1419"/>
      <c r="J100" s="1009"/>
      <c r="K100" s="1009"/>
      <c r="L100" s="843"/>
      <c r="M100" s="1009"/>
      <c r="N100" s="1009"/>
      <c r="O100" s="833"/>
      <c r="P100" s="1009"/>
      <c r="Q100" s="1009"/>
      <c r="S100" s="1418"/>
      <c r="T100" s="1419"/>
      <c r="V100" s="1460"/>
      <c r="W100" s="1461"/>
    </row>
    <row r="101" spans="1:23" s="449" customFormat="1" ht="12.6" customHeight="1">
      <c r="B101" s="449" t="s">
        <v>347</v>
      </c>
      <c r="G101" s="1418"/>
      <c r="H101" s="1419"/>
      <c r="J101" s="1009"/>
      <c r="K101" s="1009"/>
      <c r="L101" s="843"/>
      <c r="M101" s="1009"/>
      <c r="N101" s="1009"/>
      <c r="O101" s="833"/>
      <c r="P101" s="1009"/>
      <c r="Q101" s="1009"/>
      <c r="S101" s="1418"/>
      <c r="T101" s="1419"/>
      <c r="V101" s="1462"/>
      <c r="W101" s="1463"/>
    </row>
    <row r="102" spans="1:23" s="449" customFormat="1" ht="12.6" customHeight="1">
      <c r="B102" s="449" t="s">
        <v>3360</v>
      </c>
      <c r="G102" s="1418"/>
      <c r="H102" s="1419"/>
      <c r="J102" s="1009"/>
      <c r="K102" s="1009"/>
      <c r="L102" s="843"/>
      <c r="M102" s="1009"/>
      <c r="N102" s="1009"/>
      <c r="O102" s="833"/>
      <c r="P102" s="1009"/>
      <c r="Q102" s="1009"/>
      <c r="S102" s="1418"/>
      <c r="T102" s="1419"/>
      <c r="V102" s="1462"/>
      <c r="W102" s="1463"/>
    </row>
    <row r="103" spans="1:23" s="449" customFormat="1" ht="12.6" customHeight="1" thickBot="1">
      <c r="A103" s="548" t="str">
        <f>IF(AND(G103&gt;0,OR(C103="",C103="&lt;Enter detailed description here; use Comments section if needed&gt;")),"X","")</f>
        <v/>
      </c>
      <c r="B103" s="449" t="s">
        <v>1138</v>
      </c>
      <c r="C103" s="1298" t="s">
        <v>3399</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231</v>
      </c>
      <c r="G104" s="1015">
        <f>SUM(G100:H103)</f>
        <v>2500</v>
      </c>
      <c r="H104" s="1016"/>
      <c r="J104" s="1009"/>
      <c r="K104" s="1009"/>
      <c r="L104" s="843"/>
      <c r="M104" s="1009"/>
      <c r="N104" s="1009"/>
      <c r="O104" s="833"/>
      <c r="P104" s="1009"/>
      <c r="Q104" s="1009"/>
      <c r="S104" s="1015">
        <f>SUM(S100:T103)</f>
        <v>0</v>
      </c>
      <c r="T104" s="1016"/>
      <c r="V104" s="1465"/>
      <c r="W104" s="1466"/>
    </row>
    <row r="105" spans="1:23" s="449" customFormat="1" ht="13.15" customHeight="1">
      <c r="B105" s="452" t="s">
        <v>348</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0.14217480534491964</v>
      </c>
      <c r="G106" s="1418">
        <v>200000</v>
      </c>
      <c r="H106" s="1419"/>
      <c r="J106" s="1418">
        <v>200000</v>
      </c>
      <c r="K106" s="1419"/>
      <c r="L106" s="514"/>
      <c r="M106" s="1418"/>
      <c r="N106" s="1419"/>
      <c r="P106" s="1418"/>
      <c r="Q106" s="1419"/>
      <c r="S106" s="1418"/>
      <c r="T106" s="1419"/>
      <c r="V106" s="1460"/>
      <c r="W106" s="1461"/>
    </row>
    <row r="107" spans="1:23" s="449" customFormat="1" ht="12.6" customHeight="1">
      <c r="B107" s="449" t="s">
        <v>2733</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2725</v>
      </c>
      <c r="F108" s="624">
        <f>G108/$G$109</f>
        <v>0.85782519465508034</v>
      </c>
      <c r="G108" s="1418">
        <v>1206719</v>
      </c>
      <c r="H108" s="1419"/>
      <c r="J108" s="1418">
        <v>1206719</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231</v>
      </c>
      <c r="G109" s="1015">
        <f>SUM(G106:H108)</f>
        <v>1406719</v>
      </c>
      <c r="H109" s="1016"/>
      <c r="J109" s="1015">
        <f>SUM(J106:K108)</f>
        <v>1406719</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1877</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305</v>
      </c>
      <c r="G111" s="1418">
        <v>15000</v>
      </c>
      <c r="H111" s="1419"/>
      <c r="J111" s="531"/>
      <c r="K111" s="531"/>
      <c r="L111" s="531"/>
      <c r="M111" s="531"/>
      <c r="N111" s="531"/>
      <c r="P111" s="531"/>
      <c r="Q111" s="531"/>
      <c r="S111" s="1418"/>
      <c r="T111" s="1419"/>
      <c r="V111" s="1460"/>
      <c r="W111" s="1461"/>
    </row>
    <row r="112" spans="1:23" s="449" customFormat="1" ht="12.6" customHeight="1">
      <c r="B112" s="449" t="s">
        <v>2138</v>
      </c>
      <c r="G112" s="1418">
        <v>124252</v>
      </c>
      <c r="H112" s="1419"/>
      <c r="J112" s="1009"/>
      <c r="K112" s="1009"/>
      <c r="L112" s="843"/>
      <c r="M112" s="1009"/>
      <c r="N112" s="1009"/>
      <c r="O112" s="833"/>
      <c r="P112" s="1009"/>
      <c r="Q112" s="1009"/>
      <c r="R112" s="833"/>
      <c r="S112" s="1418"/>
      <c r="T112" s="1419"/>
      <c r="V112" s="1462"/>
      <c r="W112" s="1463"/>
    </row>
    <row r="113" spans="1:23" s="449" customFormat="1" ht="12.6" customHeight="1">
      <c r="B113" s="449" t="s">
        <v>949</v>
      </c>
      <c r="F113" s="472"/>
      <c r="G113" s="1418">
        <v>335740</v>
      </c>
      <c r="H113" s="1419"/>
      <c r="J113" s="530"/>
      <c r="K113" s="530"/>
      <c r="L113" s="530"/>
      <c r="M113" s="530"/>
      <c r="N113" s="530"/>
      <c r="O113" s="833"/>
      <c r="P113" s="530"/>
      <c r="Q113" s="530"/>
      <c r="R113" s="833"/>
      <c r="S113" s="1418"/>
      <c r="T113" s="1419"/>
      <c r="V113" s="1462"/>
      <c r="W113" s="1463"/>
    </row>
    <row r="114" spans="1:23" s="449" customFormat="1" ht="12.6" customHeight="1">
      <c r="B114" s="449" t="s">
        <v>1797</v>
      </c>
      <c r="G114" s="1418"/>
      <c r="H114" s="1419"/>
      <c r="J114" s="531"/>
      <c r="K114" s="531"/>
      <c r="L114" s="531"/>
      <c r="M114" s="531"/>
      <c r="N114" s="531"/>
      <c r="P114" s="531"/>
      <c r="Q114" s="531"/>
      <c r="S114" s="1418"/>
      <c r="T114" s="1419"/>
      <c r="V114" s="1462"/>
      <c r="W114" s="1463"/>
    </row>
    <row r="115" spans="1:23" s="449" customFormat="1" ht="12.6" customHeight="1">
      <c r="B115" s="449" t="s">
        <v>1798</v>
      </c>
      <c r="E115" s="449" t="s">
        <v>1371</v>
      </c>
      <c r="F115" s="792">
        <f>G115/'Part VI-Revenues &amp; Expenses'!$M$62</f>
        <v>952.38095238095241</v>
      </c>
      <c r="G115" s="1418">
        <v>80000</v>
      </c>
      <c r="H115" s="1419"/>
      <c r="J115" s="1418">
        <v>80000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1138</v>
      </c>
      <c r="C116" s="1298" t="s">
        <v>3399</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231</v>
      </c>
      <c r="G117" s="1015">
        <f>SUM(G111:H116)</f>
        <v>554992</v>
      </c>
      <c r="H117" s="1016"/>
      <c r="J117" s="1015">
        <f>SUM(J115:K116)</f>
        <v>80000</v>
      </c>
      <c r="K117" s="1016"/>
      <c r="L117" s="843"/>
      <c r="M117" s="1015">
        <f>SUM(M115:N116)</f>
        <v>0</v>
      </c>
      <c r="N117" s="1016"/>
      <c r="P117" s="1015">
        <f>SUM(P115:Q116)</f>
        <v>0</v>
      </c>
      <c r="Q117" s="1016"/>
      <c r="S117" s="1015">
        <f>SUM(S111:T116)</f>
        <v>0</v>
      </c>
      <c r="T117" s="1016"/>
      <c r="V117" s="1465"/>
      <c r="W117" s="1466"/>
    </row>
    <row r="118" spans="1:23" s="449" customFormat="1" ht="13.15" customHeight="1">
      <c r="B118" s="452" t="s">
        <v>867</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868</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1138</v>
      </c>
      <c r="C120" s="1298" t="s">
        <v>3399</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231</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349</v>
      </c>
      <c r="G123" s="1048">
        <f>G17+G23+G27+G32+G36+G42+G57+G69+G75+G84+G98+G104+G109+G117+G121</f>
        <v>11935929</v>
      </c>
      <c r="H123" s="1049"/>
      <c r="J123" s="1048">
        <f>J17+J23+J27+J32+J36+J42+J57+J69+J75+J84+J98+J104+J109+J117+J121</f>
        <v>10257887</v>
      </c>
      <c r="K123" s="1049"/>
      <c r="M123" s="1048">
        <f>M17+M23+M27+M32+M36+M42+M57+M69+M75+M84+M98+M104+M109+M117+M121</f>
        <v>0</v>
      </c>
      <c r="N123" s="1049"/>
      <c r="P123" s="1048">
        <f>P17+P23+P27+P32+P36+P42+P57+P69+P75+P84+P98+P104+P109+P117+P121</f>
        <v>0</v>
      </c>
      <c r="Q123" s="1049"/>
      <c r="S123" s="1048">
        <f>S17+S23+S27+S32+S36+S42+S57+S69+S75+S84+S98+S104+S109+S117+S121</f>
        <v>0</v>
      </c>
      <c r="T123" s="1049"/>
      <c r="V123" s="1465"/>
      <c r="W123" s="1466"/>
    </row>
    <row r="124" spans="1:23" s="449" customFormat="1" ht="3" customHeight="1" thickBot="1">
      <c r="C124" s="826"/>
      <c r="H124" s="528"/>
      <c r="I124" s="528"/>
      <c r="L124" s="833"/>
    </row>
    <row r="125" spans="1:23" s="449" customFormat="1" ht="13.9" customHeight="1" thickBot="1">
      <c r="B125" s="456" t="s">
        <v>3622</v>
      </c>
      <c r="D125" s="1074">
        <f>IF(AND($T$155 = "Yes", 'Part IX A-Scoring Criteria'!$O$246 &gt; 0),'DCA Underwriting Assumptions'!$R$13, IF(AND('Part IV-Uses of Funds'!$T$156="Yes", 'Part IX A-Scoring Criteria'!$O$67&gt;0),'DCA Underwriting Assumptions'!$R$12, 'DCA Underwriting Assumptions'!$R$11))</f>
        <v>11951436</v>
      </c>
      <c r="E125" s="1075"/>
      <c r="F125" s="452" t="s">
        <v>958</v>
      </c>
      <c r="G125" s="1053">
        <f>G123/'Part VI-Revenues &amp; Expenses'!$M$62</f>
        <v>142094.39285714287</v>
      </c>
      <c r="H125" s="1054"/>
      <c r="I125" s="533"/>
      <c r="J125" s="456" t="s">
        <v>959</v>
      </c>
      <c r="M125" s="1053">
        <f>G123/'Part VI-Revenues &amp; Expenses'!$M$100</f>
        <v>174.56313618813618</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1137</v>
      </c>
      <c r="B128" s="686" t="s">
        <v>2007</v>
      </c>
      <c r="C128" s="450"/>
      <c r="D128" s="843"/>
      <c r="E128" s="843"/>
      <c r="G128" s="833"/>
      <c r="H128" s="833"/>
      <c r="I128" s="535"/>
      <c r="J128" s="1011" t="s">
        <v>335</v>
      </c>
      <c r="K128" s="1012"/>
      <c r="M128" s="1011" t="s">
        <v>109</v>
      </c>
      <c r="N128" s="1012"/>
      <c r="P128" s="1011" t="s">
        <v>336</v>
      </c>
      <c r="Q128" s="1012"/>
      <c r="V128" s="685" t="str">
        <f>B128</f>
        <v>TAX CREDIT CALCULATION - BASIS METHOD</v>
      </c>
    </row>
    <row r="129" spans="2:23" s="449" customFormat="1" ht="15" customHeight="1" thickBot="1">
      <c r="B129" s="456" t="s">
        <v>2930</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3045</v>
      </c>
      <c r="D132" s="833"/>
      <c r="E132" s="833"/>
      <c r="F132" s="833"/>
      <c r="G132" s="833"/>
      <c r="H132" s="833"/>
      <c r="I132" s="535"/>
      <c r="J132" s="1467"/>
      <c r="K132" s="1468"/>
      <c r="P132" s="1467"/>
      <c r="Q132" s="1468"/>
      <c r="V132" s="1462"/>
      <c r="W132" s="1463"/>
    </row>
    <row r="133" spans="2:23" s="449" customFormat="1" ht="13.9" customHeight="1">
      <c r="B133" s="833" t="s">
        <v>2735</v>
      </c>
      <c r="D133" s="833"/>
      <c r="E133" s="833"/>
      <c r="I133" s="535"/>
      <c r="J133" s="1467"/>
      <c r="K133" s="1468"/>
      <c r="P133" s="1467"/>
      <c r="Q133" s="1468"/>
      <c r="V133" s="1462"/>
      <c r="W133" s="1463"/>
    </row>
    <row r="134" spans="2:23" s="449" customFormat="1" ht="13.9" customHeight="1">
      <c r="B134" s="833" t="s">
        <v>2736</v>
      </c>
      <c r="D134" s="833"/>
      <c r="E134" s="833"/>
      <c r="I134" s="535"/>
      <c r="J134" s="1467"/>
      <c r="K134" s="1468"/>
      <c r="P134" s="1467"/>
      <c r="Q134" s="1468"/>
      <c r="V134" s="1462"/>
      <c r="W134" s="1463"/>
    </row>
    <row r="135" spans="2:23" s="449" customFormat="1" ht="13.9" customHeight="1">
      <c r="B135" s="833" t="s">
        <v>309</v>
      </c>
      <c r="D135" s="833"/>
      <c r="E135" s="833"/>
      <c r="I135" s="535"/>
      <c r="J135" s="1467"/>
      <c r="K135" s="1468"/>
      <c r="P135" s="1467"/>
      <c r="Q135" s="1468"/>
      <c r="V135" s="1462"/>
      <c r="W135" s="1463"/>
    </row>
    <row r="136" spans="2:23" s="449" customFormat="1" ht="13.9" customHeight="1" thickBot="1">
      <c r="B136" s="833" t="s">
        <v>2211</v>
      </c>
      <c r="C136" s="1298" t="s">
        <v>3399</v>
      </c>
      <c r="D136" s="1298"/>
      <c r="E136" s="1298"/>
      <c r="F136" s="1298"/>
      <c r="G136" s="1298"/>
      <c r="H136" s="1298"/>
      <c r="I136" s="1299"/>
      <c r="J136" s="1467"/>
      <c r="K136" s="1468"/>
      <c r="P136" s="1467"/>
      <c r="Q136" s="1468"/>
      <c r="V136" s="1462"/>
      <c r="W136" s="1463"/>
    </row>
    <row r="137" spans="2:23" s="449" customFormat="1" ht="13.9" customHeight="1" thickBot="1">
      <c r="B137" s="461" t="s">
        <v>2737</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2647</v>
      </c>
      <c r="J140" s="1034">
        <f>J123</f>
        <v>10257887</v>
      </c>
      <c r="K140" s="1035"/>
      <c r="M140" s="1050">
        <f>M123</f>
        <v>0</v>
      </c>
      <c r="N140" s="1051"/>
      <c r="P140" s="1034">
        <f>P123</f>
        <v>0</v>
      </c>
      <c r="Q140" s="1035"/>
      <c r="V140" s="1460"/>
      <c r="W140" s="1461"/>
    </row>
    <row r="141" spans="2:23" s="449" customFormat="1" ht="13.9" customHeight="1">
      <c r="B141" s="449" t="s">
        <v>3129</v>
      </c>
      <c r="J141" s="1036">
        <f>J137</f>
        <v>0</v>
      </c>
      <c r="K141" s="1037"/>
      <c r="M141" s="1040"/>
      <c r="N141" s="1040"/>
      <c r="P141" s="1036">
        <f>P137</f>
        <v>0</v>
      </c>
      <c r="Q141" s="1037"/>
      <c r="V141" s="1462"/>
      <c r="W141" s="1463"/>
    </row>
    <row r="142" spans="2:23" s="449" customFormat="1" ht="13.9" customHeight="1">
      <c r="B142" s="449" t="s">
        <v>3130</v>
      </c>
      <c r="J142" s="1036">
        <f>J140-J141</f>
        <v>10257887</v>
      </c>
      <c r="K142" s="1037"/>
      <c r="M142" s="1036">
        <f>M140</f>
        <v>0</v>
      </c>
      <c r="N142" s="1037"/>
      <c r="P142" s="1036">
        <f>P140-P141</f>
        <v>0</v>
      </c>
      <c r="Q142" s="1037"/>
      <c r="V142" s="1462"/>
      <c r="W142" s="1463"/>
    </row>
    <row r="143" spans="2:23" s="449" customFormat="1" ht="13.9" customHeight="1">
      <c r="B143" s="449" t="s">
        <v>2081</v>
      </c>
      <c r="G143" s="830" t="s">
        <v>2564</v>
      </c>
      <c r="H143" s="1286" t="s">
        <v>4020</v>
      </c>
      <c r="I143" s="1287"/>
      <c r="J143" s="1469">
        <v>1.3</v>
      </c>
      <c r="K143" s="1470"/>
      <c r="M143" s="1052"/>
      <c r="N143" s="1052"/>
      <c r="P143" s="1469"/>
      <c r="Q143" s="1470"/>
      <c r="V143" s="1462"/>
      <c r="W143" s="1463"/>
    </row>
    <row r="144" spans="2:23" s="449" customFormat="1" ht="13.9" customHeight="1">
      <c r="B144" s="449" t="s">
        <v>2943</v>
      </c>
      <c r="J144" s="1036">
        <f>J142*J143</f>
        <v>13335253.1</v>
      </c>
      <c r="K144" s="1037"/>
      <c r="M144" s="1036">
        <f>+M142</f>
        <v>0</v>
      </c>
      <c r="N144" s="1037"/>
      <c r="P144" s="1036">
        <f>P142*P143</f>
        <v>0</v>
      </c>
      <c r="Q144" s="1037"/>
      <c r="V144" s="1462"/>
      <c r="W144" s="1463"/>
    </row>
    <row r="145" spans="1:23" s="449" customFormat="1" ht="13.9" customHeight="1">
      <c r="B145" s="449" t="s">
        <v>3567</v>
      </c>
      <c r="J145" s="1038">
        <f>MIN('Part VI-Revenues &amp; Expenses'!$M$58/'Part VI-Revenues &amp; Expenses'!$M$60,'Part VI-Revenues &amp; Expenses'!$M$96/'Part VI-Revenues &amp; Expenses'!$M$98)</f>
        <v>0.84342459342459342</v>
      </c>
      <c r="K145" s="1039"/>
      <c r="M145" s="1038">
        <f>MIN('Part VI-Revenues &amp; Expenses'!$M$58/'Part VI-Revenues &amp; Expenses'!$M$60,'Part VI-Revenues &amp; Expenses'!$M$96/'Part VI-Revenues &amp; Expenses'!$M$98)</f>
        <v>0.84342459342459342</v>
      </c>
      <c r="N145" s="1039"/>
      <c r="P145" s="1038">
        <f>MIN('Part VI-Revenues &amp; Expenses'!$M$58/'Part VI-Revenues &amp; Expenses'!$M$60,'Part VI-Revenues &amp; Expenses'!$M$96/'Part VI-Revenues &amp; Expenses'!$M$98)</f>
        <v>0.84342459342459342</v>
      </c>
      <c r="Q145" s="1039"/>
      <c r="V145" s="1462"/>
      <c r="W145" s="1463"/>
    </row>
    <row r="146" spans="1:23" s="449" customFormat="1" ht="13.9" customHeight="1">
      <c r="B146" s="449" t="s">
        <v>2931</v>
      </c>
      <c r="J146" s="1036">
        <f>J144*J145</f>
        <v>11247280.424081549</v>
      </c>
      <c r="K146" s="1037"/>
      <c r="M146" s="1036">
        <f>M144*M145</f>
        <v>0</v>
      </c>
      <c r="N146" s="1037"/>
      <c r="P146" s="1036">
        <f>P144*P145</f>
        <v>0</v>
      </c>
      <c r="Q146" s="1037"/>
      <c r="V146" s="1462"/>
      <c r="W146" s="1463"/>
    </row>
    <row r="147" spans="1:23" s="449" customFormat="1" ht="13.9" customHeight="1">
      <c r="B147" s="449" t="s">
        <v>2932</v>
      </c>
      <c r="J147" s="1469">
        <v>7.4800000000000005E-2</v>
      </c>
      <c r="K147" s="1470"/>
      <c r="M147" s="1469"/>
      <c r="N147" s="1470"/>
      <c r="P147" s="1469"/>
      <c r="Q147" s="1470"/>
      <c r="V147" s="1462"/>
      <c r="W147" s="1463"/>
    </row>
    <row r="148" spans="1:23" s="449" customFormat="1" ht="13.9" customHeight="1" thickBot="1">
      <c r="B148" s="449" t="s">
        <v>3568</v>
      </c>
      <c r="J148" s="1046">
        <f>J146*J147</f>
        <v>841296.57572129997</v>
      </c>
      <c r="K148" s="1047"/>
      <c r="M148" s="1046">
        <f>M146*M147</f>
        <v>0</v>
      </c>
      <c r="N148" s="1047"/>
      <c r="P148" s="1046">
        <f>P146*P147</f>
        <v>0</v>
      </c>
      <c r="Q148" s="1047"/>
      <c r="V148" s="1462"/>
      <c r="W148" s="1463"/>
    </row>
    <row r="149" spans="1:23" s="449" customFormat="1" ht="13.9" customHeight="1" thickBot="1">
      <c r="B149" s="452" t="s">
        <v>2005</v>
      </c>
      <c r="J149" s="978">
        <f>J148+M148+P148</f>
        <v>841296.57572129997</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1139</v>
      </c>
      <c r="B151" s="685" t="s">
        <v>2008</v>
      </c>
      <c r="I151" s="833"/>
      <c r="J151" s="1063" t="s">
        <v>324</v>
      </c>
      <c r="K151" s="1063"/>
      <c r="L151" s="1063"/>
      <c r="M151" s="1064" t="str">
        <f>IF(J153&gt;D125,"TDC exceeds PUCL!","")</f>
        <v/>
      </c>
      <c r="N151" s="1065"/>
      <c r="O151" s="1065"/>
      <c r="P151" s="1065"/>
      <c r="Q151" s="1065"/>
      <c r="R151" s="1066"/>
      <c r="S151" s="1055" t="s">
        <v>2493</v>
      </c>
      <c r="T151" s="1056"/>
      <c r="V151" s="685" t="str">
        <f>B151</f>
        <v>TAX CREDIT CALCULATION - GAP METHOD</v>
      </c>
    </row>
    <row r="152" spans="1:23" s="449" customFormat="1" ht="15" customHeight="1">
      <c r="B152" s="452" t="s">
        <v>213</v>
      </c>
      <c r="I152" s="833"/>
      <c r="J152" s="1062">
        <f>MIN(G123,D125)</f>
        <v>11935929</v>
      </c>
      <c r="K152" s="1062"/>
      <c r="L152" s="1062"/>
      <c r="M152" s="1067" t="s">
        <v>3958</v>
      </c>
      <c r="N152" s="1068"/>
      <c r="O152" s="1068"/>
      <c r="P152" s="1068"/>
      <c r="Q152" s="1068"/>
      <c r="R152" s="1069"/>
      <c r="S152" s="1057"/>
      <c r="T152" s="1058"/>
      <c r="V152" s="1460"/>
      <c r="W152" s="1461"/>
    </row>
    <row r="153" spans="1:23" s="449" customFormat="1" ht="13.9" customHeight="1">
      <c r="B153" s="449" t="s">
        <v>2492</v>
      </c>
      <c r="J153" s="1471">
        <v>11935929</v>
      </c>
      <c r="K153" s="1472"/>
      <c r="L153" s="1472"/>
      <c r="M153" s="1067"/>
      <c r="N153" s="1068"/>
      <c r="O153" s="1068"/>
      <c r="P153" s="1068"/>
      <c r="Q153" s="1068"/>
      <c r="R153" s="1069"/>
      <c r="S153" s="1057"/>
      <c r="T153" s="1058"/>
      <c r="V153" s="1462"/>
      <c r="W153" s="1463"/>
    </row>
    <row r="154" spans="1:23" s="449" customFormat="1" ht="13.9" customHeight="1">
      <c r="B154" s="449" t="s">
        <v>321</v>
      </c>
      <c r="J154" s="1036">
        <f>'Part III A-Sources of Funds'!$H$49-'Part III A-Sources of Funds'!$H$37-'Part III A-Sources of Funds'!$H$40-'Part III A-Sources of Funds'!$H$41</f>
        <v>2600110</v>
      </c>
      <c r="K154" s="1040"/>
      <c r="L154" s="1040"/>
      <c r="M154" s="1067"/>
      <c r="N154" s="1068"/>
      <c r="O154" s="1068"/>
      <c r="P154" s="1068"/>
      <c r="Q154" s="1068"/>
      <c r="R154" s="1069"/>
      <c r="S154" s="648"/>
      <c r="T154" s="651" t="s">
        <v>323</v>
      </c>
      <c r="V154" s="1462"/>
      <c r="W154" s="1463"/>
    </row>
    <row r="155" spans="1:23" s="449" customFormat="1" ht="13.9" customHeight="1">
      <c r="B155" s="449" t="s">
        <v>3142</v>
      </c>
      <c r="J155" s="1036">
        <f>+J153-J154</f>
        <v>9335819</v>
      </c>
      <c r="K155" s="1040"/>
      <c r="L155" s="1040"/>
      <c r="M155" s="1073" t="s">
        <v>3888</v>
      </c>
      <c r="N155" s="1473"/>
      <c r="O155" s="1473"/>
      <c r="P155" s="1473"/>
      <c r="Q155" s="1473"/>
      <c r="R155" s="1474"/>
      <c r="S155" s="649" t="s">
        <v>2494</v>
      </c>
      <c r="T155" s="1475"/>
      <c r="V155" s="1462"/>
      <c r="W155" s="1463"/>
    </row>
    <row r="156" spans="1:23" s="449" customFormat="1" ht="13.9" customHeight="1" thickBot="1">
      <c r="B156" s="449" t="s">
        <v>1854</v>
      </c>
      <c r="J156" s="1041" t="str">
        <f>"/ 10"</f>
        <v>/ 10</v>
      </c>
      <c r="K156" s="1041"/>
      <c r="L156" s="1041"/>
      <c r="M156" s="1070">
        <f>'Part III A-Sources of Funds'!H36</f>
        <v>0</v>
      </c>
      <c r="N156" s="1071"/>
      <c r="O156" s="1071"/>
      <c r="P156" s="1071"/>
      <c r="Q156" s="1071"/>
      <c r="R156" s="1072"/>
      <c r="S156" s="650" t="s">
        <v>322</v>
      </c>
      <c r="T156" s="1476"/>
      <c r="V156" s="1462"/>
      <c r="W156" s="1463"/>
    </row>
    <row r="157" spans="1:23" s="449" customFormat="1" ht="13.9" customHeight="1">
      <c r="B157" s="449" t="s">
        <v>1855</v>
      </c>
      <c r="J157" s="1036">
        <f>J155/10</f>
        <v>933581.9</v>
      </c>
      <c r="K157" s="1040"/>
      <c r="L157" s="1037"/>
      <c r="M157" s="472"/>
      <c r="N157" s="888" t="s">
        <v>1856</v>
      </c>
      <c r="O157" s="888"/>
      <c r="Q157" s="888" t="s">
        <v>2656</v>
      </c>
      <c r="R157" s="888"/>
      <c r="V157" s="1462"/>
      <c r="W157" s="1463"/>
    </row>
    <row r="158" spans="1:23" s="449" customFormat="1" ht="13.9" customHeight="1" thickBot="1">
      <c r="B158" s="449" t="s">
        <v>2080</v>
      </c>
      <c r="J158" s="1059">
        <f>N158+Q158</f>
        <v>1.1000000000000001</v>
      </c>
      <c r="K158" s="1060"/>
      <c r="L158" s="1061"/>
      <c r="M158" s="830" t="s">
        <v>1857</v>
      </c>
      <c r="N158" s="1477">
        <v>0.85</v>
      </c>
      <c r="O158" s="1478"/>
      <c r="P158" s="830" t="s">
        <v>869</v>
      </c>
      <c r="Q158" s="1477">
        <v>0.25</v>
      </c>
      <c r="R158" s="1478"/>
      <c r="V158" s="1462"/>
      <c r="W158" s="1463"/>
    </row>
    <row r="159" spans="1:23" s="449" customFormat="1" ht="13.9" customHeight="1" thickBot="1">
      <c r="B159" s="452" t="s">
        <v>2006</v>
      </c>
      <c r="J159" s="978">
        <f>IF(J158=0,"",J157/J158)</f>
        <v>848710.81818181812</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421</v>
      </c>
      <c r="J161" s="1042">
        <f>+MIN(J149,J159,'DCA Underwriting Assumptions'!$R$6)</f>
        <v>841296.57572129997</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422</v>
      </c>
      <c r="J163" s="1479">
        <v>840000</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2649</v>
      </c>
      <c r="B165" s="685" t="s">
        <v>3671</v>
      </c>
      <c r="D165" s="472"/>
      <c r="E165" s="472"/>
      <c r="F165" s="455"/>
      <c r="J165" s="1042">
        <f>IF(J163="",0,+MIN(J161,J163))</f>
        <v>840000</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2651</v>
      </c>
      <c r="B168" s="481" t="s">
        <v>816</v>
      </c>
      <c r="K168" s="452" t="s">
        <v>766</v>
      </c>
      <c r="L168" s="452" t="s">
        <v>85</v>
      </c>
    </row>
    <row r="169" spans="1:23" ht="146.44999999999999" customHeight="1">
      <c r="A169" s="1483" t="s">
        <v>183</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2012-056 Silver Comet Senior Village, Powder Springs, Cobb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751</v>
      </c>
      <c r="I3" s="856" t="str">
        <f>VLOOKUP('Part I-Project Information'!$J$25,'Part I-Project Information'!$C$181:$D$340,2)</f>
        <v>North</v>
      </c>
    </row>
    <row r="4" spans="1:20" s="9" customFormat="1"/>
    <row r="5" spans="1:20" s="9" customFormat="1">
      <c r="A5" s="16" t="s">
        <v>874</v>
      </c>
      <c r="B5" s="16" t="s">
        <v>3137</v>
      </c>
      <c r="F5" s="9" t="s">
        <v>3533</v>
      </c>
      <c r="I5" s="1487" t="s">
        <v>4021</v>
      </c>
      <c r="J5" s="1488"/>
      <c r="K5" s="1488"/>
      <c r="L5" s="1488"/>
      <c r="M5" s="1489"/>
    </row>
    <row r="6" spans="1:20" s="9" customFormat="1" ht="13.15" customHeight="1">
      <c r="A6" s="16"/>
      <c r="F6" s="9" t="s">
        <v>896</v>
      </c>
      <c r="H6" s="31"/>
      <c r="I6" s="1490">
        <v>40695</v>
      </c>
      <c r="J6" s="1491"/>
      <c r="K6" s="74" t="s">
        <v>777</v>
      </c>
      <c r="L6" s="1492" t="s">
        <v>4022</v>
      </c>
      <c r="M6" s="1489"/>
    </row>
    <row r="7" spans="1:20" s="9" customFormat="1" ht="6" customHeight="1">
      <c r="A7" s="16"/>
    </row>
    <row r="8" spans="1:20" s="16" customFormat="1">
      <c r="B8" s="338"/>
      <c r="C8" s="338"/>
      <c r="D8" s="338"/>
      <c r="E8" s="338"/>
      <c r="F8" s="1078" t="s">
        <v>866</v>
      </c>
      <c r="G8" s="1078"/>
      <c r="I8" s="1077" t="s">
        <v>240</v>
      </c>
      <c r="J8" s="1077"/>
      <c r="K8" s="1077"/>
      <c r="L8" s="1077"/>
      <c r="M8" s="1077"/>
    </row>
    <row r="9" spans="1:20" s="16" customFormat="1">
      <c r="B9" s="338" t="s">
        <v>1285</v>
      </c>
      <c r="D9" s="338" t="s">
        <v>2209</v>
      </c>
      <c r="F9" s="847" t="s">
        <v>902</v>
      </c>
      <c r="G9" s="847" t="s">
        <v>2722</v>
      </c>
      <c r="I9" s="339">
        <v>0</v>
      </c>
      <c r="J9" s="340">
        <v>1</v>
      </c>
      <c r="K9" s="340">
        <v>2</v>
      </c>
      <c r="L9" s="340">
        <v>3</v>
      </c>
      <c r="M9" s="340">
        <v>4</v>
      </c>
    </row>
    <row r="10" spans="1:20" s="9" customFormat="1">
      <c r="B10" s="341" t="s">
        <v>2724</v>
      </c>
      <c r="C10" s="342"/>
      <c r="D10" s="1493" t="s">
        <v>2205</v>
      </c>
      <c r="E10" s="1494"/>
      <c r="F10" s="1495"/>
      <c r="G10" s="1495" t="s">
        <v>613</v>
      </c>
      <c r="H10" s="343"/>
      <c r="I10" s="1496"/>
      <c r="J10" s="1496"/>
      <c r="K10" s="1496"/>
      <c r="L10" s="1496"/>
      <c r="M10" s="1496"/>
    </row>
    <row r="11" spans="1:20" s="9" customFormat="1">
      <c r="B11" s="344" t="s">
        <v>645</v>
      </c>
      <c r="C11" s="345"/>
      <c r="D11" s="344" t="s">
        <v>2205</v>
      </c>
      <c r="E11" s="345"/>
      <c r="F11" s="1497"/>
      <c r="G11" s="1497" t="s">
        <v>613</v>
      </c>
      <c r="H11" s="346"/>
      <c r="I11" s="1498"/>
      <c r="J11" s="1498"/>
      <c r="K11" s="1498"/>
      <c r="L11" s="1499"/>
      <c r="M11" s="1499"/>
    </row>
    <row r="12" spans="1:20" s="9" customFormat="1">
      <c r="B12" s="344" t="s">
        <v>2206</v>
      </c>
      <c r="C12" s="345"/>
      <c r="D12" s="1500" t="s">
        <v>2205</v>
      </c>
      <c r="E12" s="1501"/>
      <c r="F12" s="1497"/>
      <c r="G12" s="1497" t="s">
        <v>613</v>
      </c>
      <c r="H12" s="346"/>
      <c r="I12" s="1498"/>
      <c r="J12" s="1498"/>
      <c r="K12" s="1498"/>
      <c r="L12" s="1499"/>
      <c r="M12" s="1499"/>
    </row>
    <row r="13" spans="1:20" s="9" customFormat="1">
      <c r="B13" s="344" t="s">
        <v>2207</v>
      </c>
      <c r="C13" s="345"/>
      <c r="D13" s="1500" t="s">
        <v>2205</v>
      </c>
      <c r="E13" s="1501"/>
      <c r="F13" s="1497"/>
      <c r="G13" s="1497" t="s">
        <v>613</v>
      </c>
      <c r="H13" s="346"/>
      <c r="I13" s="1498"/>
      <c r="J13" s="1498"/>
      <c r="K13" s="1498"/>
      <c r="L13" s="1499"/>
      <c r="M13" s="1499"/>
    </row>
    <row r="14" spans="1:20" s="9" customFormat="1">
      <c r="B14" s="344" t="s">
        <v>2208</v>
      </c>
      <c r="C14" s="345"/>
      <c r="D14" s="344" t="s">
        <v>2205</v>
      </c>
      <c r="E14" s="347"/>
      <c r="F14" s="1497"/>
      <c r="G14" s="1497" t="s">
        <v>613</v>
      </c>
      <c r="H14" s="346"/>
      <c r="I14" s="1498"/>
      <c r="J14" s="1498"/>
      <c r="K14" s="1498"/>
      <c r="L14" s="1499"/>
      <c r="M14" s="1499"/>
    </row>
    <row r="15" spans="1:20" s="9" customFormat="1">
      <c r="B15" s="344" t="s">
        <v>1939</v>
      </c>
      <c r="C15" s="345"/>
      <c r="D15" s="344" t="s">
        <v>3136</v>
      </c>
      <c r="E15" s="1502" t="s">
        <v>3983</v>
      </c>
      <c r="F15" s="1497"/>
      <c r="G15" s="1497" t="s">
        <v>613</v>
      </c>
      <c r="H15" s="346"/>
      <c r="I15" s="1498"/>
      <c r="J15" s="1498"/>
      <c r="K15" s="1498"/>
      <c r="L15" s="1499"/>
      <c r="M15" s="1499"/>
    </row>
    <row r="16" spans="1:20" s="9" customFormat="1">
      <c r="B16" s="348" t="s">
        <v>2723</v>
      </c>
      <c r="C16" s="349"/>
      <c r="D16" s="348"/>
      <c r="E16" s="315"/>
      <c r="F16" s="1503"/>
      <c r="G16" s="1503" t="s">
        <v>613</v>
      </c>
      <c r="H16" s="350"/>
      <c r="I16" s="1504"/>
      <c r="J16" s="1504"/>
      <c r="K16" s="1504"/>
      <c r="L16" s="1505"/>
      <c r="M16" s="1505"/>
    </row>
    <row r="17" spans="1:19" s="9" customFormat="1">
      <c r="B17" s="338" t="s">
        <v>1527</v>
      </c>
      <c r="D17" s="31"/>
      <c r="E17" s="31"/>
      <c r="F17" s="108"/>
      <c r="G17" s="108"/>
      <c r="I17" s="847">
        <f>SUM(I10:I16)</f>
        <v>0</v>
      </c>
      <c r="J17" s="847">
        <f>SUM(J10:J16)</f>
        <v>0</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1137</v>
      </c>
      <c r="B19" s="16" t="s">
        <v>3138</v>
      </c>
      <c r="F19" s="9" t="s">
        <v>3533</v>
      </c>
      <c r="I19" s="1492"/>
      <c r="J19" s="1488"/>
      <c r="K19" s="1488"/>
      <c r="L19" s="1488"/>
      <c r="M19" s="1489"/>
    </row>
    <row r="20" spans="1:19" s="9" customFormat="1" ht="13.15" customHeight="1">
      <c r="A20" s="16"/>
      <c r="B20" s="16"/>
      <c r="F20" s="9" t="s">
        <v>896</v>
      </c>
      <c r="H20" s="31"/>
      <c r="I20" s="1490"/>
      <c r="J20" s="1491"/>
      <c r="K20" s="74" t="s">
        <v>777</v>
      </c>
      <c r="L20" s="1492"/>
      <c r="M20" s="1489"/>
    </row>
    <row r="21" spans="1:19" s="9" customFormat="1" ht="6" customHeight="1">
      <c r="A21" s="16"/>
    </row>
    <row r="22" spans="1:19" s="16" customFormat="1">
      <c r="B22" s="338"/>
      <c r="C22" s="338"/>
      <c r="D22" s="338"/>
      <c r="E22" s="338"/>
      <c r="F22" s="1078" t="s">
        <v>866</v>
      </c>
      <c r="G22" s="1078"/>
      <c r="I22" s="1077" t="s">
        <v>240</v>
      </c>
      <c r="J22" s="1077"/>
      <c r="K22" s="1077"/>
      <c r="L22" s="1077"/>
      <c r="M22" s="1077"/>
    </row>
    <row r="23" spans="1:19" s="16" customFormat="1">
      <c r="B23" s="338" t="s">
        <v>1285</v>
      </c>
      <c r="D23" s="338" t="s">
        <v>2209</v>
      </c>
      <c r="F23" s="847" t="s">
        <v>902</v>
      </c>
      <c r="G23" s="847" t="s">
        <v>2722</v>
      </c>
      <c r="I23" s="339">
        <v>0</v>
      </c>
      <c r="J23" s="340">
        <v>1</v>
      </c>
      <c r="K23" s="340">
        <v>2</v>
      </c>
      <c r="L23" s="340">
        <v>3</v>
      </c>
      <c r="M23" s="340">
        <v>4</v>
      </c>
    </row>
    <row r="24" spans="1:19" s="9" customFormat="1">
      <c r="B24" s="341" t="s">
        <v>2724</v>
      </c>
      <c r="C24" s="342"/>
      <c r="D24" s="1493" t="s">
        <v>2685</v>
      </c>
      <c r="E24" s="1494"/>
      <c r="F24" s="1495"/>
      <c r="G24" s="1495"/>
      <c r="H24" s="343"/>
      <c r="I24" s="1496"/>
      <c r="J24" s="1496"/>
      <c r="K24" s="1496"/>
      <c r="L24" s="1496"/>
      <c r="M24" s="1496"/>
    </row>
    <row r="25" spans="1:19" s="9" customFormat="1">
      <c r="B25" s="344" t="s">
        <v>645</v>
      </c>
      <c r="C25" s="345"/>
      <c r="D25" s="344" t="s">
        <v>2205</v>
      </c>
      <c r="E25" s="345"/>
      <c r="F25" s="1497"/>
      <c r="G25" s="1497"/>
      <c r="H25" s="346"/>
      <c r="I25" s="1498"/>
      <c r="J25" s="1498"/>
      <c r="K25" s="1498"/>
      <c r="L25" s="1499"/>
      <c r="M25" s="1499"/>
    </row>
    <row r="26" spans="1:19" s="9" customFormat="1">
      <c r="B26" s="344" t="s">
        <v>2206</v>
      </c>
      <c r="C26" s="345"/>
      <c r="D26" s="1500" t="s">
        <v>2685</v>
      </c>
      <c r="E26" s="1501"/>
      <c r="F26" s="1497"/>
      <c r="G26" s="1497"/>
      <c r="H26" s="346"/>
      <c r="I26" s="1498"/>
      <c r="J26" s="1498"/>
      <c r="K26" s="1498"/>
      <c r="L26" s="1499"/>
      <c r="M26" s="1499"/>
    </row>
    <row r="27" spans="1:19" s="9" customFormat="1">
      <c r="B27" s="344" t="s">
        <v>2207</v>
      </c>
      <c r="C27" s="345"/>
      <c r="D27" s="1500" t="s">
        <v>2685</v>
      </c>
      <c r="E27" s="1501"/>
      <c r="F27" s="1497"/>
      <c r="G27" s="1497"/>
      <c r="H27" s="346"/>
      <c r="I27" s="1498"/>
      <c r="J27" s="1498"/>
      <c r="K27" s="1498"/>
      <c r="L27" s="1499"/>
      <c r="M27" s="1499"/>
    </row>
    <row r="28" spans="1:19" s="9" customFormat="1">
      <c r="B28" s="344" t="s">
        <v>2208</v>
      </c>
      <c r="C28" s="345"/>
      <c r="D28" s="344" t="s">
        <v>2205</v>
      </c>
      <c r="E28" s="347"/>
      <c r="F28" s="1497"/>
      <c r="G28" s="1497"/>
      <c r="H28" s="346"/>
      <c r="I28" s="1498"/>
      <c r="J28" s="1498"/>
      <c r="K28" s="1498"/>
      <c r="L28" s="1499"/>
      <c r="M28" s="1499"/>
    </row>
    <row r="29" spans="1:19" s="9" customFormat="1">
      <c r="B29" s="344" t="s">
        <v>1939</v>
      </c>
      <c r="C29" s="345"/>
      <c r="D29" s="344" t="s">
        <v>3136</v>
      </c>
      <c r="E29" s="1502" t="s">
        <v>241</v>
      </c>
      <c r="F29" s="1497"/>
      <c r="G29" s="1497"/>
      <c r="H29" s="346"/>
      <c r="I29" s="1498"/>
      <c r="J29" s="1498"/>
      <c r="K29" s="1498"/>
      <c r="L29" s="1499"/>
      <c r="M29" s="1499"/>
    </row>
    <row r="30" spans="1:19" s="9" customFormat="1">
      <c r="B30" s="348" t="s">
        <v>2723</v>
      </c>
      <c r="C30" s="349"/>
      <c r="D30" s="348"/>
      <c r="E30" s="315"/>
      <c r="F30" s="1503"/>
      <c r="G30" s="1503"/>
      <c r="H30" s="350"/>
      <c r="I30" s="1504"/>
      <c r="J30" s="1504"/>
      <c r="K30" s="1504"/>
      <c r="L30" s="1505"/>
      <c r="M30" s="1505"/>
    </row>
    <row r="31" spans="1:19" s="9" customFormat="1">
      <c r="B31" s="338" t="s">
        <v>1527</v>
      </c>
      <c r="D31" s="31"/>
      <c r="E31" s="31"/>
      <c r="F31" s="108"/>
      <c r="G31" s="108"/>
      <c r="I31" s="847">
        <f>SUM(I24:I30)</f>
        <v>0</v>
      </c>
      <c r="J31" s="847">
        <f>SUM(J24:J30)</f>
        <v>0</v>
      </c>
      <c r="K31" s="847">
        <f>SUM(K24:K30)</f>
        <v>0</v>
      </c>
      <c r="L31" s="847">
        <f>SUM(L24:L30)</f>
        <v>0</v>
      </c>
      <c r="M31" s="847">
        <f>SUM(M24:M30)</f>
        <v>0</v>
      </c>
    </row>
    <row r="32" spans="1:19">
      <c r="A32" s="9"/>
    </row>
    <row r="33" spans="1:19">
      <c r="B33" s="351" t="s">
        <v>2666</v>
      </c>
    </row>
    <row r="34" spans="1:19" s="9" customFormat="1" ht="6" customHeight="1">
      <c r="M34" s="31"/>
      <c r="N34" s="31"/>
      <c r="O34" s="31"/>
      <c r="P34" s="31"/>
      <c r="Q34" s="31"/>
      <c r="R34" s="31"/>
      <c r="S34" s="31"/>
    </row>
    <row r="35" spans="1:19" s="9" customFormat="1" ht="12" customHeight="1">
      <c r="A35" s="16"/>
      <c r="B35" s="16" t="s">
        <v>816</v>
      </c>
      <c r="M35" s="31"/>
      <c r="N35" s="31"/>
      <c r="O35" s="31"/>
      <c r="P35" s="31"/>
      <c r="Q35" s="31"/>
      <c r="R35" s="31"/>
      <c r="S35" s="31"/>
    </row>
    <row r="36" spans="1:19" s="9" customFormat="1" ht="24.75" customHeight="1">
      <c r="B36" s="1506" t="s">
        <v>4052</v>
      </c>
      <c r="C36" s="1507"/>
      <c r="D36" s="1507"/>
      <c r="E36" s="1507"/>
      <c r="F36" s="1507"/>
      <c r="G36" s="1507"/>
      <c r="H36" s="1507"/>
      <c r="I36" s="1507"/>
      <c r="J36" s="1507"/>
      <c r="K36" s="1507"/>
      <c r="L36" s="1507"/>
      <c r="M36" s="150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2012-06-13T16:25:31Z</cp:lastPrinted>
  <dcterms:created xsi:type="dcterms:W3CDTF">2005-09-15T20:51:37Z</dcterms:created>
  <dcterms:modified xsi:type="dcterms:W3CDTF">2012-08-03T22:02:12Z</dcterms:modified>
</cp:coreProperties>
</file>