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055" yWindow="945" windowWidth="20730" windowHeight="676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160" i="36"/>
  <c r="G109"/>
  <c r="G110" s="1"/>
  <c r="G111" s="1"/>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V10"/>
  <c r="V11"/>
  <c r="AA10"/>
  <c r="AA11"/>
  <c r="AK10"/>
  <c r="AK11"/>
  <c r="BT10"/>
  <c r="BT11"/>
  <c r="W10"/>
  <c r="W11"/>
  <c r="AB10"/>
  <c r="AB11"/>
  <c r="AL10"/>
  <c r="AL11"/>
  <c r="BU10"/>
  <c r="BU11"/>
  <c r="X10"/>
  <c r="X11"/>
  <c r="AC10"/>
  <c r="AC11"/>
  <c r="AM10"/>
  <c r="AM11"/>
  <c r="BV10"/>
  <c r="BV11"/>
  <c r="Y10"/>
  <c r="Y11"/>
  <c r="AD10"/>
  <c r="AD11"/>
  <c r="AN10"/>
  <c r="AN11"/>
  <c r="BW10"/>
  <c r="BW11"/>
  <c r="Z10"/>
  <c r="Z11"/>
  <c r="AE10"/>
  <c r="AE11"/>
  <c r="AO10"/>
  <c r="AO11"/>
  <c r="BX10"/>
  <c r="BX11"/>
  <c r="J25" i="7"/>
  <c r="A1" s="1"/>
  <c r="M221" i="11"/>
  <c r="K221"/>
  <c r="G17" i="15"/>
  <c r="G27"/>
  <c r="G32"/>
  <c r="G36"/>
  <c r="G57"/>
  <c r="G69"/>
  <c r="G75"/>
  <c r="G84"/>
  <c r="G98"/>
  <c r="G104"/>
  <c r="G109"/>
  <c r="G117"/>
  <c r="G121"/>
  <c r="I211" i="11"/>
  <c r="O90"/>
  <c r="P278"/>
  <c r="O278"/>
  <c r="P274"/>
  <c r="P273" s="1"/>
  <c r="O274"/>
  <c r="P269"/>
  <c r="O269"/>
  <c r="P267"/>
  <c r="O267"/>
  <c r="P265"/>
  <c r="O265"/>
  <c r="O246"/>
  <c r="O254"/>
  <c r="O218"/>
  <c r="R218" s="1"/>
  <c r="O161"/>
  <c r="O8"/>
  <c r="B29" i="8"/>
  <c r="B41"/>
  <c r="C41" s="1"/>
  <c r="B100"/>
  <c r="K99"/>
  <c r="J99"/>
  <c r="I99"/>
  <c r="H99"/>
  <c r="G99"/>
  <c r="F99"/>
  <c r="E99"/>
  <c r="D99"/>
  <c r="C99"/>
  <c r="B99"/>
  <c r="K98"/>
  <c r="J98"/>
  <c r="I98"/>
  <c r="H98"/>
  <c r="G98"/>
  <c r="F98"/>
  <c r="E98"/>
  <c r="D98"/>
  <c r="C98"/>
  <c r="B98"/>
  <c r="K97"/>
  <c r="J97"/>
  <c r="I97"/>
  <c r="H97"/>
  <c r="G97"/>
  <c r="F97"/>
  <c r="E97"/>
  <c r="D97"/>
  <c r="C97"/>
  <c r="B97"/>
  <c r="K96"/>
  <c r="J96"/>
  <c r="I96"/>
  <c r="H96"/>
  <c r="G96"/>
  <c r="F96"/>
  <c r="E96"/>
  <c r="D96"/>
  <c r="C96"/>
  <c r="B96"/>
  <c r="B70"/>
  <c r="K69"/>
  <c r="J69"/>
  <c r="I69"/>
  <c r="H69"/>
  <c r="G69"/>
  <c r="F69"/>
  <c r="E69"/>
  <c r="D69"/>
  <c r="C69"/>
  <c r="B69"/>
  <c r="K68"/>
  <c r="J68"/>
  <c r="I68"/>
  <c r="H68"/>
  <c r="G68"/>
  <c r="F68"/>
  <c r="E68"/>
  <c r="D68"/>
  <c r="C68"/>
  <c r="B68"/>
  <c r="K67"/>
  <c r="J67"/>
  <c r="I67"/>
  <c r="H67"/>
  <c r="G67"/>
  <c r="F67"/>
  <c r="E67"/>
  <c r="D67"/>
  <c r="C67"/>
  <c r="B67"/>
  <c r="K66"/>
  <c r="J66"/>
  <c r="I66"/>
  <c r="H66"/>
  <c r="G66"/>
  <c r="F66"/>
  <c r="E66"/>
  <c r="D66"/>
  <c r="C66"/>
  <c r="B66"/>
  <c r="C36"/>
  <c r="D36"/>
  <c r="E36"/>
  <c r="F36"/>
  <c r="G36"/>
  <c r="H36"/>
  <c r="I36"/>
  <c r="J36"/>
  <c r="K36"/>
  <c r="C37"/>
  <c r="D37"/>
  <c r="E37"/>
  <c r="F37"/>
  <c r="G37"/>
  <c r="H37"/>
  <c r="I37"/>
  <c r="J37"/>
  <c r="K37"/>
  <c r="C38"/>
  <c r="D38"/>
  <c r="E38"/>
  <c r="F38"/>
  <c r="G38"/>
  <c r="H38"/>
  <c r="I38"/>
  <c r="J38"/>
  <c r="K38"/>
  <c r="C39"/>
  <c r="D39"/>
  <c r="E39"/>
  <c r="F39"/>
  <c r="G39"/>
  <c r="H39"/>
  <c r="I39"/>
  <c r="J39"/>
  <c r="K39"/>
  <c r="B40"/>
  <c r="C40" s="1"/>
  <c r="D40"/>
  <c r="E40" s="1"/>
  <c r="B37"/>
  <c r="B38"/>
  <c r="B39"/>
  <c r="B36"/>
  <c r="B28"/>
  <c r="C28" s="1"/>
  <c r="J26" i="7"/>
  <c r="D37" i="3"/>
  <c r="I26" i="7"/>
  <c r="B39" i="15"/>
  <c r="H49" i="3"/>
  <c r="A2" i="39"/>
  <c r="L169" i="11"/>
  <c r="M156" i="15"/>
  <c r="O74" i="11"/>
  <c r="V37" i="15"/>
  <c r="V129"/>
  <c r="A3" i="6"/>
  <c r="H3"/>
  <c r="N182" i="11"/>
  <c r="N177"/>
  <c r="N146"/>
  <c r="N67"/>
  <c r="P49"/>
  <c r="O49"/>
  <c r="M291"/>
  <c r="M6" s="1"/>
  <c r="L277"/>
  <c r="A265"/>
  <c r="P246"/>
  <c r="P242"/>
  <c r="L233"/>
  <c r="L211"/>
  <c r="L278"/>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P137" i="15"/>
  <c r="P141" s="1"/>
  <c r="J154"/>
  <c r="J155" s="1"/>
  <c r="J157" s="1"/>
  <c r="Q12" i="36"/>
  <c r="Q14"/>
  <c r="Q15"/>
  <c r="Q16"/>
  <c r="Q17"/>
  <c r="Q18"/>
  <c r="Q19"/>
  <c r="Q20"/>
  <c r="Q21"/>
  <c r="Q22"/>
  <c r="Q23"/>
  <c r="Q24"/>
  <c r="Q25"/>
  <c r="Q26"/>
  <c r="Q27"/>
  <c r="Q28"/>
  <c r="Q29"/>
  <c r="Q30"/>
  <c r="Q31"/>
  <c r="Q32"/>
  <c r="Q33"/>
  <c r="Q34"/>
  <c r="Q35"/>
  <c r="Q36"/>
  <c r="Q37"/>
  <c r="Q38"/>
  <c r="Q39"/>
  <c r="Q40"/>
  <c r="Q41"/>
  <c r="Q42"/>
  <c r="Q43"/>
  <c r="Q44"/>
  <c r="Q45"/>
  <c r="Q46"/>
  <c r="Q47"/>
  <c r="P10"/>
  <c r="P6"/>
  <c r="Q10"/>
  <c r="J43" i="6"/>
  <c r="O41" i="15"/>
  <c r="M17"/>
  <c r="M123" s="1"/>
  <c r="M140" s="1"/>
  <c r="M142" s="1"/>
  <c r="M144" s="1"/>
  <c r="A104" i="11"/>
  <c r="O132"/>
  <c r="L254"/>
  <c r="C109" i="15"/>
  <c r="F108"/>
  <c r="I17" i="29"/>
  <c r="J117" i="15"/>
  <c r="J17"/>
  <c r="J27"/>
  <c r="J32"/>
  <c r="J36"/>
  <c r="J57"/>
  <c r="J69"/>
  <c r="J75"/>
  <c r="J84"/>
  <c r="J109"/>
  <c r="J121"/>
  <c r="J137"/>
  <c r="J141"/>
  <c r="V47" i="36"/>
  <c r="V18"/>
  <c r="AA47"/>
  <c r="AA18"/>
  <c r="W47"/>
  <c r="W18"/>
  <c r="AB47"/>
  <c r="AB18"/>
  <c r="X47"/>
  <c r="X18"/>
  <c r="AC47"/>
  <c r="AC18"/>
  <c r="Y47"/>
  <c r="Y18"/>
  <c r="AD47"/>
  <c r="AD18"/>
  <c r="Z47"/>
  <c r="Z18"/>
  <c r="AE47"/>
  <c r="AE18"/>
  <c r="AK47"/>
  <c r="AK18"/>
  <c r="AL47"/>
  <c r="AL18"/>
  <c r="AM47"/>
  <c r="AM18"/>
  <c r="AN47"/>
  <c r="AN18"/>
  <c r="AO47"/>
  <c r="AO18"/>
  <c r="BY10"/>
  <c r="BY11"/>
  <c r="BY48" s="1"/>
  <c r="H94" s="1"/>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V12" i="36"/>
  <c r="V13"/>
  <c r="V14"/>
  <c r="V15"/>
  <c r="V16"/>
  <c r="V17"/>
  <c r="V19"/>
  <c r="V20"/>
  <c r="V21"/>
  <c r="V22"/>
  <c r="V23"/>
  <c r="V24"/>
  <c r="V25"/>
  <c r="V26"/>
  <c r="V27"/>
  <c r="V28"/>
  <c r="V29"/>
  <c r="V30"/>
  <c r="V31"/>
  <c r="V32"/>
  <c r="V33"/>
  <c r="V34"/>
  <c r="V35"/>
  <c r="V36"/>
  <c r="V37"/>
  <c r="V38"/>
  <c r="V39"/>
  <c r="V40"/>
  <c r="V41"/>
  <c r="V42"/>
  <c r="V43"/>
  <c r="V44"/>
  <c r="V45"/>
  <c r="V46"/>
  <c r="AA12"/>
  <c r="AA13"/>
  <c r="AA14"/>
  <c r="AA15"/>
  <c r="AA16"/>
  <c r="AA17"/>
  <c r="AA19"/>
  <c r="AA20"/>
  <c r="AA21"/>
  <c r="AA22"/>
  <c r="AA23"/>
  <c r="AA24"/>
  <c r="AA25"/>
  <c r="AA26"/>
  <c r="AA27"/>
  <c r="AA28"/>
  <c r="AA29"/>
  <c r="AA30"/>
  <c r="AA31"/>
  <c r="AA32"/>
  <c r="AA33"/>
  <c r="AA34"/>
  <c r="AA35"/>
  <c r="AA36"/>
  <c r="AA37"/>
  <c r="AA38"/>
  <c r="AA39"/>
  <c r="AA40"/>
  <c r="AA41"/>
  <c r="AA42"/>
  <c r="AA43"/>
  <c r="AA44"/>
  <c r="AA45"/>
  <c r="AA46"/>
  <c r="W12"/>
  <c r="W13"/>
  <c r="W14"/>
  <c r="W15"/>
  <c r="W16"/>
  <c r="W17"/>
  <c r="W19"/>
  <c r="W20"/>
  <c r="W21"/>
  <c r="W22"/>
  <c r="W23"/>
  <c r="W24"/>
  <c r="W25"/>
  <c r="W26"/>
  <c r="W27"/>
  <c r="W28"/>
  <c r="W29"/>
  <c r="W30"/>
  <c r="W31"/>
  <c r="W32"/>
  <c r="W33"/>
  <c r="W34"/>
  <c r="W35"/>
  <c r="W36"/>
  <c r="W37"/>
  <c r="W38"/>
  <c r="W39"/>
  <c r="W40"/>
  <c r="W41"/>
  <c r="W42"/>
  <c r="W43"/>
  <c r="W44"/>
  <c r="W45"/>
  <c r="W46"/>
  <c r="AB12"/>
  <c r="AB13"/>
  <c r="AB14"/>
  <c r="AB15"/>
  <c r="AB16"/>
  <c r="AB17"/>
  <c r="AB19"/>
  <c r="AB20"/>
  <c r="AB21"/>
  <c r="AB22"/>
  <c r="AB23"/>
  <c r="AB24"/>
  <c r="AB25"/>
  <c r="AB26"/>
  <c r="AB27"/>
  <c r="AB28"/>
  <c r="AB29"/>
  <c r="AB30"/>
  <c r="AB31"/>
  <c r="AB32"/>
  <c r="AB33"/>
  <c r="AB34"/>
  <c r="AB35"/>
  <c r="AB36"/>
  <c r="AB37"/>
  <c r="AB38"/>
  <c r="AB39"/>
  <c r="AB40"/>
  <c r="AB41"/>
  <c r="AB42"/>
  <c r="AB43"/>
  <c r="AB44"/>
  <c r="AB45"/>
  <c r="AB46"/>
  <c r="X12"/>
  <c r="X13"/>
  <c r="X14"/>
  <c r="X15"/>
  <c r="X16"/>
  <c r="X17"/>
  <c r="X19"/>
  <c r="X20"/>
  <c r="X21"/>
  <c r="X22"/>
  <c r="X23"/>
  <c r="X24"/>
  <c r="X25"/>
  <c r="X26"/>
  <c r="X27"/>
  <c r="X28"/>
  <c r="X29"/>
  <c r="X30"/>
  <c r="X31"/>
  <c r="X32"/>
  <c r="X33"/>
  <c r="X34"/>
  <c r="X35"/>
  <c r="X36"/>
  <c r="X37"/>
  <c r="X38"/>
  <c r="X39"/>
  <c r="X40"/>
  <c r="X41"/>
  <c r="X42"/>
  <c r="X43"/>
  <c r="X44"/>
  <c r="X45"/>
  <c r="X46"/>
  <c r="AC12"/>
  <c r="AC13"/>
  <c r="AC14"/>
  <c r="AC15"/>
  <c r="AC16"/>
  <c r="AC17"/>
  <c r="AC19"/>
  <c r="AC20"/>
  <c r="AC21"/>
  <c r="AC22"/>
  <c r="AC23"/>
  <c r="AC24"/>
  <c r="AC25"/>
  <c r="AC26"/>
  <c r="AC27"/>
  <c r="AC28"/>
  <c r="AC29"/>
  <c r="AC30"/>
  <c r="AC31"/>
  <c r="AC32"/>
  <c r="AC33"/>
  <c r="AC34"/>
  <c r="AC35"/>
  <c r="AC36"/>
  <c r="AC37"/>
  <c r="AC38"/>
  <c r="AC39"/>
  <c r="AC40"/>
  <c r="AC41"/>
  <c r="AC42"/>
  <c r="AC43"/>
  <c r="AC44"/>
  <c r="AC45"/>
  <c r="AC46"/>
  <c r="Y12"/>
  <c r="Y13"/>
  <c r="Y14"/>
  <c r="Y15"/>
  <c r="Y16"/>
  <c r="Y17"/>
  <c r="Y19"/>
  <c r="Y20"/>
  <c r="Y21"/>
  <c r="Y22"/>
  <c r="Y23"/>
  <c r="Y24"/>
  <c r="Y25"/>
  <c r="Y26"/>
  <c r="Y27"/>
  <c r="Y28"/>
  <c r="Y29"/>
  <c r="Y30"/>
  <c r="Y31"/>
  <c r="Y32"/>
  <c r="Y33"/>
  <c r="Y34"/>
  <c r="Y35"/>
  <c r="Y36"/>
  <c r="Y37"/>
  <c r="Y38"/>
  <c r="Y39"/>
  <c r="Y40"/>
  <c r="Y41"/>
  <c r="Y42"/>
  <c r="Y43"/>
  <c r="Y44"/>
  <c r="Y45"/>
  <c r="Y46"/>
  <c r="AD12"/>
  <c r="AD13"/>
  <c r="AD14"/>
  <c r="AD15"/>
  <c r="AD16"/>
  <c r="AD17"/>
  <c r="AD19"/>
  <c r="AD20"/>
  <c r="AD21"/>
  <c r="AD22"/>
  <c r="AD23"/>
  <c r="AD24"/>
  <c r="AD25"/>
  <c r="AD26"/>
  <c r="AD27"/>
  <c r="AD28"/>
  <c r="AD29"/>
  <c r="AD30"/>
  <c r="AD31"/>
  <c r="AD32"/>
  <c r="AD33"/>
  <c r="AD34"/>
  <c r="AD35"/>
  <c r="AD36"/>
  <c r="AD37"/>
  <c r="AD38"/>
  <c r="AD39"/>
  <c r="AD40"/>
  <c r="AD41"/>
  <c r="AD42"/>
  <c r="AD43"/>
  <c r="AD44"/>
  <c r="AD45"/>
  <c r="AD46"/>
  <c r="Z12"/>
  <c r="Z13"/>
  <c r="Z14"/>
  <c r="Z15"/>
  <c r="Z16"/>
  <c r="Z17"/>
  <c r="Z19"/>
  <c r="Z20"/>
  <c r="Z21"/>
  <c r="Z22"/>
  <c r="Z23"/>
  <c r="Z24"/>
  <c r="Z25"/>
  <c r="Z26"/>
  <c r="Z27"/>
  <c r="Z28"/>
  <c r="Z29"/>
  <c r="Z30"/>
  <c r="Z31"/>
  <c r="Z32"/>
  <c r="Z33"/>
  <c r="Z34"/>
  <c r="Z35"/>
  <c r="Z36"/>
  <c r="Z37"/>
  <c r="Z38"/>
  <c r="Z39"/>
  <c r="Z40"/>
  <c r="Z41"/>
  <c r="Z42"/>
  <c r="Z43"/>
  <c r="Z44"/>
  <c r="Z45"/>
  <c r="Z46"/>
  <c r="AE12"/>
  <c r="AE13"/>
  <c r="AE14"/>
  <c r="AE15"/>
  <c r="AE16"/>
  <c r="AE17"/>
  <c r="AE19"/>
  <c r="AE20"/>
  <c r="AE21"/>
  <c r="AE22"/>
  <c r="AE23"/>
  <c r="AE24"/>
  <c r="AE25"/>
  <c r="AE26"/>
  <c r="AE27"/>
  <c r="AE28"/>
  <c r="AE29"/>
  <c r="AE30"/>
  <c r="AE31"/>
  <c r="AE32"/>
  <c r="AE33"/>
  <c r="AE34"/>
  <c r="AE35"/>
  <c r="AE36"/>
  <c r="AE37"/>
  <c r="AE38"/>
  <c r="AE39"/>
  <c r="AE40"/>
  <c r="AE41"/>
  <c r="AE42"/>
  <c r="AE43"/>
  <c r="AE44"/>
  <c r="AE45"/>
  <c r="AE46"/>
  <c r="AK12"/>
  <c r="AK13"/>
  <c r="AK14"/>
  <c r="AK15"/>
  <c r="AK16"/>
  <c r="AK17"/>
  <c r="AK19"/>
  <c r="AK20"/>
  <c r="AK21"/>
  <c r="AK22"/>
  <c r="AK23"/>
  <c r="AK24"/>
  <c r="AK25"/>
  <c r="AK26"/>
  <c r="AK27"/>
  <c r="AK28"/>
  <c r="AK29"/>
  <c r="AK30"/>
  <c r="AK31"/>
  <c r="AK32"/>
  <c r="AK33"/>
  <c r="AK34"/>
  <c r="AK35"/>
  <c r="AK36"/>
  <c r="AK37"/>
  <c r="AK38"/>
  <c r="AK39"/>
  <c r="AK40"/>
  <c r="AK41"/>
  <c r="AK42"/>
  <c r="AK43"/>
  <c r="AK44"/>
  <c r="AK45"/>
  <c r="AK46"/>
  <c r="AL12"/>
  <c r="AL13"/>
  <c r="AL14"/>
  <c r="AL15"/>
  <c r="AL16"/>
  <c r="AL17"/>
  <c r="AL19"/>
  <c r="AL20"/>
  <c r="AL21"/>
  <c r="AL22"/>
  <c r="AL23"/>
  <c r="AL24"/>
  <c r="AL25"/>
  <c r="AL26"/>
  <c r="AL27"/>
  <c r="AL28"/>
  <c r="AL29"/>
  <c r="AL30"/>
  <c r="AL31"/>
  <c r="AL32"/>
  <c r="AL33"/>
  <c r="AL34"/>
  <c r="AL35"/>
  <c r="AL36"/>
  <c r="AL37"/>
  <c r="AL38"/>
  <c r="AL39"/>
  <c r="AL40"/>
  <c r="AL41"/>
  <c r="AL42"/>
  <c r="AL43"/>
  <c r="AL44"/>
  <c r="AL45"/>
  <c r="AL46"/>
  <c r="AM12"/>
  <c r="AM13"/>
  <c r="AM14"/>
  <c r="AM15"/>
  <c r="AM16"/>
  <c r="AM17"/>
  <c r="AM19"/>
  <c r="AM20"/>
  <c r="AM21"/>
  <c r="AM22"/>
  <c r="AM23"/>
  <c r="AM24"/>
  <c r="AM25"/>
  <c r="AM26"/>
  <c r="AM27"/>
  <c r="AM28"/>
  <c r="AM29"/>
  <c r="AM30"/>
  <c r="AM31"/>
  <c r="AM32"/>
  <c r="AM33"/>
  <c r="AM34"/>
  <c r="AM35"/>
  <c r="AM36"/>
  <c r="AM37"/>
  <c r="AM38"/>
  <c r="AM39"/>
  <c r="AM40"/>
  <c r="AM41"/>
  <c r="AM42"/>
  <c r="AM43"/>
  <c r="AM44"/>
  <c r="AM45"/>
  <c r="AM46"/>
  <c r="AN12"/>
  <c r="AN13"/>
  <c r="AN14"/>
  <c r="AN15"/>
  <c r="AN16"/>
  <c r="AN17"/>
  <c r="AN19"/>
  <c r="AN20"/>
  <c r="AN21"/>
  <c r="AN22"/>
  <c r="AN23"/>
  <c r="AN24"/>
  <c r="AN25"/>
  <c r="AN26"/>
  <c r="AN27"/>
  <c r="AN28"/>
  <c r="AN29"/>
  <c r="AN30"/>
  <c r="AN31"/>
  <c r="AN32"/>
  <c r="AN33"/>
  <c r="AN34"/>
  <c r="AN35"/>
  <c r="AN36"/>
  <c r="AN37"/>
  <c r="AN38"/>
  <c r="AN39"/>
  <c r="AN40"/>
  <c r="AN41"/>
  <c r="AN42"/>
  <c r="AN43"/>
  <c r="AN44"/>
  <c r="AN45"/>
  <c r="AN46"/>
  <c r="AO12"/>
  <c r="AO13"/>
  <c r="AO14"/>
  <c r="AO15"/>
  <c r="AO16"/>
  <c r="AO17"/>
  <c r="AO19"/>
  <c r="AO20"/>
  <c r="AO21"/>
  <c r="AO22"/>
  <c r="AO23"/>
  <c r="AO24"/>
  <c r="AO25"/>
  <c r="AO26"/>
  <c r="AO27"/>
  <c r="AO28"/>
  <c r="AO29"/>
  <c r="AO30"/>
  <c r="AO31"/>
  <c r="AO32"/>
  <c r="AO33"/>
  <c r="AO34"/>
  <c r="AO35"/>
  <c r="AO36"/>
  <c r="AO37"/>
  <c r="AO38"/>
  <c r="AO39"/>
  <c r="AO40"/>
  <c r="AO41"/>
  <c r="AO42"/>
  <c r="AO43"/>
  <c r="AO44"/>
  <c r="AO45"/>
  <c r="AO46"/>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23" i="15"/>
  <c r="BT12" i="36"/>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c r="BF10"/>
  <c r="BE10"/>
  <c r="AP11"/>
  <c r="AP10"/>
  <c r="AP48" s="1"/>
  <c r="AQ11"/>
  <c r="AR11"/>
  <c r="AR10"/>
  <c r="AS11"/>
  <c r="AT11"/>
  <c r="AT10"/>
  <c r="AT48" s="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c r="K64" s="1"/>
  <c r="BB10"/>
  <c r="BB48" s="1"/>
  <c r="J64" s="1"/>
  <c r="BA10"/>
  <c r="BA48"/>
  <c r="I64" s="1"/>
  <c r="I66" s="1"/>
  <c r="AZ10"/>
  <c r="AY10"/>
  <c r="AY48"/>
  <c r="L65" s="1"/>
  <c r="AX10"/>
  <c r="AX48" s="1"/>
  <c r="K65" s="1"/>
  <c r="K66" s="1"/>
  <c r="AW10"/>
  <c r="AW48"/>
  <c r="J65" s="1"/>
  <c r="AV10"/>
  <c r="AU10"/>
  <c r="AU48"/>
  <c r="H65" s="1"/>
  <c r="AS10"/>
  <c r="AS48" s="1"/>
  <c r="AQ10"/>
  <c r="F107" i="15"/>
  <c r="F106"/>
  <c r="F42"/>
  <c r="J158"/>
  <c r="J159"/>
  <c r="E34"/>
  <c r="F34" s="1"/>
  <c r="E35"/>
  <c r="F35" s="1"/>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Q11"/>
  <c r="P12"/>
  <c r="P13"/>
  <c r="Q13"/>
  <c r="P14"/>
  <c r="A64" i="8"/>
  <c r="A94" s="1"/>
  <c r="A63"/>
  <c r="A93" s="1"/>
  <c r="A62"/>
  <c r="A92" s="1"/>
  <c r="A61"/>
  <c r="A91" s="1"/>
  <c r="A56"/>
  <c r="A86" s="1"/>
  <c r="A55"/>
  <c r="A85" s="1"/>
  <c r="A54"/>
  <c r="A84" s="1"/>
  <c r="A53"/>
  <c r="A83" s="1"/>
  <c r="L182" i="11"/>
  <c r="R163"/>
  <c r="R162"/>
  <c r="L228"/>
  <c r="G133"/>
  <c r="M36" i="3"/>
  <c r="M35"/>
  <c r="M34"/>
  <c r="M33"/>
  <c r="K10" i="36"/>
  <c r="L10" s="1"/>
  <c r="L48" s="1"/>
  <c r="L49" s="1"/>
  <c r="K11"/>
  <c r="L11" s="1"/>
  <c r="B17" i="8"/>
  <c r="P144" i="36"/>
  <c r="F145"/>
  <c r="F154"/>
  <c r="F165"/>
  <c r="K143"/>
  <c r="K152"/>
  <c r="K162"/>
  <c r="AZ48"/>
  <c r="H64" s="1"/>
  <c r="BD48"/>
  <c r="L64"/>
  <c r="AV48"/>
  <c r="I65"/>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48" s="1"/>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48" s="1"/>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48" s="1"/>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c r="CV10"/>
  <c r="CU10"/>
  <c r="CU48" s="1"/>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s="1"/>
  <c r="F13" s="1"/>
  <c r="G13" s="1"/>
  <c r="H13"/>
  <c r="I13" s="1"/>
  <c r="J13" s="1"/>
  <c r="K13" s="1"/>
  <c r="B43" s="1"/>
  <c r="C43" s="1"/>
  <c r="D43" s="1"/>
  <c r="E43" s="1"/>
  <c r="F43" s="1"/>
  <c r="G43" s="1"/>
  <c r="H43" s="1"/>
  <c r="I43" s="1"/>
  <c r="J43" s="1"/>
  <c r="K43" s="1"/>
  <c r="B73" s="1"/>
  <c r="C73" s="1"/>
  <c r="D73" s="1"/>
  <c r="E73" s="1"/>
  <c r="F73" s="1"/>
  <c r="G73" s="1"/>
  <c r="H73" s="1"/>
  <c r="I73" s="1"/>
  <c r="J73" s="1"/>
  <c r="K73" s="1"/>
  <c r="B38" i="26"/>
  <c r="H136" i="36"/>
  <c r="C78" i="8"/>
  <c r="B39" i="26"/>
  <c r="I136" i="36"/>
  <c r="D78" i="8" s="1"/>
  <c r="B40" i="26"/>
  <c r="J136" i="36"/>
  <c r="E78" i="8"/>
  <c r="B41" i="26"/>
  <c r="K136" i="36"/>
  <c r="F78" i="8" s="1"/>
  <c r="B42" i="26"/>
  <c r="L136" i="36"/>
  <c r="G78" i="8"/>
  <c r="B43" i="26"/>
  <c r="M136" i="36"/>
  <c r="H78" i="8" s="1"/>
  <c r="B44" i="26"/>
  <c r="N136" i="36"/>
  <c r="I78" i="8"/>
  <c r="B45" i="26"/>
  <c r="O136" i="36"/>
  <c r="J78" i="8" s="1"/>
  <c r="B46" i="26"/>
  <c r="P136" i="36"/>
  <c r="K78" i="8"/>
  <c r="B37" i="26"/>
  <c r="G136" i="36"/>
  <c r="B78" i="8" s="1"/>
  <c r="B28" i="26"/>
  <c r="H126" i="36"/>
  <c r="C48" i="8"/>
  <c r="B29" i="26"/>
  <c r="I126" i="36"/>
  <c r="D48" i="8" s="1"/>
  <c r="B30" i="26"/>
  <c r="J126" i="36"/>
  <c r="E48" i="8"/>
  <c r="B31" i="26"/>
  <c r="K126" i="36"/>
  <c r="F48" i="8" s="1"/>
  <c r="B32" i="26"/>
  <c r="L126" i="36"/>
  <c r="G48" i="8"/>
  <c r="B33" i="26"/>
  <c r="M126" i="36"/>
  <c r="H48" i="8" s="1"/>
  <c r="B34" i="26"/>
  <c r="N126" i="36"/>
  <c r="I48" i="8"/>
  <c r="B35" i="26"/>
  <c r="O126" i="36"/>
  <c r="J48" i="8" s="1"/>
  <c r="B36" i="26"/>
  <c r="P126" i="36"/>
  <c r="K48" i="8"/>
  <c r="B27" i="26"/>
  <c r="G126" i="36"/>
  <c r="B48" i="8" s="1"/>
  <c r="B18" i="26"/>
  <c r="H116" i="36"/>
  <c r="C18" i="8"/>
  <c r="B19" i="26"/>
  <c r="I116" i="36"/>
  <c r="B20" i="26"/>
  <c r="J116" i="36"/>
  <c r="B21" i="26"/>
  <c r="K116" i="36"/>
  <c r="B22" i="26"/>
  <c r="L116" i="36"/>
  <c r="G18" i="8"/>
  <c r="B23" i="26"/>
  <c r="M116" i="36"/>
  <c r="B24" i="26"/>
  <c r="N116" i="36"/>
  <c r="B25" i="26"/>
  <c r="O116" i="36"/>
  <c r="B26" i="26"/>
  <c r="P116" i="36"/>
  <c r="K18" i="8"/>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Y48" s="1"/>
  <c r="EZ45"/>
  <c r="FA45"/>
  <c r="FB45"/>
  <c r="FC45"/>
  <c r="FD45"/>
  <c r="FE45"/>
  <c r="FF45"/>
  <c r="FG45"/>
  <c r="FG48" s="1"/>
  <c r="I92" s="1"/>
  <c r="FH45"/>
  <c r="FI45"/>
  <c r="FJ45"/>
  <c r="FK45"/>
  <c r="FL45"/>
  <c r="FM45"/>
  <c r="FN45"/>
  <c r="FO45"/>
  <c r="FO48" s="1"/>
  <c r="L91" s="1"/>
  <c r="FP45"/>
  <c r="FQ45"/>
  <c r="FR45"/>
  <c r="FS45"/>
  <c r="FT45"/>
  <c r="FU45"/>
  <c r="FV45"/>
  <c r="FW45"/>
  <c r="FX45"/>
  <c r="FY45"/>
  <c r="FZ45"/>
  <c r="GA45"/>
  <c r="GB45"/>
  <c r="GC45"/>
  <c r="GD45"/>
  <c r="GE45"/>
  <c r="GF45"/>
  <c r="GF10"/>
  <c r="GF11"/>
  <c r="GG45"/>
  <c r="GH45"/>
  <c r="GH10"/>
  <c r="GH11"/>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48" s="1"/>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48" s="1"/>
  <c r="J89" s="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48" s="1"/>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48" s="1"/>
  <c r="H91" s="1"/>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48"/>
  <c r="K91" s="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48" s="1"/>
  <c r="K92" s="1"/>
  <c r="FI12"/>
  <c r="FI13"/>
  <c r="FI14"/>
  <c r="FI15"/>
  <c r="FI16"/>
  <c r="FI17"/>
  <c r="FI18"/>
  <c r="FI19"/>
  <c r="FI20"/>
  <c r="FI21"/>
  <c r="FI22"/>
  <c r="FI23"/>
  <c r="FI24"/>
  <c r="FI25"/>
  <c r="FI26"/>
  <c r="FI27"/>
  <c r="FI28"/>
  <c r="FI29"/>
  <c r="FI30"/>
  <c r="FI31"/>
  <c r="FI32"/>
  <c r="FI33"/>
  <c r="FI34"/>
  <c r="FI35"/>
  <c r="FI36"/>
  <c r="FI37"/>
  <c r="FI38"/>
  <c r="FI39"/>
  <c r="FI40"/>
  <c r="FI41"/>
  <c r="FI42"/>
  <c r="FI43"/>
  <c r="FI47"/>
  <c r="FJ10"/>
  <c r="FJ48" s="1"/>
  <c r="L92" s="1"/>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C48" s="1"/>
  <c r="K86" s="1"/>
  <c r="GD11"/>
  <c r="GE11"/>
  <c r="GG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Y10"/>
  <c r="FY48"/>
  <c r="L85" s="1"/>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N48" s="1"/>
  <c r="L88" s="1"/>
  <c r="GM10"/>
  <c r="GL10"/>
  <c r="GL48" s="1"/>
  <c r="J88" s="1"/>
  <c r="GK10"/>
  <c r="GK48"/>
  <c r="I88" s="1"/>
  <c r="GI10"/>
  <c r="GG10"/>
  <c r="GG48" s="1"/>
  <c r="J87" s="1"/>
  <c r="GD10"/>
  <c r="GC10"/>
  <c r="GB10"/>
  <c r="GA10"/>
  <c r="FX10"/>
  <c r="FW10"/>
  <c r="FV10"/>
  <c r="O7" i="15"/>
  <c r="O18"/>
  <c r="O24"/>
  <c r="O28"/>
  <c r="O33"/>
  <c r="O47"/>
  <c r="O58"/>
  <c r="O70"/>
  <c r="O76"/>
  <c r="O88"/>
  <c r="O99"/>
  <c r="O105"/>
  <c r="O110"/>
  <c r="O118"/>
  <c r="J156"/>
  <c r="CS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K48" i="36"/>
  <c r="L78" s="1"/>
  <c r="EP48"/>
  <c r="L79" s="1"/>
  <c r="EI48"/>
  <c r="J78" s="1"/>
  <c r="EN48"/>
  <c r="J79" s="1"/>
  <c r="DD48"/>
  <c r="I72" s="1"/>
  <c r="BM48"/>
  <c r="K69" s="1"/>
  <c r="BR48"/>
  <c r="K68" s="1"/>
  <c r="K70"/>
  <c r="A1" i="34"/>
  <c r="A3" i="39"/>
  <c r="P123" i="15"/>
  <c r="P140" s="1"/>
  <c r="P142"/>
  <c r="P144" s="1"/>
  <c r="J123"/>
  <c r="J140" s="1"/>
  <c r="J142"/>
  <c r="J144" s="1"/>
  <c r="L26" i="3"/>
  <c r="L27" s="1"/>
  <c r="DH48" i="36"/>
  <c r="H73" s="1"/>
  <c r="EC48"/>
  <c r="AH48"/>
  <c r="GW48"/>
  <c r="EF48"/>
  <c r="EE48"/>
  <c r="DR48"/>
  <c r="H75" s="1"/>
  <c r="ET48"/>
  <c r="CK48"/>
  <c r="DN48"/>
  <c r="DC48"/>
  <c r="H72" s="1"/>
  <c r="BJ48"/>
  <c r="H69" s="1"/>
  <c r="BK48"/>
  <c r="I69" s="1"/>
  <c r="I70" s="1"/>
  <c r="BL48"/>
  <c r="J69" s="1"/>
  <c r="BN48"/>
  <c r="L69" s="1"/>
  <c r="BP48"/>
  <c r="I68" s="1"/>
  <c r="A48"/>
  <c r="A7" s="1"/>
  <c r="BE48"/>
  <c r="BI48"/>
  <c r="HB48"/>
  <c r="GQ48"/>
  <c r="I90"/>
  <c r="AG48"/>
  <c r="GY48"/>
  <c r="HK48"/>
  <c r="GX48"/>
  <c r="DQ48"/>
  <c r="DP48"/>
  <c r="DE48"/>
  <c r="J72" s="1"/>
  <c r="BF48"/>
  <c r="BH48"/>
  <c r="BS48"/>
  <c r="L68" s="1"/>
  <c r="L70"/>
  <c r="CL48"/>
  <c r="HA48"/>
  <c r="GP48"/>
  <c r="BO48"/>
  <c r="H68"/>
  <c r="H70" s="1"/>
  <c r="BQ48"/>
  <c r="J68" s="1"/>
  <c r="L66"/>
  <c r="A1" i="11"/>
  <c r="A1" i="18"/>
  <c r="A1" i="15"/>
  <c r="V1" s="1"/>
  <c r="A1" i="8"/>
  <c r="M1" s="1"/>
  <c r="A1" i="6"/>
  <c r="A58" i="26"/>
  <c r="G58"/>
  <c r="A1" i="25"/>
  <c r="I3" i="29"/>
  <c r="A1" i="36"/>
  <c r="T1" s="1"/>
  <c r="A1" i="3"/>
  <c r="S1" s="1"/>
  <c r="A50" i="25"/>
  <c r="A1" i="29"/>
  <c r="A1" i="26"/>
  <c r="A3" i="37"/>
  <c r="A3" i="38"/>
  <c r="CR48" i="36"/>
  <c r="L97" s="1"/>
  <c r="CQ48"/>
  <c r="K97" s="1"/>
  <c r="CP48"/>
  <c r="J97"/>
  <c r="CO48"/>
  <c r="I97"/>
  <c r="CN48"/>
  <c r="H97"/>
  <c r="CH48"/>
  <c r="CC48"/>
  <c r="L94" s="1"/>
  <c r="CG48"/>
  <c r="K95" s="1"/>
  <c r="CB48"/>
  <c r="K94" s="1"/>
  <c r="K96"/>
  <c r="K98" s="1"/>
  <c r="CF48"/>
  <c r="CA48"/>
  <c r="J94" s="1"/>
  <c r="J96" s="1"/>
  <c r="J98" s="1"/>
  <c r="CE48"/>
  <c r="I95" s="1"/>
  <c r="BZ48"/>
  <c r="I94" s="1"/>
  <c r="CD48"/>
  <c r="L95"/>
  <c r="J95"/>
  <c r="H95"/>
  <c r="M95" s="1"/>
  <c r="Q95" s="1"/>
  <c r="N6"/>
  <c r="M69"/>
  <c r="Q69" s="1"/>
  <c r="FX48"/>
  <c r="K85" s="1"/>
  <c r="GJ48"/>
  <c r="H88" s="1"/>
  <c r="FZ48"/>
  <c r="H86" s="1"/>
  <c r="GH48"/>
  <c r="K87" s="1"/>
  <c r="H96"/>
  <c r="H98" s="1"/>
  <c r="K84" i="8"/>
  <c r="J84"/>
  <c r="J92" s="1"/>
  <c r="I84"/>
  <c r="H84"/>
  <c r="G84"/>
  <c r="F84"/>
  <c r="E84"/>
  <c r="D84"/>
  <c r="C84"/>
  <c r="B84"/>
  <c r="K54"/>
  <c r="J54"/>
  <c r="I54"/>
  <c r="H54"/>
  <c r="G54"/>
  <c r="F54"/>
  <c r="E54"/>
  <c r="D54"/>
  <c r="C54"/>
  <c r="B54"/>
  <c r="C24"/>
  <c r="D24"/>
  <c r="E24"/>
  <c r="F24"/>
  <c r="G24"/>
  <c r="H24"/>
  <c r="I24"/>
  <c r="J24"/>
  <c r="K24"/>
  <c r="B24"/>
  <c r="K86"/>
  <c r="J86"/>
  <c r="I86"/>
  <c r="H86"/>
  <c r="G86"/>
  <c r="F86"/>
  <c r="E86"/>
  <c r="D86"/>
  <c r="C86"/>
  <c r="B86"/>
  <c r="K56"/>
  <c r="J56"/>
  <c r="I56"/>
  <c r="H56"/>
  <c r="G56"/>
  <c r="F56"/>
  <c r="E56"/>
  <c r="D56"/>
  <c r="C56"/>
  <c r="B56"/>
  <c r="C26"/>
  <c r="D26"/>
  <c r="E26"/>
  <c r="F26"/>
  <c r="G26"/>
  <c r="H26"/>
  <c r="I26"/>
  <c r="J26"/>
  <c r="K26"/>
  <c r="B26"/>
  <c r="BX48" i="36"/>
  <c r="L61"/>
  <c r="BV48"/>
  <c r="J61"/>
  <c r="BT48"/>
  <c r="H61"/>
  <c r="K83" i="8"/>
  <c r="K91" s="1"/>
  <c r="J83"/>
  <c r="I83"/>
  <c r="H83"/>
  <c r="H91" s="1"/>
  <c r="G83"/>
  <c r="F83"/>
  <c r="E83"/>
  <c r="D83"/>
  <c r="D91" s="1"/>
  <c r="C83"/>
  <c r="C91" s="1"/>
  <c r="B83"/>
  <c r="K53"/>
  <c r="J53"/>
  <c r="I53"/>
  <c r="H53"/>
  <c r="G53"/>
  <c r="F53"/>
  <c r="F61" s="1"/>
  <c r="E53"/>
  <c r="E61" s="1"/>
  <c r="D53"/>
  <c r="C53"/>
  <c r="B53"/>
  <c r="C23"/>
  <c r="D23"/>
  <c r="E23"/>
  <c r="F23"/>
  <c r="F31" s="1"/>
  <c r="G23"/>
  <c r="G31" s="1"/>
  <c r="H23"/>
  <c r="I23"/>
  <c r="J23"/>
  <c r="J34" s="1"/>
  <c r="K23"/>
  <c r="B23"/>
  <c r="B18"/>
  <c r="J18"/>
  <c r="H18"/>
  <c r="F18"/>
  <c r="D18"/>
  <c r="H85"/>
  <c r="J55"/>
  <c r="B55"/>
  <c r="J25"/>
  <c r="AN48" i="36"/>
  <c r="K59" s="1"/>
  <c r="AL48"/>
  <c r="I59" s="1"/>
  <c r="AE48"/>
  <c r="L57" s="1"/>
  <c r="Z48"/>
  <c r="L56" s="1"/>
  <c r="AC48"/>
  <c r="J57" s="1"/>
  <c r="X48"/>
  <c r="J56" s="1"/>
  <c r="AA48"/>
  <c r="H57" s="1"/>
  <c r="M57" s="1"/>
  <c r="C70" i="8"/>
  <c r="C100"/>
  <c r="D100" s="1"/>
  <c r="O242" i="11"/>
  <c r="G123" i="15"/>
  <c r="AO48" i="36"/>
  <c r="L59" s="1"/>
  <c r="BW48"/>
  <c r="K61" s="1"/>
  <c r="AD48"/>
  <c r="K57" s="1"/>
  <c r="Y48"/>
  <c r="K56" s="1"/>
  <c r="AM48"/>
  <c r="J59" s="1"/>
  <c r="BU48"/>
  <c r="I61" s="1"/>
  <c r="AB48"/>
  <c r="I57" s="1"/>
  <c r="W48"/>
  <c r="I56" s="1"/>
  <c r="I58" s="1"/>
  <c r="I60" s="1"/>
  <c r="I62" s="1"/>
  <c r="AK48"/>
  <c r="H59" s="1"/>
  <c r="M59"/>
  <c r="V48"/>
  <c r="H56"/>
  <c r="H58" s="1"/>
  <c r="B61" i="8"/>
  <c r="M61" i="36"/>
  <c r="I32" i="8"/>
  <c r="E32"/>
  <c r="C62"/>
  <c r="G62"/>
  <c r="K62"/>
  <c r="E92"/>
  <c r="I92"/>
  <c r="M56" i="36"/>
  <c r="K58"/>
  <c r="K60" s="1"/>
  <c r="K62" s="1"/>
  <c r="I213" i="11"/>
  <c r="I214" s="1"/>
  <c r="O201" s="1"/>
  <c r="J282"/>
  <c r="H50" i="3"/>
  <c r="D70" i="8"/>
  <c r="E70" s="1"/>
  <c r="L58" i="36"/>
  <c r="L60" s="1"/>
  <c r="L62" s="1"/>
  <c r="I31" i="8"/>
  <c r="E31"/>
  <c r="C61"/>
  <c r="G61"/>
  <c r="K61"/>
  <c r="E91"/>
  <c r="I91"/>
  <c r="O42" i="3"/>
  <c r="O41"/>
  <c r="O43" s="1"/>
  <c r="H51"/>
  <c r="Q56" i="36"/>
  <c r="Q57"/>
  <c r="H50" i="7"/>
  <c r="L214" i="11"/>
  <c r="P201" s="1"/>
  <c r="H60" i="36"/>
  <c r="H62"/>
  <c r="J64" i="8" l="1"/>
  <c r="F32"/>
  <c r="H92"/>
  <c r="K32"/>
  <c r="G32"/>
  <c r="C32"/>
  <c r="E62"/>
  <c r="I62"/>
  <c r="C92"/>
  <c r="G92"/>
  <c r="K92"/>
  <c r="F62"/>
  <c r="B62"/>
  <c r="J61"/>
  <c r="J31"/>
  <c r="D92"/>
  <c r="J62"/>
  <c r="J32"/>
  <c r="H94"/>
  <c r="B64"/>
  <c r="P264" i="11"/>
  <c r="F70" i="8"/>
  <c r="O193" i="11"/>
  <c r="E33" i="15"/>
  <c r="E100" i="8"/>
  <c r="G91"/>
  <c r="I61"/>
  <c r="C31"/>
  <c r="K31"/>
  <c r="D41"/>
  <c r="O264" i="11"/>
  <c r="O273"/>
  <c r="P218"/>
  <c r="F40" i="8"/>
  <c r="O104" i="36"/>
  <c r="B14" i="8"/>
  <c r="H54" i="7"/>
  <c r="J33" i="8"/>
  <c r="B63"/>
  <c r="J63"/>
  <c r="H93"/>
  <c r="M94" i="36"/>
  <c r="Q94" s="1"/>
  <c r="I96"/>
  <c r="I98" s="1"/>
  <c r="J70"/>
  <c r="M70" s="1"/>
  <c r="Q70" s="1"/>
  <c r="M68"/>
  <c r="Q68" s="1"/>
  <c r="GM48"/>
  <c r="K88" s="1"/>
  <c r="K84" s="1"/>
  <c r="GI48"/>
  <c r="L87" s="1"/>
  <c r="GE48"/>
  <c r="H87" s="1"/>
  <c r="FW48"/>
  <c r="J85" s="1"/>
  <c r="FM48"/>
  <c r="J91" s="1"/>
  <c r="FL48"/>
  <c r="I91" s="1"/>
  <c r="M91" s="1"/>
  <c r="Q91" s="1"/>
  <c r="FT48"/>
  <c r="L90" s="1"/>
  <c r="H66"/>
  <c r="M66" s="1"/>
  <c r="Q66" s="1"/>
  <c r="M64"/>
  <c r="K85" i="8"/>
  <c r="I85"/>
  <c r="G85"/>
  <c r="E85"/>
  <c r="C85"/>
  <c r="K55"/>
  <c r="I55"/>
  <c r="G55"/>
  <c r="E55"/>
  <c r="C55"/>
  <c r="C25"/>
  <c r="E25"/>
  <c r="G25"/>
  <c r="I25"/>
  <c r="K25"/>
  <c r="J85"/>
  <c r="F85"/>
  <c r="B85"/>
  <c r="H55"/>
  <c r="D55"/>
  <c r="D25"/>
  <c r="H25"/>
  <c r="B25"/>
  <c r="DB48" i="36"/>
  <c r="L99" s="1"/>
  <c r="DA48"/>
  <c r="K99" s="1"/>
  <c r="K100" s="1"/>
  <c r="CZ48"/>
  <c r="J99" s="1"/>
  <c r="J100" s="1"/>
  <c r="CY48"/>
  <c r="I99" s="1"/>
  <c r="CX48"/>
  <c r="H99" s="1"/>
  <c r="H100" s="1"/>
  <c r="S123" i="15"/>
  <c r="J66" i="36"/>
  <c r="R11" i="24"/>
  <c r="P193" i="11"/>
  <c r="Q61" i="36"/>
  <c r="H51" i="7"/>
  <c r="H49" s="1"/>
  <c r="M58" i="36"/>
  <c r="Q59"/>
  <c r="H52" i="7"/>
  <c r="F25" i="8"/>
  <c r="F55"/>
  <c r="D85"/>
  <c r="GF48" i="36"/>
  <c r="I87" s="1"/>
  <c r="GD48"/>
  <c r="L86" s="1"/>
  <c r="L84" s="1"/>
  <c r="GB48"/>
  <c r="J86" s="1"/>
  <c r="FV48"/>
  <c r="I85" s="1"/>
  <c r="FF48"/>
  <c r="H92" s="1"/>
  <c r="FD48"/>
  <c r="K89" s="1"/>
  <c r="EV48"/>
  <c r="E18" i="8"/>
  <c r="J58" i="36"/>
  <c r="J60" s="1"/>
  <c r="J62" s="1"/>
  <c r="M62" s="1"/>
  <c r="B31" i="8"/>
  <c r="H31"/>
  <c r="D31"/>
  <c r="D61"/>
  <c r="H61"/>
  <c r="B91"/>
  <c r="F91"/>
  <c r="J91"/>
  <c r="I34"/>
  <c r="E34"/>
  <c r="C64"/>
  <c r="G64"/>
  <c r="K64"/>
  <c r="E94"/>
  <c r="I94"/>
  <c r="B32"/>
  <c r="H32"/>
  <c r="D32"/>
  <c r="D62"/>
  <c r="H62"/>
  <c r="B92"/>
  <c r="F92"/>
  <c r="L96" i="36"/>
  <c r="L98" s="1"/>
  <c r="L100" s="1"/>
  <c r="M97"/>
  <c r="FR48"/>
  <c r="J90" s="1"/>
  <c r="FP48"/>
  <c r="H90" s="1"/>
  <c r="EZ48"/>
  <c r="I18" i="8"/>
  <c r="AJ48" i="36"/>
  <c r="AI48"/>
  <c r="AF48"/>
  <c r="HF48"/>
  <c r="HE48"/>
  <c r="HD48"/>
  <c r="HM48"/>
  <c r="HJ48"/>
  <c r="HI48"/>
  <c r="M65"/>
  <c r="GA48"/>
  <c r="I86" s="1"/>
  <c r="M86" s="1"/>
  <c r="FU48"/>
  <c r="H85" s="1"/>
  <c r="FH48"/>
  <c r="J92" s="1"/>
  <c r="FS48"/>
  <c r="K90" s="1"/>
  <c r="FE48"/>
  <c r="L89" s="1"/>
  <c r="FB48"/>
  <c r="I89" s="1"/>
  <c r="FA48"/>
  <c r="H89" s="1"/>
  <c r="EW48"/>
  <c r="CM48"/>
  <c r="CJ48"/>
  <c r="CI48"/>
  <c r="CV48"/>
  <c r="HC48"/>
  <c r="HH48"/>
  <c r="HG48"/>
  <c r="GS48"/>
  <c r="GR48"/>
  <c r="GV48"/>
  <c r="GU48"/>
  <c r="GT48"/>
  <c r="DL48"/>
  <c r="L73" s="1"/>
  <c r="DG48"/>
  <c r="L72" s="1"/>
  <c r="L74" s="1"/>
  <c r="DK48"/>
  <c r="K73" s="1"/>
  <c r="DF48"/>
  <c r="K72" s="1"/>
  <c r="DO48"/>
  <c r="DJ48"/>
  <c r="J73" s="1"/>
  <c r="DI48"/>
  <c r="I73" s="1"/>
  <c r="M73" s="1"/>
  <c r="Q73" s="1"/>
  <c r="DM48"/>
  <c r="H74" s="1"/>
  <c r="EA48"/>
  <c r="L76" s="1"/>
  <c r="DV48"/>
  <c r="L75" s="1"/>
  <c r="L77" s="1"/>
  <c r="DZ48"/>
  <c r="K76" s="1"/>
  <c r="DU48"/>
  <c r="K75" s="1"/>
  <c r="K77" s="1"/>
  <c r="ED48"/>
  <c r="DY48"/>
  <c r="J76" s="1"/>
  <c r="DT48"/>
  <c r="J75" s="1"/>
  <c r="DX48"/>
  <c r="I76" s="1"/>
  <c r="DS48"/>
  <c r="I75" s="1"/>
  <c r="EB48"/>
  <c r="H77" s="1"/>
  <c r="DW48"/>
  <c r="H76" s="1"/>
  <c r="EU48"/>
  <c r="L80" s="1"/>
  <c r="EO48"/>
  <c r="K79" s="1"/>
  <c r="EJ48"/>
  <c r="K78" s="1"/>
  <c r="K80" s="1"/>
  <c r="ES48"/>
  <c r="J80" s="1"/>
  <c r="ER48"/>
  <c r="EM48"/>
  <c r="I79" s="1"/>
  <c r="EH48"/>
  <c r="I78" s="1"/>
  <c r="EQ48"/>
  <c r="EL48"/>
  <c r="H79" s="1"/>
  <c r="M79" s="1"/>
  <c r="Q79" s="1"/>
  <c r="EG48"/>
  <c r="H78" s="1"/>
  <c r="AR48"/>
  <c r="D28" i="8"/>
  <c r="G40"/>
  <c r="H109" i="36"/>
  <c r="H53" i="7" l="1"/>
  <c r="H55" s="1"/>
  <c r="P263" i="11"/>
  <c r="F100" i="8"/>
  <c r="O263" i="11"/>
  <c r="E41" i="8"/>
  <c r="G70"/>
  <c r="P71" i="7"/>
  <c r="P67"/>
  <c r="P160" i="36"/>
  <c r="B21" i="8" s="1"/>
  <c r="Q62" i="36"/>
  <c r="F115" i="15"/>
  <c r="J159" i="36"/>
  <c r="P69" i="7"/>
  <c r="G125" i="15"/>
  <c r="J158" i="36"/>
  <c r="J157"/>
  <c r="D38" i="15"/>
  <c r="H84" i="36"/>
  <c r="M85"/>
  <c r="I50" i="7"/>
  <c r="Q65" i="36"/>
  <c r="I84"/>
  <c r="F63" i="8"/>
  <c r="F64"/>
  <c r="Q58" i="36"/>
  <c r="H33" i="8"/>
  <c r="H34"/>
  <c r="D63"/>
  <c r="D64"/>
  <c r="B93"/>
  <c r="B94"/>
  <c r="J93"/>
  <c r="J94"/>
  <c r="K33"/>
  <c r="K34"/>
  <c r="G33"/>
  <c r="G34"/>
  <c r="C33"/>
  <c r="C34"/>
  <c r="E63"/>
  <c r="E64"/>
  <c r="I63"/>
  <c r="I64"/>
  <c r="C93"/>
  <c r="C94"/>
  <c r="G93"/>
  <c r="G94"/>
  <c r="K93"/>
  <c r="K94"/>
  <c r="J84" i="36"/>
  <c r="I74"/>
  <c r="M60"/>
  <c r="R13" i="24"/>
  <c r="D125" i="15" s="1"/>
  <c r="D14" i="8"/>
  <c r="H14"/>
  <c r="B15"/>
  <c r="J74"/>
  <c r="H74"/>
  <c r="F74"/>
  <c r="D74"/>
  <c r="B74"/>
  <c r="J44"/>
  <c r="H44"/>
  <c r="F44"/>
  <c r="D44"/>
  <c r="B44"/>
  <c r="E14"/>
  <c r="I14"/>
  <c r="J14"/>
  <c r="I74"/>
  <c r="E74"/>
  <c r="K44"/>
  <c r="G44"/>
  <c r="C44"/>
  <c r="G14"/>
  <c r="F14"/>
  <c r="K74"/>
  <c r="G74"/>
  <c r="C74"/>
  <c r="I44"/>
  <c r="E44"/>
  <c r="C14"/>
  <c r="K14"/>
  <c r="B16"/>
  <c r="E28"/>
  <c r="I80" i="36"/>
  <c r="M72"/>
  <c r="Q72" s="1"/>
  <c r="H110"/>
  <c r="I109"/>
  <c r="H40" i="8"/>
  <c r="M78" i="36"/>
  <c r="Q78" s="1"/>
  <c r="H80"/>
  <c r="M76"/>
  <c r="Q76" s="1"/>
  <c r="I77"/>
  <c r="M77" s="1"/>
  <c r="J77"/>
  <c r="J74"/>
  <c r="M89"/>
  <c r="M90"/>
  <c r="Q90" s="1"/>
  <c r="P50" i="7"/>
  <c r="Q97" i="36"/>
  <c r="M92"/>
  <c r="Q92" s="1"/>
  <c r="D93" i="8"/>
  <c r="D94"/>
  <c r="F33"/>
  <c r="F34"/>
  <c r="M96" i="36"/>
  <c r="M99"/>
  <c r="B33" i="8"/>
  <c r="B34"/>
  <c r="D33"/>
  <c r="D34"/>
  <c r="H63"/>
  <c r="H64"/>
  <c r="F93"/>
  <c r="F94"/>
  <c r="I33"/>
  <c r="E33"/>
  <c r="C63"/>
  <c r="G63"/>
  <c r="K63"/>
  <c r="E93"/>
  <c r="I93"/>
  <c r="I51" i="7"/>
  <c r="Q64" i="36"/>
  <c r="M87"/>
  <c r="M75"/>
  <c r="Q75" s="1"/>
  <c r="K74"/>
  <c r="M74" s="1"/>
  <c r="I100"/>
  <c r="M100" s="1"/>
  <c r="M98"/>
  <c r="Q98" s="1"/>
  <c r="M88"/>
  <c r="R12" i="24"/>
  <c r="G100" i="8" l="1"/>
  <c r="H70"/>
  <c r="F41"/>
  <c r="J177" i="11"/>
  <c r="L177" s="1"/>
  <c r="Q74" i="36"/>
  <c r="F42" i="7"/>
  <c r="M125" i="15"/>
  <c r="D39"/>
  <c r="Q100" i="36"/>
  <c r="Q77"/>
  <c r="F44" i="7"/>
  <c r="Q99" i="36"/>
  <c r="P52" i="7"/>
  <c r="I75" i="8"/>
  <c r="E75"/>
  <c r="E76" s="1"/>
  <c r="K45"/>
  <c r="G45"/>
  <c r="G46" s="1"/>
  <c r="C45"/>
  <c r="G15"/>
  <c r="G16" s="1"/>
  <c r="F15"/>
  <c r="H15"/>
  <c r="K75"/>
  <c r="H75"/>
  <c r="H76" s="1"/>
  <c r="F75"/>
  <c r="C75"/>
  <c r="J45"/>
  <c r="H45"/>
  <c r="E45"/>
  <c r="B45"/>
  <c r="E15"/>
  <c r="K15"/>
  <c r="K16" s="1"/>
  <c r="J15"/>
  <c r="J16" s="1"/>
  <c r="J75"/>
  <c r="G75"/>
  <c r="D75"/>
  <c r="D76" s="1"/>
  <c r="B75"/>
  <c r="I45"/>
  <c r="I46" s="1"/>
  <c r="F45"/>
  <c r="D45"/>
  <c r="D46" s="1"/>
  <c r="C15"/>
  <c r="C16" s="1"/>
  <c r="I15"/>
  <c r="I16" s="1"/>
  <c r="D15"/>
  <c r="D16" s="1"/>
  <c r="P140" i="7"/>
  <c r="Q60" i="36"/>
  <c r="L32" i="11"/>
  <c r="L31"/>
  <c r="P141" i="7"/>
  <c r="M145" i="15"/>
  <c r="M146" s="1"/>
  <c r="M148" s="1"/>
  <c r="M84" i="36"/>
  <c r="Q84" s="1"/>
  <c r="P49" i="7"/>
  <c r="P51" s="1"/>
  <c r="P53" s="1"/>
  <c r="P58" s="1"/>
  <c r="Q96" i="36"/>
  <c r="Q89"/>
  <c r="E93" i="15"/>
  <c r="I40" i="8"/>
  <c r="F28"/>
  <c r="G76"/>
  <c r="B46"/>
  <c r="F46"/>
  <c r="M80" i="36"/>
  <c r="I110"/>
  <c r="J109"/>
  <c r="H111"/>
  <c r="B20" i="8"/>
  <c r="E46"/>
  <c r="C76"/>
  <c r="K76"/>
  <c r="K5"/>
  <c r="C46"/>
  <c r="K46"/>
  <c r="I76"/>
  <c r="K6"/>
  <c r="E16"/>
  <c r="H46"/>
  <c r="B76"/>
  <c r="F76"/>
  <c r="J76"/>
  <c r="H16"/>
  <c r="J152" i="15"/>
  <c r="M151"/>
  <c r="J145"/>
  <c r="J146" s="1"/>
  <c r="J148" s="1"/>
  <c r="P145"/>
  <c r="P146" s="1"/>
  <c r="P148" s="1"/>
  <c r="I81" i="8"/>
  <c r="C21"/>
  <c r="G81"/>
  <c r="H51"/>
  <c r="J21"/>
  <c r="B51"/>
  <c r="J51"/>
  <c r="H81"/>
  <c r="E21"/>
  <c r="E81"/>
  <c r="F51"/>
  <c r="C81"/>
  <c r="B81"/>
  <c r="C51"/>
  <c r="K81"/>
  <c r="G51"/>
  <c r="D21"/>
  <c r="D81"/>
  <c r="D51"/>
  <c r="I51"/>
  <c r="G21"/>
  <c r="H21"/>
  <c r="I21"/>
  <c r="K51"/>
  <c r="J81"/>
  <c r="K21"/>
  <c r="F21"/>
  <c r="E51"/>
  <c r="F81"/>
  <c r="I70" l="1"/>
  <c r="H100"/>
  <c r="G41"/>
  <c r="P147" i="36"/>
  <c r="I111"/>
  <c r="J110"/>
  <c r="K109"/>
  <c r="J111"/>
  <c r="Q80"/>
  <c r="Q53" s="1"/>
  <c r="F45" i="7"/>
  <c r="J40" i="8"/>
  <c r="J46"/>
  <c r="F16"/>
  <c r="K7"/>
  <c r="J149" i="15"/>
  <c r="J161" s="1"/>
  <c r="C17" i="8"/>
  <c r="G28"/>
  <c r="O30" i="11"/>
  <c r="P30"/>
  <c r="J70" i="8" l="1"/>
  <c r="H41"/>
  <c r="I100"/>
  <c r="R30" i="11"/>
  <c r="O291"/>
  <c r="L30"/>
  <c r="P291"/>
  <c r="H28" i="8"/>
  <c r="C20"/>
  <c r="M163" i="15"/>
  <c r="J165"/>
  <c r="K110" i="36"/>
  <c r="L109"/>
  <c r="K111"/>
  <c r="N149"/>
  <c r="N148"/>
  <c r="P157"/>
  <c r="K40" i="8"/>
  <c r="E17"/>
  <c r="D17"/>
  <c r="K70" l="1"/>
  <c r="J100"/>
  <c r="I41"/>
  <c r="E20"/>
  <c r="N157" i="36"/>
  <c r="B19" i="8"/>
  <c r="P165" i="36"/>
  <c r="I28" i="8"/>
  <c r="P6" i="11"/>
  <c r="P292"/>
  <c r="D20" i="8"/>
  <c r="F17"/>
  <c r="F20" s="1"/>
  <c r="L110" i="36"/>
  <c r="M109"/>
  <c r="J41" i="3"/>
  <c r="L41" s="1"/>
  <c r="E92" i="15"/>
  <c r="J40" i="3"/>
  <c r="L40" s="1"/>
  <c r="J6" i="7"/>
  <c r="O6" i="11"/>
  <c r="O292"/>
  <c r="J41" i="8" l="1"/>
  <c r="K100"/>
  <c r="J28"/>
  <c r="L111" i="36"/>
  <c r="E49" i="8"/>
  <c r="K79"/>
  <c r="D49"/>
  <c r="J79"/>
  <c r="E19"/>
  <c r="E35" s="1"/>
  <c r="F79"/>
  <c r="F19"/>
  <c r="H19"/>
  <c r="H49"/>
  <c r="B49"/>
  <c r="H79"/>
  <c r="E79"/>
  <c r="I49"/>
  <c r="D79"/>
  <c r="B79"/>
  <c r="I79"/>
  <c r="J19"/>
  <c r="G19"/>
  <c r="K49"/>
  <c r="G49"/>
  <c r="K19"/>
  <c r="D19"/>
  <c r="D35" s="1"/>
  <c r="F49"/>
  <c r="C79"/>
  <c r="C49"/>
  <c r="G79"/>
  <c r="J49"/>
  <c r="I19"/>
  <c r="C19"/>
  <c r="B22"/>
  <c r="B30" s="1"/>
  <c r="B35"/>
  <c r="M111" i="36"/>
  <c r="M110"/>
  <c r="N109"/>
  <c r="K41" i="8" l="1"/>
  <c r="H17"/>
  <c r="N111" i="36"/>
  <c r="N110"/>
  <c r="O109"/>
  <c r="C22" i="8"/>
  <c r="C30" s="1"/>
  <c r="C35"/>
  <c r="G17"/>
  <c r="F22"/>
  <c r="F30" s="1"/>
  <c r="F35"/>
  <c r="D22"/>
  <c r="D30" s="1"/>
  <c r="E22"/>
  <c r="E30" s="1"/>
  <c r="K28"/>
  <c r="B71" l="1"/>
  <c r="O111" i="36"/>
  <c r="O110"/>
  <c r="P109"/>
  <c r="B58" i="8"/>
  <c r="G20"/>
  <c r="G22" s="1"/>
  <c r="G30" s="1"/>
  <c r="I17"/>
  <c r="H20"/>
  <c r="H22" s="1"/>
  <c r="H30" s="1"/>
  <c r="C71" l="1"/>
  <c r="H35"/>
  <c r="I20"/>
  <c r="I22" s="1"/>
  <c r="I30" s="1"/>
  <c r="G35"/>
  <c r="C58"/>
  <c r="G119" i="36"/>
  <c r="P110"/>
  <c r="J17" i="8"/>
  <c r="D71" l="1"/>
  <c r="P111" i="36"/>
  <c r="G120"/>
  <c r="G121"/>
  <c r="B47" i="8" s="1"/>
  <c r="H119" i="36"/>
  <c r="J20" i="8"/>
  <c r="J22" s="1"/>
  <c r="J30" s="1"/>
  <c r="D58"/>
  <c r="I35"/>
  <c r="E71" l="1"/>
  <c r="E58"/>
  <c r="I119" i="36"/>
  <c r="H120"/>
  <c r="J35" i="8"/>
  <c r="B50"/>
  <c r="B52" s="1"/>
  <c r="B60" s="1"/>
  <c r="K17"/>
  <c r="F71" l="1"/>
  <c r="B65"/>
  <c r="H121" i="36"/>
  <c r="C47" i="8" s="1"/>
  <c r="F58"/>
  <c r="K20"/>
  <c r="I120" i="36"/>
  <c r="J119"/>
  <c r="G71" i="8" l="1"/>
  <c r="K35"/>
  <c r="I121" i="36"/>
  <c r="D47" i="8" s="1"/>
  <c r="J120" i="36"/>
  <c r="K119"/>
  <c r="K22" i="8"/>
  <c r="K30" s="1"/>
  <c r="G58"/>
  <c r="C50"/>
  <c r="C52" s="1"/>
  <c r="C60" s="1"/>
  <c r="H71" l="1"/>
  <c r="H58"/>
  <c r="C65"/>
  <c r="K120" i="36"/>
  <c r="L119"/>
  <c r="K121"/>
  <c r="F47" i="8" s="1"/>
  <c r="J121" i="36"/>
  <c r="E47" i="8" s="1"/>
  <c r="D50"/>
  <c r="D52" s="1"/>
  <c r="D60" s="1"/>
  <c r="I71" l="1"/>
  <c r="F50"/>
  <c r="F52" s="1"/>
  <c r="F60" s="1"/>
  <c r="M119" i="36"/>
  <c r="L120"/>
  <c r="I58" i="8"/>
  <c r="D65"/>
  <c r="E50"/>
  <c r="E52" s="1"/>
  <c r="E60" s="1"/>
  <c r="J71" l="1"/>
  <c r="E65"/>
  <c r="J58"/>
  <c r="N119" i="36"/>
  <c r="M120"/>
  <c r="L121"/>
  <c r="G47" i="8" s="1"/>
  <c r="F65"/>
  <c r="K71" l="1"/>
  <c r="G50"/>
  <c r="G52" s="1"/>
  <c r="G60" s="1"/>
  <c r="M121" i="36"/>
  <c r="H47" i="8" s="1"/>
  <c r="N120" i="36"/>
  <c r="O119"/>
  <c r="N121"/>
  <c r="I47" i="8" s="1"/>
  <c r="K58"/>
  <c r="B101" l="1"/>
  <c r="O120" i="36"/>
  <c r="P119"/>
  <c r="H50" i="8"/>
  <c r="B88"/>
  <c r="I50"/>
  <c r="I52" s="1"/>
  <c r="I60" s="1"/>
  <c r="G65"/>
  <c r="C101" l="1"/>
  <c r="C88"/>
  <c r="H65"/>
  <c r="I65"/>
  <c r="H52"/>
  <c r="H60" s="1"/>
  <c r="G129" i="36"/>
  <c r="P120"/>
  <c r="P121"/>
  <c r="K47" i="8" s="1"/>
  <c r="O121" i="36"/>
  <c r="J47" i="8" s="1"/>
  <c r="J50" s="1"/>
  <c r="D101" l="1"/>
  <c r="K50"/>
  <c r="K52" s="1"/>
  <c r="K60" s="1"/>
  <c r="D88"/>
  <c r="J65"/>
  <c r="J52"/>
  <c r="J60" s="1"/>
  <c r="H129" i="36"/>
  <c r="G130"/>
  <c r="E101" i="8" l="1"/>
  <c r="H131" i="36"/>
  <c r="C77" i="8" s="1"/>
  <c r="H130" i="36"/>
  <c r="I129"/>
  <c r="E88" i="8"/>
  <c r="G131" i="36"/>
  <c r="B77" i="8" s="1"/>
  <c r="K65"/>
  <c r="F101" l="1"/>
  <c r="J129" i="36"/>
  <c r="I130"/>
  <c r="C80" i="8"/>
  <c r="B80"/>
  <c r="F88"/>
  <c r="G101" l="1"/>
  <c r="G88"/>
  <c r="B95"/>
  <c r="C95"/>
  <c r="I131" i="36"/>
  <c r="D77" i="8" s="1"/>
  <c r="B82"/>
  <c r="B90" s="1"/>
  <c r="C82"/>
  <c r="C90" s="1"/>
  <c r="J130" i="36"/>
  <c r="K129"/>
  <c r="J131"/>
  <c r="E77" i="8" s="1"/>
  <c r="H101" l="1"/>
  <c r="E80"/>
  <c r="E82" s="1"/>
  <c r="E90" s="1"/>
  <c r="D80"/>
  <c r="K130" i="36"/>
  <c r="L129"/>
  <c r="H88" i="8"/>
  <c r="I101" l="1"/>
  <c r="I88"/>
  <c r="D95"/>
  <c r="K131" i="36"/>
  <c r="F77" i="8" s="1"/>
  <c r="M129" i="36"/>
  <c r="L130"/>
  <c r="D82" i="8"/>
  <c r="D90" s="1"/>
  <c r="E95"/>
  <c r="J101" l="1"/>
  <c r="M130" i="36"/>
  <c r="N129"/>
  <c r="J88" i="8"/>
  <c r="L131" i="36"/>
  <c r="G77" i="8" s="1"/>
  <c r="F80"/>
  <c r="K101" l="1"/>
  <c r="F95"/>
  <c r="G80"/>
  <c r="K88"/>
  <c r="F82"/>
  <c r="F90" s="1"/>
  <c r="M131" i="36"/>
  <c r="H77" i="8" s="1"/>
  <c r="N130" i="36"/>
  <c r="O129"/>
  <c r="N131"/>
  <c r="I77" i="8" s="1"/>
  <c r="O130" i="36" l="1"/>
  <c r="P129"/>
  <c r="O131"/>
  <c r="J77" i="8" s="1"/>
  <c r="H80"/>
  <c r="H82" s="1"/>
  <c r="H90" s="1"/>
  <c r="G95"/>
  <c r="I80"/>
  <c r="I82" s="1"/>
  <c r="I90" s="1"/>
  <c r="G82"/>
  <c r="G90" s="1"/>
  <c r="J80" l="1"/>
  <c r="I95"/>
  <c r="H95"/>
  <c r="P130" i="36"/>
  <c r="J95" i="8" l="1"/>
  <c r="P131" i="36"/>
  <c r="K77" i="8" s="1"/>
  <c r="J82"/>
  <c r="J90" s="1"/>
  <c r="K80" l="1"/>
  <c r="K95" l="1"/>
  <c r="K82"/>
  <c r="K90" s="1"/>
</calcChain>
</file>

<file path=xl/sharedStrings.xml><?xml version="1.0" encoding="utf-8"?>
<sst xmlns="http://schemas.openxmlformats.org/spreadsheetml/2006/main" count="7986" uniqueCount="4136">
  <si>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</si>
  <si>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</si>
  <si>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</si>
  <si>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</si>
  <si>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</si>
  <si>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</si>
  <si>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</si>
  <si>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</si>
  <si>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</si>
  <si>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</si>
  <si>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</si>
  <si>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</si>
  <si>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</si>
  <si>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</si>
  <si>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</si>
  <si>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</si>
  <si>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</si>
  <si>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</si>
  <si>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</si>
  <si>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</si>
  <si>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</si>
  <si>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</si>
  <si>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</si>
  <si>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</si>
  <si>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</si>
  <si>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</si>
  <si>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</si>
  <si>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</si>
  <si>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</si>
  <si>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</si>
  <si>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</si>
  <si>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</si>
  <si>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</si>
  <si>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</si>
  <si>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</si>
  <si>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</si>
  <si>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</si>
  <si>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</si>
  <si>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</si>
  <si>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</si>
  <si>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</si>
  <si>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</si>
  <si>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</si>
  <si>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</si>
  <si>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</si>
  <si>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</si>
  <si>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</si>
  <si>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</si>
  <si>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</si>
  <si>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</si>
  <si>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</si>
  <si>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</si>
  <si>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</si>
  <si>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</si>
  <si>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</si>
  <si>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</si>
  <si>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</si>
  <si>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</si>
  <si>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</si>
  <si>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</si>
  <si>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</si>
  <si>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</si>
  <si>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</si>
  <si>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</si>
  <si>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</si>
  <si>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</si>
  <si>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</si>
  <si>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</si>
  <si>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</si>
  <si>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</si>
  <si>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</si>
  <si>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</si>
  <si>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</si>
  <si>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</si>
  <si>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</si>
  <si>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</si>
  <si>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</si>
  <si>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</si>
  <si>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</si>
  <si>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</si>
  <si>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</si>
  <si>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</si>
  <si>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</si>
  <si>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</si>
  <si>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</si>
  <si>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</si>
  <si>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</si>
  <si>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</si>
  <si>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</si>
  <si>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</si>
  <si>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</si>
  <si>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</si>
  <si>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</si>
  <si>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</si>
  <si>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</si>
  <si>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</si>
  <si>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</si>
  <si>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</si>
  <si>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</si>
  <si>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</si>
  <si>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</si>
  <si>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Non-profit legal opinion in Tab 17 as well as Tab 2</t>
  </si>
  <si>
    <t>RBC Capital</t>
  </si>
  <si>
    <t xml:space="preserve">Property is exempt from Real Estate Taxes as documented in letter from Augusta-Richmond County tax assessor in TAB 5, therefore, since this is not an abatement, no expense has been included in the operating budget.
Insurance is based on quote as documented in TAB 8.  The quote amount has been increased nominally to account for projected inflation in the insurance cost by the time the project is placed in service. 
</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</si>
  <si>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</si>
  <si>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</si>
  <si>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</si>
  <si>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</si>
  <si>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</si>
  <si>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</si>
  <si>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</si>
  <si>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</si>
  <si>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</si>
  <si>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</si>
  <si>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</si>
  <si>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</si>
  <si>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</si>
  <si>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</si>
  <si>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</si>
  <si>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</si>
  <si>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</si>
  <si>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</si>
  <si>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</si>
  <si>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</si>
  <si>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</si>
  <si>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</si>
  <si>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</si>
  <si>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</si>
  <si>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</si>
  <si>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</si>
  <si>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</si>
  <si>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</si>
  <si>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</si>
  <si>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</si>
  <si>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</si>
  <si>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</si>
  <si>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</si>
  <si>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</si>
  <si>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</si>
  <si>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</si>
  <si>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</si>
  <si>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</si>
  <si>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</si>
  <si>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</si>
  <si>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</si>
  <si>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</si>
  <si>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</si>
  <si>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</si>
  <si>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</si>
  <si>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</si>
  <si>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</si>
  <si>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</si>
  <si>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</si>
  <si>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</si>
  <si>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</si>
  <si>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</si>
  <si>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</si>
  <si>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</si>
  <si>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</si>
  <si>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</si>
  <si>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</si>
  <si>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</si>
  <si>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</si>
  <si>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</si>
  <si>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</si>
  <si>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</si>
  <si>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</si>
  <si>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</si>
  <si>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</si>
  <si>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</si>
  <si>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</si>
  <si>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</si>
  <si>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</si>
  <si>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</si>
  <si>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</si>
  <si>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</si>
  <si>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</si>
  <si>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</si>
  <si>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</si>
  <si>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</si>
  <si>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</si>
  <si>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</si>
  <si>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</si>
  <si>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</si>
  <si>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</si>
  <si>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</si>
  <si>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</si>
  <si>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</si>
  <si>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</si>
  <si>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</si>
  <si>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</si>
  <si>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</si>
  <si>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</si>
  <si>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</si>
  <si>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</si>
  <si>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</si>
  <si>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</si>
  <si>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</si>
  <si>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</si>
  <si>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</si>
  <si>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</si>
  <si>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</si>
  <si>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$750,000 VA MilCon Commitment to Affordable Housing Solutions, Inc.--approved but not executed by the VA</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</si>
  <si>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</si>
  <si>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</si>
  <si>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</si>
  <si>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</si>
  <si>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</si>
  <si>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</si>
  <si>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</si>
  <si>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</si>
  <si>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</si>
  <si>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</si>
  <si>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</si>
  <si>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</si>
  <si>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</si>
  <si>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</si>
  <si>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</si>
  <si>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</si>
  <si>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</si>
  <si>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</si>
  <si>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</si>
  <si>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</si>
  <si>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</si>
  <si>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</si>
  <si>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</si>
  <si>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</si>
  <si>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</si>
  <si>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</si>
  <si>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</si>
  <si>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</si>
  <si>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</si>
  <si>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</si>
  <si>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</si>
  <si>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</si>
  <si>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</si>
  <si>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</si>
  <si>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</si>
  <si>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</si>
  <si>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</si>
  <si>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</si>
  <si>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</si>
  <si>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</si>
  <si>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</si>
  <si>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</si>
  <si>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</si>
  <si>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</si>
  <si>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</si>
  <si>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</si>
  <si>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</si>
  <si>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</si>
  <si>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</si>
  <si>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</si>
  <si>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</si>
  <si>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</si>
  <si>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</si>
  <si>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</si>
  <si>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</si>
  <si>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</si>
  <si>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</si>
  <si>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</si>
  <si>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</si>
  <si>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</si>
  <si>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</si>
  <si>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</si>
  <si>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</si>
  <si>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</si>
  <si>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</si>
  <si>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</si>
  <si>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</si>
  <si>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</si>
  <si>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</si>
  <si>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</si>
  <si>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</si>
  <si>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</si>
  <si>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</si>
  <si>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</si>
  <si>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</si>
  <si>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</si>
  <si>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</si>
  <si>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</si>
  <si>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</si>
  <si>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</si>
  <si>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</si>
  <si>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</si>
  <si>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</si>
  <si>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</si>
  <si>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</si>
  <si>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</si>
  <si>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</si>
  <si>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</si>
  <si>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</si>
  <si>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</si>
  <si>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</si>
  <si>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</si>
  <si>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</si>
  <si>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</si>
  <si>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</si>
  <si>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</si>
  <si>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</si>
  <si>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</si>
  <si>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</si>
  <si>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The Crest at Edinburg is not a comparable project to this effort, so there are no comparable tax credit projects of recent vintage in the area.</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</si>
  <si>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</si>
  <si>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</si>
  <si>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</si>
  <si>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</si>
  <si>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</si>
  <si>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</si>
  <si>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</si>
  <si>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</si>
  <si>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</si>
  <si>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</si>
  <si>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</si>
  <si>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</si>
  <si>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</si>
  <si>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</si>
  <si>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</si>
  <si>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</si>
  <si>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</si>
  <si>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</si>
  <si>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</si>
  <si>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</si>
  <si>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</si>
  <si>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</si>
  <si>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</si>
  <si>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</si>
  <si>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</si>
  <si>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</si>
  <si>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</si>
  <si>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</si>
  <si>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</si>
  <si>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</si>
  <si>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</si>
  <si>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</si>
  <si>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</si>
  <si>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</si>
  <si>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</si>
  <si>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</si>
  <si>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</si>
  <si>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</si>
  <si>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</si>
  <si>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</si>
  <si>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</si>
  <si>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</si>
  <si>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</si>
  <si>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</si>
  <si>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</si>
  <si>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</si>
  <si>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</si>
  <si>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</si>
  <si>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</si>
  <si>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</si>
  <si>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</si>
  <si>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</si>
  <si>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Reynolds and Boyd Associates (dba United Properties)</t>
  </si>
  <si>
    <t>JerryHowland</t>
  </si>
  <si>
    <t>David Urban</t>
  </si>
  <si>
    <t>Communities for Veterans, LLC</t>
  </si>
  <si>
    <t>Manager</t>
  </si>
  <si>
    <t>Internet, Fire, Elevator</t>
  </si>
  <si>
    <t>The project has no repayable debt.  It maintains a 1.15 income to expense ratio through the 15 year tax credit period.
No incentive management fee has been entered, since this is calculated on a percentage of cash flow and is not a static number.</t>
  </si>
  <si>
    <t>The project is targeted to homeless Veterans, who will be given a priority in tenancy, but the project is open to other homeless individuals who are not Veterans.</t>
  </si>
  <si>
    <t>Services for the population will far exceed the DCA minimum requirement.</t>
  </si>
  <si>
    <t>Novogradic</t>
  </si>
  <si>
    <t>The appraisal is included to establish the value of the contribution of land and buildings by the VA for non-profit contribution points.  There is no identify of interest or HOME funds involved.</t>
  </si>
  <si>
    <t>There is an approved contract for lead and asbestos mitigation for the project, with funding provided by the VA through the non-profit participants to cover this expense.</t>
  </si>
  <si>
    <t>Access to the site is through the VA medical center campus which is open to the public 24 hours per day, 365 days per year.</t>
  </si>
  <si>
    <t>Site is properly zoned and all conditions are documented.</t>
  </si>
  <si>
    <t>Hope House</t>
  </si>
  <si>
    <t>Freedom's Path Limited Partnership</t>
  </si>
  <si>
    <t>While the Utiliity Allowance schedule included in the application states "townhouses", according to Sirena Rogers of the Augusta Housing Authority, that is the category used for all multi-family housing.</t>
  </si>
  <si>
    <t>Daniel Field (airport), Marilyn Avenue</t>
  </si>
  <si>
    <t xml:space="preserve"> All documentation is included in the application to demonstrate substantial community support.</t>
  </si>
  <si>
    <t>All amenities are called out in the site plan, which is done in accordance with DCA instructions.</t>
  </si>
  <si>
    <t>The buildings are historic and features will be retained or matched.  The roofing will be replaced on Building 7 and Building 76 with compatible materials while meeting the 30 year standard.</t>
  </si>
  <si>
    <t xml:space="preserve">This project is located on federal land which is independent of any local government boundary or jurisdiction.  No tax credit projects have been done on federal property owned by the VA in Georgia.  The VA chose to utilize Augusta-Richmond County for planning and construction purposes, but this was not a requirement of the City-County, and as the tax-exempt letter states, the project is federal property, not within the authority of the Augusta-Richmond County government.  As such, the project qualifies for 3 points. </t>
  </si>
  <si>
    <t>Director</t>
  </si>
  <si>
    <t>100 Second Avenue South, Suite 800</t>
  </si>
  <si>
    <t>St. Petersburg</t>
  </si>
  <si>
    <t>david.urban@rbc.com</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</si>
  <si>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</si>
  <si>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</si>
  <si>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</si>
  <si>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</si>
  <si>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</si>
  <si>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</si>
  <si>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</si>
  <si>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</si>
  <si>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</si>
  <si>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</si>
  <si>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</si>
  <si>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</si>
  <si>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</si>
  <si>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</si>
  <si>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</si>
  <si>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</si>
  <si>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</si>
  <si>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</si>
  <si>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</si>
  <si>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</si>
  <si>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</si>
  <si>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</si>
  <si>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</si>
  <si>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</si>
  <si>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</si>
  <si>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</si>
  <si>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</si>
  <si>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</si>
  <si>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</si>
  <si>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</si>
  <si>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</si>
  <si>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</si>
  <si>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</si>
  <si>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</si>
  <si>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</si>
  <si>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</si>
  <si>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</si>
  <si>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</si>
  <si>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</si>
  <si>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</si>
  <si>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</si>
  <si>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</si>
  <si>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</si>
  <si>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</si>
  <si>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</si>
  <si>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</si>
  <si>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</si>
  <si>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</si>
  <si>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</si>
  <si>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</si>
  <si>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</si>
  <si>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</si>
  <si>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</si>
  <si>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</si>
  <si>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</si>
  <si>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</si>
  <si>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</si>
  <si>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</si>
  <si>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</si>
  <si>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</si>
  <si>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</si>
  <si>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</si>
  <si>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</si>
  <si>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</si>
  <si>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</si>
  <si>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</si>
  <si>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</si>
  <si>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t>Workshop info stipulated that the Multi-State release form is not required, so none is submitted.  All other data is submitted for all participants.</t>
  </si>
  <si>
    <t>The Qualification request is being submitted with the application.  Don Paxton was approved in 2011 as Qualified without Conditions.  The qualification of Mr. Paxton is being used for the project qualification for Experienced Owner and Developer.</t>
  </si>
  <si>
    <t>Affordable Housing Solutions, Inc. and Hope House, Inc.</t>
  </si>
  <si>
    <t>Combined, the non-profits control 51% of the GP, are the Managers, and will receive 51% of the Developer Fee.  All agreements are included in the application.</t>
  </si>
  <si>
    <t>Opinions on both AHS, Inc. and Hope House, Inc. are included.</t>
  </si>
  <si>
    <t>All properties are listed.</t>
  </si>
  <si>
    <t>Buildings are vacant.</t>
  </si>
  <si>
    <t>The project will have a major focus on residents with disabilities and will be solicitous of potential tenants with disabilities, and already has significant relationship with local service agencies who serve people with disabilities.</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</si>
  <si>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</si>
  <si>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</si>
  <si>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</si>
  <si>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</si>
  <si>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</si>
  <si>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</si>
  <si>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</si>
  <si>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</si>
  <si>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</si>
  <si>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</si>
  <si>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</si>
  <si>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</si>
  <si>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</si>
  <si>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</si>
  <si>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</si>
  <si>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</si>
  <si>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</si>
  <si>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</si>
  <si>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</si>
  <si>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</si>
  <si>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</si>
  <si>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</si>
  <si>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</si>
  <si>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</si>
  <si>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</si>
  <si>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While this Plan is national in reach, it is local in scope.  The VA Medical Center is owned by the Federal Government, so is therefore not subject to local jurisdiction, but the nature of vacant buildings on the site, and the projected use of those buildings for residential purposes is specifically local.  The VA is also located in a larger community in which it has an inpact.  Therefore, the focus of this plan, inasmuch as it impacts the local community, which it does, constitues a local redevelopment plan.  As such, it meets all of the criteria stipulated for such a plan.  Given this, we have taken a point under this criteria.</t>
  </si>
  <si>
    <t>The market is exceptionally strong for this population.  It should be stressed while this project is targeted to Veterans, and a commitment is made to give them priority, it is not exclusively limited to Veterans, but available to members of the general public who meet the income and other occupancy guidelines.</t>
  </si>
  <si>
    <t>The project will be restricted under the terms of the VA lease for 75 years.  The applicant will far exceed this 5 year time period for affordability retention.</t>
  </si>
  <si>
    <t>Both non-profit applicants have met the criteria for these points and have included all of the requisite documentation in the application.</t>
  </si>
  <si>
    <t>The non-profit contributions of VA supplied capital funding, plus the value of the buildings and land qualifies the project for these points.  Since similar federal funds are eligible for points, these contibutions should also be allowed to qualify for points under this section.</t>
  </si>
  <si>
    <t>The project stands out on all of the DCA stated criteria for superior project, and the narrative documenting this is included in TAB 1.</t>
  </si>
  <si>
    <t>The project will be targeted to serve homeless and disabled tenants.  The applicant solidits this population for residency.  The buildings are approved with Part 1 and Part II historic designations.</t>
  </si>
  <si>
    <t>All compliance documentation has been provided.  All housing owned by the applicants is in compliance, meriting the 10 points under this criteria.</t>
  </si>
  <si>
    <t>Local Redevelopment Plan</t>
  </si>
  <si>
    <t>LEED for Homes</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</si>
  <si>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</si>
  <si>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</si>
  <si>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</si>
  <si>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</si>
  <si>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</si>
  <si>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</si>
  <si>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</si>
  <si>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</si>
  <si>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</si>
  <si>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</si>
  <si>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</si>
  <si>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</si>
  <si>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</si>
  <si>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</si>
  <si>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</si>
  <si>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</si>
  <si>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</si>
  <si>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</si>
  <si>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</si>
  <si>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</si>
  <si>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</si>
  <si>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</si>
  <si>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</si>
  <si>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</si>
  <si>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</si>
  <si>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</si>
  <si>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</si>
  <si>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</si>
  <si>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</si>
  <si>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</si>
  <si>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</si>
  <si>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</si>
  <si>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</si>
  <si>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</si>
  <si>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</si>
  <si>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</si>
  <si>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</si>
  <si>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</si>
  <si>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</si>
  <si>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</si>
  <si>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</si>
  <si>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</si>
  <si>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</si>
  <si>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</si>
  <si>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</si>
  <si>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</si>
  <si>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</si>
  <si>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</si>
  <si>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</si>
  <si>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</si>
  <si>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</si>
  <si>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</si>
  <si>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</si>
  <si>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</si>
  <si>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</si>
  <si>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</si>
  <si>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</si>
  <si>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</si>
  <si>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</si>
  <si>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</si>
  <si>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</si>
  <si>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</si>
  <si>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</si>
  <si>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</si>
  <si>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</si>
  <si>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</si>
  <si>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</si>
  <si>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</si>
  <si>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</si>
  <si>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</si>
  <si>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</si>
  <si>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</si>
  <si>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</si>
  <si>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</si>
  <si>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</si>
  <si>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</si>
  <si>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</si>
  <si>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</si>
  <si>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</si>
  <si>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</si>
  <si>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</si>
  <si>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</si>
  <si>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</si>
  <si>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</si>
  <si>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</si>
  <si>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</si>
  <si>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</si>
  <si>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</si>
  <si>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</si>
  <si>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</si>
  <si>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</si>
  <si>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</si>
  <si>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</si>
  <si>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</si>
  <si>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</si>
  <si>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</si>
  <si>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</si>
  <si>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</si>
  <si>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</si>
  <si>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</si>
  <si>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</si>
  <si>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</si>
  <si>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</si>
  <si>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</si>
  <si>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</si>
  <si>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</si>
  <si>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</si>
  <si>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</si>
  <si>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</si>
  <si>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</si>
  <si>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</si>
  <si>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</si>
  <si>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</si>
  <si>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</si>
  <si>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</si>
  <si>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</si>
  <si>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</si>
  <si>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</si>
  <si>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</si>
  <si>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</si>
  <si>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</si>
  <si>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</si>
  <si>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</si>
  <si>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</si>
  <si>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</si>
  <si>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</si>
  <si>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</si>
  <si>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</si>
  <si>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</si>
  <si>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</si>
  <si>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</si>
  <si>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</si>
  <si>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</si>
  <si>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</si>
  <si>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</si>
  <si>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</si>
  <si>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</si>
  <si>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</si>
  <si>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</si>
  <si>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</si>
  <si>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</si>
  <si>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</si>
  <si>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</si>
  <si>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</si>
  <si>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</si>
  <si>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</si>
  <si>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</si>
  <si>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</si>
  <si>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</si>
  <si>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</si>
  <si>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</si>
  <si>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</si>
  <si>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</si>
  <si>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</si>
  <si>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</si>
  <si>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</si>
  <si>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</si>
  <si>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</si>
  <si>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</si>
  <si>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</si>
  <si>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</si>
  <si>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</si>
  <si>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</si>
  <si>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</si>
  <si>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</si>
  <si>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</si>
  <si>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</si>
  <si>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</si>
  <si>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</si>
  <si>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</si>
  <si>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</si>
  <si>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</si>
  <si>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</si>
  <si>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</si>
  <si>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</si>
  <si>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</si>
  <si>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</si>
  <si>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</si>
  <si>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</si>
  <si>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</si>
  <si>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</si>
  <si>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</si>
  <si>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</si>
  <si>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</si>
  <si>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</si>
  <si>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</si>
  <si>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</si>
  <si>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</si>
  <si>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</si>
  <si>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</si>
  <si>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</si>
  <si>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</si>
  <si>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</si>
  <si>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</si>
  <si>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</si>
  <si>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</si>
  <si>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</si>
  <si>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</si>
  <si>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</si>
  <si>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</si>
  <si>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</si>
  <si>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</si>
  <si>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</si>
  <si>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</si>
  <si>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</si>
  <si>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</si>
  <si>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</si>
  <si>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</si>
  <si>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</si>
  <si>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</si>
  <si>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</si>
  <si>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</si>
  <si>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</si>
  <si>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</si>
  <si>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</si>
  <si>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</si>
  <si>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</si>
  <si>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</si>
  <si>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</si>
  <si>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</si>
  <si>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</si>
  <si>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</si>
  <si>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</si>
  <si>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</si>
  <si>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</si>
  <si>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</si>
  <si>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</si>
  <si>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</si>
  <si>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</si>
  <si>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</si>
  <si>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</si>
  <si>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</si>
  <si>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</si>
  <si>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</si>
  <si>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</si>
  <si>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</si>
  <si>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</si>
  <si>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</si>
  <si>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</si>
  <si>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</si>
  <si>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</si>
  <si>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</si>
  <si>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</si>
  <si>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</si>
  <si>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</si>
  <si>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</si>
  <si>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</si>
  <si>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</si>
  <si>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</si>
  <si>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</si>
  <si>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</si>
  <si>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</si>
  <si>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</si>
  <si>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</si>
  <si>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</si>
  <si>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</si>
  <si>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</si>
  <si>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</si>
  <si>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</si>
  <si>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</si>
  <si>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</si>
  <si>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</si>
  <si>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</si>
  <si>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</si>
  <si>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</si>
  <si>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</si>
  <si>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</si>
  <si>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</si>
  <si>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</si>
  <si>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</si>
  <si>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</si>
  <si>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</si>
  <si>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</si>
  <si>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</si>
  <si>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</si>
  <si>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</si>
  <si>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</si>
  <si>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</si>
  <si>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</si>
  <si>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</si>
  <si>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</si>
  <si>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</si>
  <si>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</si>
  <si>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</si>
  <si>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</si>
  <si>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</si>
  <si>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</si>
  <si>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</si>
  <si>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</si>
  <si>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</si>
  <si>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</si>
  <si>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</si>
  <si>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</si>
  <si>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</si>
  <si>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</si>
  <si>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</si>
  <si>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</si>
  <si>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</si>
  <si>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</si>
  <si>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</si>
  <si>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</si>
  <si>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</si>
  <si>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</si>
  <si>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</si>
  <si>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</si>
  <si>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</si>
  <si>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</si>
  <si>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</si>
  <si>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</si>
  <si>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</si>
  <si>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</si>
  <si>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</si>
  <si>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</si>
  <si>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</si>
  <si>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</si>
  <si>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</si>
  <si>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</si>
  <si>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</si>
  <si>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</si>
  <si>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</si>
  <si>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</si>
  <si>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</si>
  <si>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</si>
  <si>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</si>
  <si>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</si>
  <si>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</si>
  <si>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</si>
  <si>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</si>
  <si>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</si>
  <si>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</si>
  <si>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</si>
  <si>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</si>
  <si>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</si>
  <si>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</si>
  <si>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</si>
  <si>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</si>
  <si>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</si>
  <si>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</si>
  <si>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</si>
  <si>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</si>
  <si>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</si>
  <si>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</si>
  <si>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</si>
  <si>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</si>
  <si>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</si>
  <si>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</si>
  <si>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</si>
  <si>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</si>
  <si>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</si>
  <si>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</si>
  <si>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</si>
  <si>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</si>
  <si>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</si>
  <si>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</si>
  <si>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</si>
  <si>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</si>
  <si>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</si>
  <si>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</si>
  <si>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</si>
  <si>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</si>
  <si>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</si>
  <si>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</si>
  <si>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</si>
  <si>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</si>
  <si>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</si>
  <si>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</si>
  <si>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</si>
  <si>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</si>
  <si>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</si>
  <si>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</si>
  <si>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</si>
  <si>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</si>
  <si>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</si>
  <si>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</si>
  <si>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</si>
  <si>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</si>
  <si>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</si>
  <si>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</si>
  <si>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</si>
  <si>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</si>
  <si>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</si>
  <si>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</si>
  <si>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</si>
  <si>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</si>
  <si>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</si>
  <si>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</si>
  <si>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</si>
  <si>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</si>
  <si>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</si>
  <si>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</si>
  <si>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</si>
  <si>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</si>
  <si>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</si>
  <si>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</si>
  <si>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</si>
  <si>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</si>
  <si>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1 Freedom Way (1800 and 1900 Maryland Avenue)</t>
  </si>
  <si>
    <t>1923 &amp; 1945</t>
  </si>
  <si>
    <t>Hope House, Inc.</t>
  </si>
  <si>
    <t>Karen Saltzman</t>
  </si>
  <si>
    <t>2248 Highland Avenue</t>
  </si>
  <si>
    <t>ksaltzman@hopehouseforwomen.org</t>
  </si>
  <si>
    <t>Electric Heat Pump</t>
  </si>
  <si>
    <t>Augusta Housing Authority</t>
  </si>
  <si>
    <t>MF</t>
  </si>
  <si>
    <t>PHA PBRA</t>
  </si>
  <si>
    <t>3+ Story</t>
  </si>
  <si>
    <t>PNA</t>
  </si>
  <si>
    <t>Builder's Risk Insurance</t>
  </si>
  <si>
    <t>Enviornmental Abatement Management</t>
  </si>
  <si>
    <t>Other Income</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</si>
  <si>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</si>
  <si>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</si>
  <si>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</si>
  <si>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</si>
  <si>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</si>
  <si>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</si>
  <si>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</si>
  <si>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</si>
  <si>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</si>
  <si>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</si>
  <si>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</si>
  <si>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</si>
  <si>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</si>
  <si>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</si>
  <si>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</si>
  <si>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</si>
  <si>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</si>
  <si>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</si>
  <si>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</si>
  <si>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</si>
  <si>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</si>
  <si>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</si>
  <si>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</si>
  <si>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</si>
  <si>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</si>
  <si>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</si>
  <si>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</si>
  <si>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</si>
  <si>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</si>
  <si>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</si>
  <si>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</si>
  <si>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</si>
  <si>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</si>
  <si>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</si>
  <si>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</si>
  <si>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</si>
  <si>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</si>
  <si>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</si>
  <si>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</si>
  <si>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</si>
  <si>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</si>
  <si>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</si>
  <si>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</si>
  <si>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</si>
  <si>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</si>
  <si>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</si>
  <si>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</si>
  <si>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</si>
  <si>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</si>
  <si>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</si>
  <si>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</si>
  <si>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</si>
  <si>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</si>
  <si>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</si>
  <si>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</si>
  <si>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</si>
  <si>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</si>
  <si>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</si>
  <si>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</si>
  <si>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</si>
  <si>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</si>
  <si>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</si>
  <si>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</si>
  <si>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</si>
  <si>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</si>
  <si>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</si>
  <si>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</si>
  <si>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</si>
  <si>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</si>
  <si>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</si>
  <si>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</si>
  <si>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</si>
  <si>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</si>
  <si>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</si>
  <si>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</si>
  <si>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</si>
  <si>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</si>
  <si>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</si>
  <si>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</si>
  <si>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</si>
  <si>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</si>
  <si>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</si>
  <si>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</si>
  <si>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</si>
  <si>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</si>
  <si>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</si>
  <si>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</si>
  <si>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</si>
  <si>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</si>
  <si>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</si>
  <si>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</si>
  <si>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</si>
  <si>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</si>
  <si>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</si>
  <si>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</si>
  <si>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</si>
  <si>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</si>
  <si>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</si>
  <si>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</si>
  <si>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</si>
  <si>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</si>
  <si>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</si>
  <si>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</si>
  <si>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</si>
  <si>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</si>
  <si>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</si>
  <si>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</si>
  <si>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</si>
  <si>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</si>
  <si>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</si>
  <si>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</si>
  <si>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</si>
  <si>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</si>
  <si>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</si>
  <si>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</si>
  <si>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</si>
  <si>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</si>
  <si>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</si>
  <si>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</si>
  <si>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</si>
  <si>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</si>
  <si>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</si>
  <si>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</si>
  <si>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</si>
  <si>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</si>
  <si>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</si>
  <si>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</si>
  <si>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</si>
  <si>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</si>
  <si>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</si>
  <si>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</si>
  <si>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</si>
  <si>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</si>
  <si>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</si>
  <si>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</si>
  <si>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</si>
  <si>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</si>
  <si>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</si>
  <si>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</si>
  <si>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</si>
  <si>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</si>
  <si>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</si>
  <si>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</si>
  <si>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</si>
  <si>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</si>
  <si>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</si>
  <si>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</si>
  <si>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</si>
  <si>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</si>
  <si>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</si>
  <si>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</si>
  <si>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</si>
  <si>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</si>
  <si>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</si>
  <si>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</si>
  <si>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</si>
  <si>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</si>
  <si>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</si>
  <si>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</si>
  <si>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</si>
  <si>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</si>
  <si>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</si>
  <si>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</si>
  <si>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</si>
  <si>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</si>
  <si>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</si>
  <si>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</si>
  <si>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</si>
  <si>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</si>
  <si>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</si>
  <si>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</si>
  <si>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</si>
  <si>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</si>
  <si>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</si>
  <si>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</si>
  <si>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</si>
  <si>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</si>
  <si>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</si>
  <si>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</si>
  <si>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</si>
  <si>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</si>
  <si>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</si>
  <si>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</si>
  <si>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</si>
  <si>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Core Construction</t>
  </si>
  <si>
    <t>6320 Tower Lane</t>
  </si>
  <si>
    <t>John Wiseman</t>
  </si>
  <si>
    <t>President</t>
  </si>
  <si>
    <t>johnwiseman@coreconstructfl.com</t>
  </si>
  <si>
    <t>Broad and Cassel</t>
  </si>
  <si>
    <t>390 N. Orange Avenue, Suite 1400</t>
  </si>
  <si>
    <t>David Leon</t>
  </si>
  <si>
    <t>Partner</t>
  </si>
  <si>
    <t>Orlando</t>
  </si>
  <si>
    <t>dleon@broadandcassel.com</t>
  </si>
  <si>
    <t>525 N. Tyron Street, Suite 1000</t>
  </si>
  <si>
    <t>Marshall Phillips</t>
  </si>
  <si>
    <t>Sr. Manager</t>
  </si>
  <si>
    <t>Charlotte</t>
  </si>
  <si>
    <t>marshall.phillips@reznickgroup.com</t>
  </si>
  <si>
    <t>jhowland@aol.com</t>
  </si>
  <si>
    <t>1287B Marks Church Road</t>
  </si>
  <si>
    <t>Co-Owner</t>
  </si>
  <si>
    <t>Architect</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</si>
  <si>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</si>
  <si>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</si>
  <si>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</si>
  <si>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</si>
  <si>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</si>
  <si>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</si>
  <si>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</si>
  <si>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</si>
  <si>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</si>
  <si>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</si>
  <si>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</si>
  <si>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</si>
  <si>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</si>
  <si>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</si>
  <si>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</si>
  <si>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</si>
  <si>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</si>
  <si>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</si>
  <si>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</si>
  <si>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</si>
  <si>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</si>
  <si>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</si>
  <si>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</si>
  <si>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</si>
  <si>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</si>
  <si>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</si>
  <si>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</si>
  <si>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</si>
  <si>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</si>
  <si>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</si>
  <si>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</si>
  <si>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</si>
  <si>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</si>
  <si>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</si>
  <si>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</si>
  <si>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</si>
  <si>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</si>
  <si>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</si>
  <si>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</si>
  <si>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</si>
  <si>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</si>
  <si>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</si>
  <si>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</si>
  <si>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</si>
  <si>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</si>
  <si>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</si>
  <si>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</si>
  <si>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</si>
  <si>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</si>
  <si>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</si>
  <si>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</si>
  <si>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</si>
  <si>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</si>
  <si>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</si>
  <si>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</si>
  <si>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</si>
  <si>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</si>
  <si>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</si>
  <si>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</si>
  <si>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</si>
  <si>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</si>
  <si>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</si>
  <si>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</si>
  <si>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</si>
  <si>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</si>
  <si>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</si>
  <si>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</si>
  <si>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</si>
  <si>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</si>
  <si>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</si>
  <si>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</si>
  <si>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</si>
  <si>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</si>
  <si>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</si>
  <si>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</si>
  <si>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</si>
  <si>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</si>
  <si>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</si>
  <si>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</si>
  <si>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</si>
  <si>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</si>
  <si>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</si>
  <si>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</si>
  <si>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</si>
  <si>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</si>
  <si>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</si>
  <si>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</si>
  <si>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</si>
  <si>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</si>
  <si>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</si>
  <si>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</si>
  <si>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</si>
  <si>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</si>
  <si>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</si>
  <si>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</si>
  <si>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</si>
  <si>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</si>
  <si>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</si>
  <si>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</si>
  <si>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</si>
  <si>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</si>
  <si>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</si>
  <si>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</si>
  <si>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</si>
  <si>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</si>
  <si>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</si>
  <si>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</si>
  <si>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</si>
  <si>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</si>
  <si>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</si>
  <si>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</si>
  <si>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</si>
  <si>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</si>
  <si>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</si>
  <si>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</si>
  <si>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</si>
  <si>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</si>
  <si>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</si>
  <si>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</si>
  <si>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</si>
  <si>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</si>
  <si>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</si>
  <si>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</si>
  <si>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</si>
  <si>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</si>
  <si>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</si>
  <si>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</si>
  <si>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</si>
  <si>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</si>
  <si>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</si>
  <si>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</si>
  <si>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</si>
  <si>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</si>
  <si>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</si>
  <si>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</si>
  <si>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</si>
  <si>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</si>
  <si>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</si>
  <si>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</si>
  <si>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</si>
  <si>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</si>
  <si>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</si>
  <si>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</si>
  <si>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</si>
  <si>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</si>
  <si>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</si>
  <si>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</si>
  <si>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</si>
  <si>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</si>
  <si>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</si>
  <si>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</si>
  <si>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</si>
  <si>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</si>
  <si>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</si>
  <si>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</si>
  <si>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</si>
  <si>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</si>
  <si>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</si>
  <si>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</si>
  <si>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</si>
  <si>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</si>
  <si>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</si>
  <si>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</si>
  <si>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</si>
  <si>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</si>
  <si>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</si>
  <si>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</si>
  <si>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</si>
  <si>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</si>
  <si>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</si>
  <si>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</si>
  <si>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</si>
  <si>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</si>
  <si>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</si>
  <si>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</si>
  <si>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</si>
  <si>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</si>
  <si>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</si>
  <si>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</si>
  <si>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</si>
  <si>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</si>
  <si>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</si>
  <si>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</si>
  <si>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</si>
  <si>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</si>
  <si>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</si>
  <si>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</si>
  <si>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</si>
  <si>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</si>
  <si>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</si>
  <si>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</si>
  <si>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</si>
  <si>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</si>
  <si>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</si>
  <si>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</si>
  <si>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</si>
  <si>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</si>
  <si>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</si>
  <si>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</si>
  <si>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</si>
  <si>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</si>
  <si>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</si>
  <si>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</si>
  <si>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</si>
  <si>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</si>
  <si>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</si>
  <si>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</si>
  <si>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</si>
  <si>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</si>
  <si>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</si>
  <si>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</si>
  <si>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</si>
  <si>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</si>
  <si>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</si>
  <si>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</si>
  <si>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</si>
  <si>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</si>
  <si>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</si>
  <si>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</si>
  <si>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</si>
  <si>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</si>
  <si>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</si>
  <si>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</si>
  <si>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</si>
  <si>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</si>
  <si>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</si>
  <si>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</si>
  <si>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</si>
  <si>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</si>
  <si>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</si>
  <si>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</si>
  <si>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</si>
  <si>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</si>
  <si>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</si>
  <si>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</si>
  <si>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</si>
  <si>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</si>
  <si>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</si>
  <si>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</si>
  <si>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The project will not utilize natural gas.  Electricity is available and in sufficient capacity for the site.</t>
  </si>
  <si>
    <t>Augusta--Richmond County Water Authority</t>
  </si>
  <si>
    <t>Water and Sewer are available to the site with sufficient capacity to serve the project.</t>
  </si>
  <si>
    <t>Exercise/Fitness Center</t>
  </si>
  <si>
    <t>The assessment is provided and is done in accordance with DCA standards.</t>
  </si>
  <si>
    <t>The buildings will meet all DCA sustainability criteria.</t>
  </si>
  <si>
    <t>The appropriate levels of set-asides have been met, and all units are adaptable and visitable.</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</si>
  <si>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</si>
  <si>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</si>
  <si>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</si>
  <si>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</si>
  <si>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</si>
  <si>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</si>
  <si>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</si>
  <si>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</si>
  <si>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</si>
  <si>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</si>
  <si>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</si>
  <si>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</si>
  <si>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</si>
  <si>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</si>
  <si>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</si>
  <si>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</si>
  <si>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</si>
  <si>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</si>
  <si>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</si>
  <si>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</si>
  <si>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</si>
  <si>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The application is complete and properly organized.</t>
  </si>
  <si>
    <t>The project is located adjacent to the VA Medical Center, which has numerous desirable characteristics.  It is also located in a larger community area with signficant amenties, but by being located on the VAMC campus, is shielded from potential negative community effects.</t>
  </si>
  <si>
    <t>maintenance and storage, hospital, nursing home</t>
  </si>
  <si>
    <t>The buildings have been vacant for a number of years, but were previously used for a variety of purposes by the VA.</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</si>
  <si>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</si>
  <si>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</si>
  <si>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</si>
  <si>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</si>
  <si>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</si>
  <si>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</si>
  <si>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</si>
  <si>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</si>
  <si>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</si>
  <si>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</si>
  <si>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</si>
  <si>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</si>
  <si>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</si>
  <si>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</si>
  <si>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</si>
  <si>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</si>
  <si>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</si>
  <si>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</si>
  <si>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</si>
  <si>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</si>
  <si>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</si>
  <si>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</si>
  <si>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</si>
  <si>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</si>
  <si>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</si>
  <si>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</si>
  <si>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</si>
  <si>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</si>
  <si>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</si>
  <si>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</si>
  <si>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</si>
  <si>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</si>
  <si>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</si>
  <si>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</si>
  <si>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</si>
  <si>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</si>
  <si>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</si>
  <si>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</si>
  <si>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</si>
  <si>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</si>
  <si>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</si>
  <si>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</si>
  <si>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</si>
  <si>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</si>
  <si>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</si>
  <si>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</si>
  <si>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</si>
  <si>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</si>
  <si>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</si>
  <si>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</si>
  <si>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</si>
  <si>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</si>
  <si>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</si>
  <si>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</si>
  <si>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</si>
  <si>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</si>
  <si>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</si>
  <si>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</si>
  <si>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</si>
  <si>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</si>
  <si>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</si>
  <si>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</si>
  <si>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</si>
  <si>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</si>
  <si>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</si>
  <si>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</si>
  <si>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</si>
  <si>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</si>
  <si>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</si>
  <si>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</si>
  <si>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</si>
  <si>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</si>
  <si>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</si>
  <si>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</si>
  <si>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</si>
  <si>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</si>
  <si>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</si>
  <si>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</si>
  <si>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</si>
  <si>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</si>
  <si>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</si>
  <si>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</si>
  <si>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</si>
  <si>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</si>
  <si>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</si>
  <si>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</si>
  <si>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</si>
  <si>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</si>
  <si>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</si>
  <si>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</si>
  <si>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</si>
  <si>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</si>
  <si>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</si>
  <si>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</si>
  <si>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</si>
  <si>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</si>
  <si>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</si>
  <si>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</si>
  <si>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</si>
  <si>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</si>
  <si>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</si>
  <si>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</si>
  <si>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</si>
  <si>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</si>
  <si>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</si>
  <si>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</si>
  <si>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</si>
  <si>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</si>
  <si>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</si>
  <si>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</si>
  <si>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</si>
  <si>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</si>
  <si>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</si>
  <si>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</si>
  <si>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</si>
  <si>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</si>
  <si>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</si>
  <si>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</si>
  <si>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</si>
  <si>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</si>
  <si>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</si>
  <si>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</si>
  <si>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</si>
  <si>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</si>
  <si>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</si>
  <si>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</si>
  <si>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</si>
  <si>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</si>
  <si>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</si>
  <si>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</si>
  <si>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</si>
  <si>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</si>
  <si>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</si>
  <si>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</si>
  <si>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</si>
  <si>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</si>
  <si>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</si>
  <si>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</si>
  <si>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</si>
  <si>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</si>
  <si>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</si>
  <si>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</si>
  <si>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</si>
  <si>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</si>
  <si>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</si>
  <si>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</si>
  <si>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</si>
  <si>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</si>
  <si>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</si>
  <si>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</si>
  <si>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</si>
  <si>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</si>
  <si>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</si>
  <si>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</si>
  <si>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</si>
  <si>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</si>
  <si>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</si>
  <si>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</si>
  <si>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</si>
  <si>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</si>
  <si>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</si>
  <si>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</si>
  <si>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</si>
  <si>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</si>
  <si>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</si>
  <si>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</si>
  <si>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</si>
  <si>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</si>
  <si>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</si>
  <si>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</si>
  <si>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</si>
  <si>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</si>
  <si>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</si>
  <si>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</si>
  <si>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</si>
  <si>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</si>
  <si>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</si>
  <si>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</si>
  <si>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</si>
  <si>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</si>
  <si>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</si>
  <si>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</si>
  <si>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</si>
  <si>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</si>
  <si>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</si>
  <si>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</si>
  <si>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</si>
  <si>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</si>
  <si>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</si>
  <si>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</si>
  <si>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</si>
  <si>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</si>
  <si>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</si>
  <si>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</si>
  <si>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</si>
  <si>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</si>
  <si>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</si>
  <si>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</si>
  <si>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</si>
  <si>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</si>
  <si>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</si>
  <si>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</si>
  <si>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</si>
  <si>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</si>
  <si>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</si>
  <si>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</si>
  <si>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</si>
  <si>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</si>
  <si>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</si>
  <si>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</si>
  <si>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</si>
  <si>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</si>
  <si>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</si>
  <si>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</si>
  <si>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</si>
  <si>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</si>
  <si>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</si>
  <si>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</si>
  <si>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</si>
  <si>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</si>
  <si>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</si>
  <si>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</si>
  <si>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</si>
  <si>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</si>
  <si>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</si>
  <si>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</si>
  <si>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</si>
  <si>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</si>
  <si>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</si>
  <si>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</si>
  <si>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</si>
  <si>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</si>
  <si>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</si>
  <si>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</si>
  <si>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</si>
  <si>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</si>
  <si>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</si>
  <si>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</si>
  <si>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</si>
  <si>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</si>
  <si>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</si>
  <si>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</si>
  <si>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</si>
  <si>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</si>
  <si>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</si>
  <si>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</si>
  <si>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</si>
  <si>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</si>
  <si>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</si>
  <si>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</si>
  <si>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</si>
  <si>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</si>
  <si>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</si>
  <si>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</si>
  <si>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</si>
  <si>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</si>
  <si>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</si>
  <si>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</si>
  <si>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</si>
  <si>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</si>
  <si>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</si>
  <si>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</si>
  <si>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</si>
  <si>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</si>
  <si>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</si>
  <si>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</si>
  <si>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</si>
  <si>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</si>
  <si>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</si>
  <si>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</si>
  <si>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</si>
  <si>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</si>
  <si>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</si>
  <si>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</si>
  <si>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</si>
  <si>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</si>
  <si>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</si>
  <si>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</si>
  <si>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</si>
  <si>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</si>
  <si>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</si>
  <si>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</si>
  <si>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</si>
  <si>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</si>
  <si>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</si>
  <si>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</si>
  <si>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</si>
  <si>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</si>
  <si>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</si>
  <si>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</si>
  <si>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</si>
  <si>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</si>
  <si>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</si>
  <si>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</si>
  <si>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</si>
  <si>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</si>
  <si>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</si>
  <si>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</si>
  <si>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</si>
  <si>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</si>
  <si>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</si>
  <si>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</si>
  <si>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</si>
  <si>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</si>
  <si>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</si>
  <si>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</si>
  <si>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</si>
  <si>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</si>
  <si>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</si>
  <si>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</si>
  <si>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</si>
  <si>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</si>
  <si>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</si>
  <si>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</si>
  <si>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</si>
  <si>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</si>
  <si>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</si>
  <si>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</si>
  <si>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</si>
  <si>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</si>
  <si>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</si>
  <si>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</si>
  <si>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</si>
  <si>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</si>
  <si>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</si>
  <si>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</si>
  <si>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</si>
  <si>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</si>
  <si>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</si>
  <si>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</si>
  <si>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</si>
  <si>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</si>
  <si>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</si>
  <si>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</si>
  <si>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</si>
  <si>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</si>
  <si>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</si>
  <si>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</si>
  <si>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</si>
  <si>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</si>
  <si>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</si>
  <si>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</si>
  <si>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</si>
  <si>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</si>
  <si>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</si>
  <si>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</si>
  <si>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</si>
  <si>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</si>
  <si>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</si>
  <si>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</si>
  <si>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</si>
  <si>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</si>
  <si>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</si>
  <si>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</si>
  <si>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</si>
  <si>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</si>
  <si>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</si>
  <si>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</si>
  <si>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</si>
  <si>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</si>
  <si>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</si>
  <si>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</si>
  <si>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</si>
  <si>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</si>
  <si>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</si>
  <si>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</si>
  <si>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</si>
  <si>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</si>
  <si>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</si>
  <si>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</si>
  <si>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</si>
  <si>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</si>
  <si>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</si>
  <si>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</si>
  <si>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</si>
  <si>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</si>
  <si>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</si>
  <si>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</si>
  <si>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</si>
  <si>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</si>
  <si>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</si>
  <si>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</si>
  <si>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</si>
  <si>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</si>
  <si>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</si>
  <si>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</si>
  <si>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</si>
  <si>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</si>
  <si>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</si>
  <si>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</si>
  <si>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</si>
  <si>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</si>
  <si>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</si>
  <si>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</si>
  <si>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</si>
  <si>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</si>
  <si>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</si>
  <si>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</si>
  <si>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</si>
  <si>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</si>
  <si>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</si>
  <si>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</si>
  <si>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</si>
  <si>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</si>
  <si>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</si>
  <si>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</si>
  <si>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</si>
  <si>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</si>
  <si>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</si>
  <si>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</si>
  <si>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</si>
  <si>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</si>
  <si>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</si>
  <si>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</si>
  <si>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</si>
  <si>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</si>
  <si>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</si>
  <si>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</si>
  <si>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</si>
  <si>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</si>
  <si>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</si>
  <si>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</si>
  <si>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</si>
  <si>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</si>
  <si>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</si>
  <si>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</si>
  <si>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</si>
  <si>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</si>
  <si>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</si>
  <si>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</si>
  <si>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</si>
  <si>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</si>
  <si>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</si>
  <si>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</si>
  <si>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</si>
  <si>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</si>
  <si>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</si>
  <si>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</si>
  <si>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</si>
  <si>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</si>
  <si>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</si>
  <si>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</si>
  <si>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</si>
  <si>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</si>
  <si>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</si>
  <si>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</si>
  <si>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</si>
  <si>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</si>
  <si>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</si>
  <si>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</si>
  <si>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</si>
  <si>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</si>
  <si>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</si>
  <si>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</si>
  <si>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</si>
  <si>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</si>
  <si>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</si>
  <si>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</si>
  <si>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</si>
  <si>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</si>
  <si>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</si>
  <si>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</si>
  <si>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</si>
  <si>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</si>
  <si>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</si>
  <si>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</si>
  <si>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</si>
  <si>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</si>
  <si>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</si>
  <si>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</si>
  <si>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</si>
  <si>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</si>
  <si>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</si>
  <si>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</si>
  <si>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</si>
  <si>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</si>
  <si>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</si>
  <si>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</si>
  <si>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</si>
  <si>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</si>
  <si>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</si>
  <si>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</si>
  <si>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</si>
  <si>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</si>
  <si>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</si>
  <si>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</si>
  <si>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</si>
  <si>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</si>
  <si>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</si>
  <si>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</si>
  <si>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</si>
  <si>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</si>
  <si>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</si>
  <si>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</si>
  <si>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</si>
  <si>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</si>
  <si>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</si>
  <si>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</si>
  <si>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</si>
  <si>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</si>
  <si>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</si>
  <si>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</si>
  <si>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</si>
  <si>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</si>
  <si>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</si>
  <si>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</si>
  <si>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</si>
  <si>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</si>
  <si>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</si>
  <si>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</si>
  <si>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</si>
  <si>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</si>
  <si>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</si>
  <si>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</si>
  <si>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</si>
  <si>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</si>
  <si>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</si>
  <si>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</si>
  <si>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</si>
  <si>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</si>
  <si>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</si>
  <si>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</si>
  <si>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</si>
  <si>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</si>
  <si>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</si>
  <si>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</si>
  <si>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</si>
  <si>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</si>
  <si>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</si>
  <si>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</si>
  <si>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</si>
  <si>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</si>
  <si>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</si>
  <si>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</si>
  <si>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</si>
  <si>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</si>
  <si>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</si>
  <si>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</si>
  <si>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</si>
  <si>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</si>
  <si>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</si>
  <si>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</si>
  <si>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</si>
  <si>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</si>
  <si>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</si>
  <si>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</si>
  <si>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</si>
  <si>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</si>
  <si>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</si>
  <si>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</si>
  <si>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</si>
  <si>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</si>
  <si>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</si>
  <si>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</si>
  <si>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</si>
  <si>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</si>
  <si>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</si>
  <si>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</si>
  <si>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</si>
  <si>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</si>
  <si>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</si>
  <si>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</si>
  <si>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</si>
  <si>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</si>
  <si>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</si>
  <si>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</si>
  <si>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</si>
  <si>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</si>
  <si>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</si>
  <si>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</si>
  <si>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</si>
  <si>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</si>
  <si>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</si>
  <si>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</si>
  <si>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</si>
  <si>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</si>
  <si>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</si>
  <si>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</si>
  <si>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</si>
  <si>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</si>
  <si>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</si>
  <si>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</si>
  <si>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</si>
  <si>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</si>
  <si>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</si>
  <si>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</si>
  <si>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</si>
  <si>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</si>
  <si>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</si>
  <si>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</si>
  <si>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</si>
  <si>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</si>
  <si>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</si>
  <si>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</si>
  <si>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</si>
  <si>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</si>
  <si>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</si>
  <si>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</si>
  <si>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</si>
  <si>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</si>
  <si>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</si>
  <si>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</si>
  <si>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</si>
  <si>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</si>
  <si>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</si>
  <si>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</si>
  <si>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</si>
  <si>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</si>
  <si>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</si>
  <si>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</si>
  <si>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</si>
  <si>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</si>
  <si>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</si>
  <si>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</si>
  <si>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</si>
  <si>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</si>
  <si>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</si>
  <si>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</si>
  <si>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</si>
  <si>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</si>
  <si>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</si>
  <si>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</si>
  <si>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</si>
  <si>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</si>
  <si>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</si>
  <si>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</si>
  <si>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</si>
  <si>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</si>
  <si>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</si>
  <si>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</si>
  <si>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</si>
  <si>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</si>
  <si>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</si>
  <si>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</si>
  <si>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</si>
  <si>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</si>
  <si>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</si>
  <si>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</si>
  <si>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</si>
  <si>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</si>
  <si>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</si>
  <si>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</si>
  <si>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</si>
  <si>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</si>
  <si>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</si>
  <si>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</si>
  <si>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</si>
  <si>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</si>
  <si>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</si>
  <si>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</si>
  <si>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</si>
  <si>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</si>
  <si>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</si>
  <si>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</si>
  <si>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</si>
  <si>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</si>
  <si>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</si>
  <si>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</si>
  <si>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</si>
  <si>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</si>
  <si>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</si>
  <si>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</si>
  <si>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</si>
  <si>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</si>
  <si>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</si>
  <si>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</si>
  <si>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</si>
  <si>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</si>
  <si>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</si>
  <si>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</si>
  <si>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</si>
  <si>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</si>
  <si>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</si>
  <si>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</si>
  <si>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</si>
  <si>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</si>
  <si>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</si>
  <si>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</si>
  <si>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</si>
  <si>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</si>
  <si>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</si>
  <si>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</si>
  <si>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</si>
  <si>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</si>
  <si>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</si>
  <si>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</si>
  <si>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</si>
  <si>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</si>
  <si>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</si>
  <si>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</si>
  <si>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</si>
  <si>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</si>
  <si>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</si>
  <si>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</si>
  <si>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</si>
  <si>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</si>
  <si>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</si>
  <si>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</si>
  <si>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</si>
  <si>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</si>
  <si>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</si>
  <si>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</si>
  <si>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</si>
  <si>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</si>
  <si>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</si>
  <si>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</si>
  <si>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</si>
  <si>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</si>
  <si>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</si>
  <si>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</si>
  <si>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</si>
  <si>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</si>
  <si>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</si>
  <si>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</si>
  <si>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</si>
  <si>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</si>
  <si>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</si>
  <si>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</si>
  <si>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</si>
  <si>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</si>
  <si>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</si>
  <si>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</si>
  <si>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</si>
  <si>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</si>
  <si>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</si>
  <si>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</si>
  <si>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</si>
  <si>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</si>
  <si>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</si>
  <si>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</si>
  <si>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</si>
  <si>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</si>
  <si>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</si>
  <si>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</si>
  <si>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</si>
  <si>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</si>
  <si>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</si>
  <si>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</si>
  <si>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</si>
  <si>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</si>
  <si>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</si>
  <si>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</si>
  <si>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</si>
  <si>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</si>
  <si>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</si>
  <si>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</si>
  <si>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</si>
  <si>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</si>
  <si>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</si>
  <si>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</si>
  <si>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</si>
  <si>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</si>
  <si>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</si>
  <si>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</si>
  <si>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</si>
  <si>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</si>
  <si>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</si>
  <si>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</si>
  <si>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</si>
  <si>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</si>
  <si>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</si>
  <si>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</si>
  <si>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</si>
  <si>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</si>
  <si>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</si>
  <si>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</si>
  <si>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</si>
  <si>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</si>
  <si>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</si>
  <si>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</si>
  <si>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</si>
  <si>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</si>
  <si>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</si>
  <si>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</si>
  <si>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</si>
  <si>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</si>
  <si>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</si>
  <si>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</si>
  <si>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</si>
  <si>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</si>
  <si>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</si>
  <si>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</si>
  <si>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</si>
  <si>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</si>
  <si>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</si>
  <si>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</si>
  <si>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</si>
  <si>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</si>
  <si>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</si>
  <si>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</si>
  <si>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</si>
  <si>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</si>
  <si>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</si>
  <si>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</si>
  <si>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</si>
  <si>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</si>
  <si>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</si>
  <si>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</si>
  <si>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</si>
  <si>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</si>
  <si>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</si>
  <si>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</si>
  <si>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</si>
  <si>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</si>
  <si>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</si>
  <si>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</si>
  <si>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</si>
  <si>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</si>
  <si>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</si>
  <si>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</si>
  <si>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</si>
  <si>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</si>
  <si>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</si>
  <si>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</si>
  <si>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</si>
  <si>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</si>
  <si>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</si>
  <si>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</si>
  <si>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</si>
  <si>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</si>
  <si>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</si>
  <si>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</si>
  <si>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</si>
  <si>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</si>
  <si>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</si>
  <si>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</si>
  <si>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</si>
  <si>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</si>
  <si>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</si>
  <si>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</si>
  <si>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</si>
  <si>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</si>
  <si>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</si>
  <si>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</si>
  <si>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</si>
  <si>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</si>
  <si>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</si>
  <si>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</si>
  <si>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</si>
  <si>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</si>
  <si>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</si>
  <si>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</si>
  <si>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</si>
  <si>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</si>
  <si>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</si>
  <si>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</si>
  <si>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</si>
  <si>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</si>
  <si>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</si>
  <si>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</si>
  <si>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</si>
  <si>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</si>
  <si>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</si>
  <si>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</si>
  <si>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</si>
  <si>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</si>
  <si>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</si>
  <si>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</si>
  <si>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</si>
  <si>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</si>
  <si>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</si>
  <si>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</si>
  <si>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</si>
  <si>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</si>
  <si>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</si>
  <si>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</si>
  <si>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</si>
  <si>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</si>
  <si>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</si>
  <si>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</si>
  <si>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</si>
  <si>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</si>
  <si>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</si>
  <si>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</si>
  <si>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</si>
  <si>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</si>
  <si>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</si>
  <si>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</si>
  <si>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</si>
  <si>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</si>
  <si>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</si>
  <si>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</si>
  <si>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</si>
  <si>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</si>
  <si>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</si>
  <si>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</si>
  <si>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</si>
  <si>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</si>
  <si>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</si>
  <si>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</si>
  <si>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</si>
  <si>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</si>
  <si>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</si>
  <si>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</si>
  <si>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</si>
  <si>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</si>
  <si>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</si>
  <si>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</si>
  <si>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</si>
  <si>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</si>
  <si>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</si>
  <si>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</si>
  <si>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</si>
  <si>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</si>
  <si>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</si>
  <si>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</si>
  <si>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</si>
  <si>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</si>
  <si>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</si>
  <si>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</si>
  <si>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</si>
  <si>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</si>
  <si>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</si>
  <si>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</si>
  <si>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</si>
  <si>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</si>
  <si>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</si>
  <si>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</si>
  <si>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</si>
  <si>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</si>
  <si>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</si>
  <si>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</si>
  <si>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</si>
  <si>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</si>
  <si>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</si>
  <si>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</si>
  <si>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</si>
  <si>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</si>
  <si>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</si>
  <si>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</si>
  <si>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</si>
  <si>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</si>
  <si>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</si>
  <si>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</si>
  <si>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</si>
  <si>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</si>
  <si>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</si>
  <si>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</si>
  <si>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</si>
  <si>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</si>
  <si>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</si>
  <si>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</si>
  <si>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</si>
  <si>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</si>
  <si>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</si>
  <si>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</si>
  <si>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</si>
  <si>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</si>
  <si>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</si>
  <si>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</si>
  <si>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</si>
  <si>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</si>
  <si>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</si>
  <si>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</si>
  <si>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</si>
  <si>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</si>
  <si>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</si>
  <si>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</si>
  <si>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</si>
  <si>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</si>
  <si>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</si>
  <si>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</si>
  <si>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</si>
  <si>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</si>
  <si>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</si>
  <si>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</si>
  <si>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</si>
  <si>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</si>
  <si>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</si>
  <si>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</si>
  <si>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</si>
  <si>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</si>
  <si>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</si>
  <si>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</si>
  <si>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</si>
  <si>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</si>
  <si>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</si>
  <si>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</si>
  <si>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</si>
  <si>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</si>
  <si>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</si>
  <si>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</si>
  <si>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</si>
  <si>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</si>
  <si>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</si>
  <si>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</si>
  <si>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</si>
  <si>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</si>
  <si>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</si>
  <si>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</si>
  <si>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</si>
  <si>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</si>
  <si>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</si>
  <si>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</si>
  <si>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</si>
  <si>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</si>
  <si>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</si>
  <si>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</si>
  <si>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</si>
  <si>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</si>
  <si>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</si>
  <si>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</si>
  <si>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</si>
  <si>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</si>
  <si>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</si>
  <si>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</si>
  <si>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</si>
  <si>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</si>
  <si>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</si>
  <si>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</si>
  <si>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</si>
  <si>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</si>
  <si>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</si>
  <si>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</si>
  <si>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</si>
  <si>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</si>
  <si>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</si>
  <si>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</si>
  <si>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</si>
  <si>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</si>
  <si>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</si>
  <si>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</si>
  <si>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</si>
  <si>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</si>
  <si>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</si>
  <si>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</si>
  <si>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</si>
  <si>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</si>
  <si>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</si>
  <si>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</si>
  <si>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</si>
  <si>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</si>
  <si>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</si>
  <si>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</si>
  <si>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</si>
  <si>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</si>
  <si>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</si>
  <si>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</si>
  <si>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</si>
  <si>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</si>
  <si>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</si>
  <si>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</si>
  <si>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</si>
  <si>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</si>
  <si>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</si>
  <si>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</si>
  <si>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</si>
  <si>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</si>
  <si>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</si>
  <si>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</si>
  <si>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</si>
  <si>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</si>
  <si>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</si>
  <si>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</si>
  <si>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</si>
  <si>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</si>
  <si>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</si>
  <si>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</si>
  <si>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</si>
  <si>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</si>
  <si>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</si>
  <si>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</si>
  <si>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</si>
  <si>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</si>
  <si>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</si>
  <si>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</si>
  <si>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</si>
  <si>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</si>
  <si>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</si>
  <si>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</si>
  <si>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</si>
  <si>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</si>
  <si>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</si>
  <si>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</si>
  <si>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</si>
  <si>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</si>
  <si>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</si>
  <si>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</si>
  <si>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</si>
  <si>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</si>
  <si>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</si>
  <si>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</si>
  <si>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</si>
  <si>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</si>
  <si>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</si>
  <si>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</si>
  <si>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</si>
  <si>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</si>
  <si>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</si>
  <si>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</si>
  <si>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</si>
  <si>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</si>
  <si>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</si>
  <si>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</si>
  <si>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</si>
  <si>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</si>
  <si>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</si>
  <si>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</si>
  <si>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</si>
  <si>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</si>
  <si>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</si>
  <si>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</si>
  <si>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</si>
  <si>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</si>
  <si>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</si>
  <si>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</si>
  <si>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</si>
  <si>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</si>
  <si>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</si>
  <si>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</si>
  <si>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</si>
  <si>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</si>
  <si>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</si>
  <si>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</si>
  <si>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</si>
  <si>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</si>
  <si>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</si>
  <si>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</si>
  <si>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</si>
  <si>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</si>
  <si>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</si>
  <si>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</si>
  <si>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</si>
  <si>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</si>
  <si>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</si>
  <si>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</si>
  <si>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</si>
  <si>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</si>
  <si>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</si>
  <si>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</si>
  <si>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</si>
  <si>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</si>
  <si>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</si>
  <si>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</si>
  <si>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</si>
  <si>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</si>
  <si>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</si>
  <si>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</si>
  <si>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</si>
  <si>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</si>
  <si>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</si>
  <si>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</si>
  <si>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</si>
  <si>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</si>
  <si>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</si>
  <si>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</si>
  <si>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</si>
  <si>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</si>
  <si>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</si>
  <si>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</si>
  <si>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</si>
  <si>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</si>
  <si>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</si>
  <si>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</si>
  <si>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</si>
  <si>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</si>
  <si>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</si>
  <si>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</si>
  <si>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</si>
  <si>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</si>
  <si>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</si>
  <si>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</si>
  <si>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</si>
  <si>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</si>
  <si>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</si>
  <si>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</si>
  <si>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</si>
  <si>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</si>
  <si>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</si>
  <si>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</si>
  <si>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</si>
  <si>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</si>
  <si>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</si>
  <si>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</si>
  <si>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</si>
  <si>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</si>
  <si>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</si>
  <si>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</si>
  <si>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</si>
  <si>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</si>
  <si>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</si>
  <si>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</si>
  <si>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</si>
  <si>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</si>
  <si>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</si>
  <si>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</si>
  <si>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</si>
  <si>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</si>
  <si>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</si>
  <si>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</si>
  <si>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</si>
  <si>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</si>
  <si>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</si>
  <si>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</si>
  <si>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</si>
  <si>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</si>
  <si>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</si>
  <si>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</si>
  <si>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</si>
  <si>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</si>
  <si>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</si>
  <si>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</si>
  <si>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</si>
  <si>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</si>
  <si>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</si>
  <si>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</si>
  <si>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</si>
  <si>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</si>
  <si>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</si>
  <si>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</si>
  <si>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</si>
  <si>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</si>
  <si>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</si>
  <si>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</si>
  <si>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</si>
  <si>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</si>
  <si>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</si>
  <si>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</si>
  <si>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</si>
  <si>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</si>
  <si>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</si>
  <si>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</si>
  <si>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</si>
  <si>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</si>
  <si>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</si>
  <si>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</si>
  <si>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</si>
  <si>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</si>
  <si>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</si>
  <si>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</si>
  <si>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</si>
  <si>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</si>
  <si>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</si>
  <si>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</si>
  <si>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</si>
  <si>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</si>
  <si>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</si>
  <si>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</si>
  <si>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</si>
  <si>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</si>
  <si>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</si>
  <si>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</si>
  <si>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</si>
  <si>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</si>
  <si>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</si>
  <si>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</si>
  <si>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</si>
  <si>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</si>
  <si>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</si>
  <si>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</si>
  <si>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</si>
  <si>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</si>
  <si>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</si>
  <si>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</si>
  <si>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</si>
  <si>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</si>
  <si>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</si>
  <si>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</si>
  <si>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</si>
  <si>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</si>
  <si>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</si>
  <si>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</si>
  <si>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</si>
  <si>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</si>
  <si>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</si>
  <si>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</si>
  <si>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</si>
  <si>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</si>
  <si>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</si>
  <si>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</si>
  <si>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</si>
  <si>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</si>
  <si>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</si>
  <si>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</si>
  <si>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</si>
  <si>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</si>
  <si>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</si>
  <si>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</si>
  <si>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</si>
  <si>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</si>
  <si>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</si>
  <si>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</si>
  <si>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</si>
  <si>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</si>
  <si>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</si>
  <si>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</si>
  <si>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</si>
  <si>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</si>
  <si>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</si>
  <si>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</si>
  <si>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</si>
  <si>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</si>
  <si>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</si>
  <si>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</si>
  <si>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</si>
  <si>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</si>
  <si>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</si>
  <si>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</si>
  <si>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</si>
  <si>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</si>
  <si>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</si>
  <si>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</si>
  <si>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</si>
  <si>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</si>
  <si>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</si>
  <si>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</si>
  <si>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</si>
  <si>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</si>
  <si>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</si>
  <si>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</si>
  <si>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</si>
  <si>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</si>
  <si>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</si>
  <si>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</si>
  <si>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</si>
  <si>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</si>
  <si>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</si>
  <si>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</si>
  <si>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</si>
  <si>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</si>
  <si>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</si>
  <si>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</si>
  <si>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</si>
  <si>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</si>
  <si>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</si>
  <si>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</si>
  <si>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</si>
  <si>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</si>
  <si>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</si>
  <si>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</si>
  <si>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</si>
  <si>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</si>
  <si>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</si>
  <si>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</si>
  <si>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</si>
  <si>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</si>
  <si>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</si>
  <si>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</si>
  <si>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</si>
  <si>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</si>
  <si>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</si>
  <si>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</si>
  <si>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</si>
  <si>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</si>
  <si>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</si>
  <si>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</si>
  <si>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</si>
  <si>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</si>
  <si>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</si>
  <si>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</si>
  <si>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</si>
  <si>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</si>
  <si>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</si>
  <si>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</si>
  <si>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</si>
  <si>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</si>
  <si>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</si>
  <si>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</si>
  <si>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</si>
  <si>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</si>
  <si>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</si>
  <si>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</si>
  <si>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</si>
  <si>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</si>
  <si>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</si>
  <si>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</si>
  <si>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</si>
  <si>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</si>
  <si>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</si>
  <si>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</si>
  <si>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</si>
  <si>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</si>
  <si>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</si>
  <si>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</si>
  <si>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</si>
  <si>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</si>
  <si>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</si>
  <si>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</si>
  <si>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</si>
  <si>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</si>
  <si>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</si>
  <si>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</si>
  <si>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</si>
  <si>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</si>
  <si>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</si>
  <si>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</si>
  <si>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</si>
  <si>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</si>
  <si>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</si>
  <si>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</si>
  <si>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</si>
  <si>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</si>
  <si>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</si>
  <si>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</si>
  <si>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</si>
  <si>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</si>
  <si>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</si>
  <si>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</si>
  <si>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</si>
  <si>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</si>
  <si>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</si>
  <si>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</si>
  <si>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</si>
  <si>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</si>
  <si>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</si>
  <si>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</si>
  <si>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</si>
  <si>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</si>
  <si>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</si>
  <si>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</si>
  <si>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</si>
  <si>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</si>
  <si>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</si>
  <si>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</si>
  <si>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</si>
  <si>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</si>
  <si>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</si>
  <si>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</si>
  <si>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</si>
  <si>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</si>
  <si>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</si>
  <si>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</si>
  <si>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</si>
  <si>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</si>
  <si>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</si>
  <si>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</si>
  <si>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</si>
  <si>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</si>
  <si>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</si>
  <si>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</si>
  <si>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</si>
  <si>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</si>
  <si>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</si>
  <si>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</si>
  <si>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</si>
  <si>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</si>
  <si>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</si>
  <si>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</si>
  <si>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</si>
  <si>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</si>
  <si>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</si>
  <si>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</si>
  <si>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</si>
  <si>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</si>
  <si>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</si>
  <si>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</si>
  <si>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</si>
  <si>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</si>
  <si>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</si>
  <si>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</si>
  <si>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</si>
  <si>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</si>
  <si>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</si>
  <si>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</si>
  <si>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</si>
  <si>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</si>
  <si>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</si>
  <si>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</si>
  <si>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</si>
  <si>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</si>
  <si>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</si>
  <si>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</si>
  <si>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</si>
  <si>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</si>
  <si>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</si>
  <si>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</si>
  <si>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</si>
  <si>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</si>
  <si>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</si>
  <si>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</si>
  <si>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</si>
  <si>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</si>
  <si>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</si>
  <si>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</si>
  <si>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</si>
  <si>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</si>
  <si>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</si>
  <si>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</si>
  <si>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</si>
  <si>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</si>
  <si>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</si>
  <si>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</si>
  <si>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</si>
  <si>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</si>
  <si>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</si>
  <si>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</si>
  <si>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</si>
  <si>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</si>
  <si>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</si>
  <si>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</si>
  <si>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</si>
  <si>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</si>
  <si>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</si>
  <si>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</si>
  <si>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</si>
  <si>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</si>
  <si>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</si>
  <si>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</si>
  <si>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</si>
  <si>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</si>
  <si>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</si>
  <si>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</si>
  <si>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</si>
  <si>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</si>
  <si>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</si>
  <si>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</si>
  <si>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</si>
  <si>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</si>
  <si>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</si>
  <si>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</si>
  <si>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</si>
  <si>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</si>
  <si>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</si>
  <si>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</si>
  <si>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</si>
  <si>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</si>
  <si>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</si>
  <si>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</si>
  <si>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</si>
  <si>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</si>
  <si>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</si>
  <si>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</si>
  <si>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</si>
  <si>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</si>
  <si>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</si>
  <si>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</si>
  <si>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</si>
  <si>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</si>
  <si>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</si>
  <si>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</si>
  <si>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</si>
  <si>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</si>
  <si>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</si>
  <si>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</si>
  <si>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</si>
  <si>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</si>
  <si>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</si>
  <si>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</si>
  <si>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</si>
  <si>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</si>
  <si>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</si>
  <si>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</si>
  <si>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</si>
  <si>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</si>
  <si>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</si>
  <si>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</si>
  <si>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</si>
  <si>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</si>
  <si>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</si>
  <si>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</si>
  <si>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</si>
  <si>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</si>
  <si>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</si>
  <si>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</si>
  <si>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</si>
  <si>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</si>
  <si>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</si>
  <si>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</si>
  <si>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</si>
  <si>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</si>
  <si>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</si>
  <si>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</si>
  <si>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</si>
  <si>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</si>
  <si>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</si>
  <si>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</si>
  <si>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</si>
  <si>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</si>
  <si>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</si>
  <si>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</si>
  <si>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</si>
  <si>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</si>
  <si>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</si>
  <si>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</si>
  <si>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</si>
  <si>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</si>
  <si>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</si>
  <si>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</si>
  <si>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</si>
  <si>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</si>
  <si>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</si>
  <si>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</si>
  <si>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</si>
  <si>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</si>
  <si>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</si>
  <si>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</si>
  <si>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</si>
  <si>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</si>
  <si>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</si>
  <si>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</si>
  <si>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</si>
  <si>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</si>
  <si>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</si>
  <si>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</si>
  <si>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</si>
  <si>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</si>
  <si>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</si>
  <si>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</si>
  <si>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</si>
  <si>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</si>
  <si>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</si>
  <si>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</si>
  <si>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</si>
  <si>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</si>
  <si>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</si>
  <si>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</si>
  <si>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</si>
  <si>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</si>
  <si>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</si>
  <si>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</si>
  <si>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</si>
  <si>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</si>
  <si>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</si>
  <si>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</si>
  <si>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</si>
  <si>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</si>
  <si>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</si>
  <si>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</si>
  <si>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</si>
  <si>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</si>
  <si>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</si>
  <si>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</si>
  <si>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</si>
  <si>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</si>
  <si>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</si>
  <si>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</si>
  <si>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</si>
  <si>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</si>
  <si>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</si>
  <si>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</si>
  <si>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</si>
  <si>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</si>
  <si>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</si>
  <si>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</si>
  <si>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</si>
  <si>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</si>
  <si>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</si>
  <si>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</si>
  <si>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</si>
  <si>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</si>
  <si>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</si>
  <si>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</si>
  <si>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</si>
  <si>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</si>
  <si>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</si>
  <si>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</si>
  <si>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</si>
  <si>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</si>
  <si>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</si>
  <si>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</si>
  <si>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</si>
  <si>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</si>
  <si>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</si>
  <si>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</si>
  <si>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</si>
  <si>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</si>
  <si>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</si>
  <si>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</si>
  <si>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</si>
  <si>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</si>
  <si>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</si>
  <si>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</si>
  <si>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</si>
  <si>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</si>
  <si>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</si>
  <si>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</si>
  <si>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</si>
  <si>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</si>
  <si>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</si>
  <si>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</si>
  <si>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</si>
  <si>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</si>
  <si>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</si>
  <si>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</si>
  <si>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</si>
  <si>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</si>
  <si>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</si>
  <si>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</si>
  <si>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</si>
  <si>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</si>
  <si>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</si>
  <si>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</si>
  <si>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</si>
  <si>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</si>
  <si>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</si>
  <si>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</si>
  <si>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</si>
  <si>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</si>
  <si>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</si>
  <si>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</si>
  <si>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</si>
  <si>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</si>
  <si>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</si>
  <si>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</si>
  <si>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</si>
  <si>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</si>
  <si>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</si>
  <si>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</si>
  <si>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</si>
  <si>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</si>
  <si>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</si>
  <si>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</si>
  <si>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</si>
  <si>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</si>
  <si>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</si>
  <si>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</si>
  <si>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</si>
  <si>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</si>
  <si>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</si>
  <si>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</si>
  <si>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</si>
  <si>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</si>
  <si>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</si>
  <si>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</si>
  <si>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</si>
  <si>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</si>
  <si>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</si>
  <si>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</si>
  <si>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</si>
  <si>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</si>
  <si>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</si>
  <si>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</si>
  <si>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</si>
  <si>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State Historic Credits</t>
  </si>
  <si>
    <t>AHS and Hope House</t>
  </si>
  <si>
    <t>AHS, Hope House, Beneficial</t>
  </si>
  <si>
    <t>MilCon, Grant &amp; Per Diem</t>
  </si>
  <si>
    <t>AHS and Hope House Contributions</t>
  </si>
  <si>
    <t>Federal Historic Tax Credits</t>
  </si>
  <si>
    <t>Gazebo</t>
  </si>
  <si>
    <t>Computer/Technology Center</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</si>
  <si>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</si>
  <si>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</si>
  <si>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</si>
  <si>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</si>
  <si>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</si>
  <si>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</si>
  <si>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</si>
  <si>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</si>
  <si>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</si>
  <si>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</si>
  <si>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</si>
  <si>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</si>
  <si>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</si>
  <si>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</si>
  <si>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</si>
  <si>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</si>
  <si>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</si>
  <si>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</si>
  <si>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</si>
  <si>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</si>
  <si>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</si>
  <si>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</si>
  <si>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</si>
  <si>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</si>
  <si>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</si>
  <si>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</si>
  <si>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</si>
  <si>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</si>
  <si>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</si>
  <si>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</si>
  <si>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</si>
  <si>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</si>
  <si>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</si>
  <si>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</si>
  <si>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</si>
  <si>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</si>
  <si>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</si>
  <si>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</si>
  <si>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</si>
  <si>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</si>
  <si>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</si>
  <si>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</si>
  <si>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</si>
  <si>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</si>
  <si>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</si>
  <si>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</si>
  <si>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</si>
  <si>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</si>
  <si>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</si>
  <si>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</si>
  <si>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</si>
  <si>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</si>
  <si>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</si>
  <si>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</si>
  <si>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</si>
  <si>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</si>
  <si>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</si>
  <si>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</si>
  <si>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</si>
  <si>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</si>
  <si>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</si>
  <si>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</si>
  <si>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</si>
  <si>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</si>
  <si>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</si>
  <si>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</si>
  <si>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</si>
  <si>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</si>
  <si>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</si>
  <si>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</si>
  <si>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</si>
  <si>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</si>
  <si>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</si>
  <si>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</si>
  <si>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</si>
  <si>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</si>
  <si>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</si>
  <si>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</si>
  <si>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</si>
  <si>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</si>
  <si>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</si>
  <si>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</si>
  <si>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</si>
  <si>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</si>
  <si>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</si>
  <si>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</si>
  <si>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</si>
  <si>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</si>
  <si>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</si>
  <si>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</si>
  <si>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</si>
  <si>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</si>
  <si>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</si>
  <si>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</si>
  <si>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</si>
  <si>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</si>
  <si>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</si>
  <si>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</si>
  <si>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</si>
  <si>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</si>
  <si>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</si>
  <si>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</si>
  <si>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</si>
  <si>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</si>
  <si>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</si>
  <si>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</si>
  <si>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</si>
  <si>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</si>
  <si>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</si>
  <si>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</si>
  <si>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</si>
  <si>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</si>
  <si>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</si>
  <si>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</si>
  <si>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</si>
  <si>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</si>
  <si>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</si>
  <si>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</si>
  <si>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</si>
  <si>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</si>
  <si>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</si>
  <si>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</si>
  <si>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</si>
  <si>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</si>
  <si>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</si>
  <si>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</si>
  <si>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</si>
  <si>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</si>
  <si>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</si>
  <si>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</si>
  <si>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</si>
  <si>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</si>
  <si>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</si>
  <si>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</si>
  <si>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</si>
  <si>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</si>
  <si>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</si>
  <si>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</si>
  <si>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</si>
  <si>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</si>
  <si>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</si>
  <si>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</si>
  <si>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</si>
  <si>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</si>
  <si>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</si>
  <si>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</si>
  <si>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</si>
  <si>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</si>
  <si>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</si>
  <si>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</si>
  <si>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</si>
  <si>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</si>
  <si>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</si>
  <si>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</si>
  <si>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</si>
  <si>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</si>
  <si>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</si>
  <si>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</si>
  <si>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</si>
  <si>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</si>
  <si>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</si>
  <si>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</si>
  <si>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</si>
  <si>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</si>
  <si>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</si>
  <si>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</si>
  <si>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</si>
  <si>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</si>
  <si>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</si>
  <si>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</si>
  <si>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</si>
  <si>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</si>
  <si>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</si>
  <si>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</si>
  <si>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</si>
  <si>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</si>
  <si>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</si>
  <si>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</si>
  <si>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</si>
  <si>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</si>
  <si>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</si>
  <si>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</si>
  <si>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</si>
  <si>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</si>
  <si>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</si>
  <si>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</si>
  <si>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</si>
  <si>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</si>
  <si>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</si>
  <si>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</si>
  <si>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</si>
  <si>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</si>
  <si>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</si>
  <si>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</si>
  <si>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</si>
  <si>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</si>
  <si>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</si>
  <si>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</si>
  <si>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</si>
  <si>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</si>
  <si>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</si>
  <si>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</si>
  <si>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</si>
  <si>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</si>
  <si>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</si>
  <si>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</si>
  <si>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</si>
  <si>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</si>
  <si>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</si>
  <si>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</si>
  <si>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</si>
  <si>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</si>
  <si>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</si>
  <si>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</si>
  <si>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</si>
  <si>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</si>
  <si>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</si>
  <si>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</si>
  <si>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</si>
  <si>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</si>
  <si>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</si>
  <si>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</si>
  <si>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</si>
  <si>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</si>
  <si>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</si>
  <si>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</si>
  <si>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</si>
  <si>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</si>
  <si>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</si>
  <si>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</si>
  <si>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</si>
  <si>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</si>
  <si>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</si>
  <si>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</si>
  <si>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</si>
  <si>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</si>
  <si>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</si>
  <si>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</si>
  <si>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</si>
  <si>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</si>
  <si>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</si>
  <si>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</si>
  <si>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</si>
  <si>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</si>
  <si>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</si>
  <si>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</si>
  <si>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</si>
  <si>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</si>
  <si>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</si>
  <si>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</si>
  <si>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</si>
  <si>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</si>
  <si>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</si>
  <si>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</si>
  <si>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</si>
  <si>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</si>
  <si>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</si>
  <si>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</si>
  <si>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</si>
  <si>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</si>
  <si>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</si>
  <si>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</si>
  <si>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</si>
  <si>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</si>
  <si>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</si>
  <si>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</si>
  <si>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</si>
  <si>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</si>
  <si>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</si>
  <si>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</si>
  <si>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</si>
  <si>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</si>
  <si>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</si>
  <si>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</si>
  <si>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</si>
  <si>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</si>
  <si>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</si>
  <si>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</si>
  <si>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</si>
  <si>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</si>
  <si>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</si>
  <si>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</si>
  <si>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</si>
  <si>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</si>
  <si>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</si>
  <si>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</si>
  <si>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</si>
  <si>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</si>
  <si>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</si>
  <si>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</si>
  <si>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</si>
  <si>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</si>
  <si>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</si>
  <si>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</si>
  <si>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</si>
  <si>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</si>
  <si>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</si>
  <si>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</si>
  <si>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</si>
  <si>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</si>
  <si>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</si>
  <si>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</si>
  <si>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</si>
  <si>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</si>
  <si>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</si>
  <si>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</si>
  <si>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</si>
  <si>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</si>
  <si>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</si>
  <si>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</si>
  <si>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</si>
  <si>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</si>
  <si>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</si>
  <si>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</si>
  <si>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</si>
  <si>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</si>
  <si>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</si>
  <si>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</si>
  <si>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</si>
  <si>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</si>
  <si>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</si>
  <si>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</si>
  <si>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</si>
  <si>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</si>
  <si>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</si>
  <si>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</si>
  <si>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</si>
  <si>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</si>
  <si>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</si>
  <si>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</si>
  <si>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</si>
  <si>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</si>
  <si>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</si>
  <si>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</si>
  <si>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</si>
  <si>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</si>
  <si>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</si>
  <si>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</si>
  <si>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</si>
  <si>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</si>
  <si>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</si>
  <si>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</si>
  <si>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</si>
  <si>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</si>
  <si>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</si>
  <si>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</si>
  <si>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</si>
  <si>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</si>
  <si>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</si>
  <si>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</si>
  <si>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</si>
  <si>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</si>
  <si>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</si>
  <si>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</si>
  <si>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</si>
  <si>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</si>
  <si>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</si>
  <si>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</si>
  <si>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</si>
  <si>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</si>
  <si>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</si>
  <si>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</si>
  <si>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</si>
  <si>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</si>
  <si>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</si>
  <si>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</si>
  <si>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</si>
  <si>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</si>
  <si>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</si>
  <si>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</si>
  <si>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</si>
  <si>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</si>
  <si>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</si>
  <si>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</si>
  <si>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</si>
  <si>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</si>
  <si>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</si>
  <si>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</si>
  <si>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</si>
  <si>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</si>
  <si>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</si>
  <si>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</si>
  <si>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</si>
  <si>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</si>
  <si>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</si>
  <si>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</si>
  <si>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</si>
  <si>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</si>
  <si>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</si>
  <si>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</si>
  <si>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</si>
  <si>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</si>
  <si>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</si>
  <si>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</si>
  <si>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</si>
  <si>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</si>
  <si>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</si>
  <si>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</si>
  <si>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</si>
  <si>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</si>
  <si>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</si>
  <si>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</si>
  <si>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</si>
  <si>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</si>
  <si>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</si>
  <si>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</si>
  <si>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</si>
  <si>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</si>
  <si>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</si>
  <si>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</si>
  <si>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</si>
  <si>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</si>
  <si>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</si>
  <si>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</si>
  <si>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</si>
  <si>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</si>
  <si>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</si>
  <si>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</si>
  <si>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</si>
  <si>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</si>
  <si>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</si>
  <si>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</si>
  <si>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</si>
  <si>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</si>
  <si>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</si>
  <si>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</si>
  <si>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</si>
  <si>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</si>
  <si>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</si>
  <si>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</si>
  <si>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</si>
  <si>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</si>
  <si>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</si>
  <si>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</si>
  <si>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</si>
  <si>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</si>
  <si>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</si>
  <si>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</si>
  <si>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</si>
  <si>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</si>
  <si>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</si>
  <si>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</si>
  <si>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</si>
  <si>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</si>
  <si>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</si>
  <si>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</si>
  <si>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</si>
  <si>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</si>
  <si>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</si>
  <si>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</si>
  <si>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</si>
  <si>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</si>
  <si>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</si>
  <si>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</si>
  <si>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</si>
  <si>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</si>
  <si>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</si>
  <si>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</si>
  <si>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</si>
  <si>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</si>
  <si>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</si>
  <si>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</si>
  <si>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</si>
  <si>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</si>
  <si>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</si>
  <si>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</si>
  <si>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</si>
  <si>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</si>
  <si>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</si>
  <si>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</si>
  <si>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</si>
  <si>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</si>
  <si>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</si>
  <si>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</si>
  <si>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</si>
  <si>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</si>
  <si>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</si>
  <si>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</si>
  <si>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</si>
  <si>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</si>
  <si>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</si>
  <si>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</si>
  <si>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</si>
  <si>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</si>
  <si>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</si>
  <si>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</si>
  <si>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</si>
  <si>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</si>
  <si>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</si>
  <si>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</si>
  <si>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</si>
  <si>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</si>
  <si>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</si>
  <si>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</si>
  <si>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</si>
  <si>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</si>
  <si>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</si>
  <si>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Lumpkin City</t>
  </si>
  <si>
    <t>Luthersville Town</t>
  </si>
  <si>
    <t>Lyerly Town</t>
  </si>
  <si>
    <t>Lyons City</t>
  </si>
  <si>
    <t>Macon City</t>
  </si>
  <si>
    <t>Madison City</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</si>
  <si>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</si>
  <si>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</si>
  <si>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</si>
  <si>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</si>
  <si>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</si>
  <si>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</si>
  <si>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</si>
  <si>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</si>
  <si>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</si>
  <si>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</si>
  <si>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</si>
  <si>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</si>
  <si>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</si>
  <si>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</si>
  <si>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</si>
  <si>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</si>
  <si>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</si>
  <si>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</si>
  <si>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</si>
  <si>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</si>
  <si>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</si>
  <si>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</si>
  <si>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</si>
  <si>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</si>
  <si>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</si>
  <si>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</si>
  <si>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</si>
  <si>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</si>
  <si>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</si>
  <si>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</si>
  <si>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</si>
  <si>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</si>
  <si>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</si>
  <si>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</si>
  <si>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</si>
  <si>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</si>
  <si>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</si>
  <si>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</si>
  <si>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</si>
  <si>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</si>
  <si>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</si>
  <si>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</si>
  <si>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</si>
  <si>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</si>
  <si>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</si>
  <si>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</si>
  <si>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</si>
  <si>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</si>
  <si>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</si>
  <si>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</si>
  <si>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</si>
  <si>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</si>
  <si>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</si>
  <si>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</si>
  <si>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</si>
  <si>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</si>
  <si>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</si>
  <si>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</si>
  <si>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</si>
  <si>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</si>
  <si>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</si>
  <si>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</si>
  <si>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</si>
  <si>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</si>
  <si>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</si>
  <si>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</si>
  <si>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</si>
  <si>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</si>
  <si>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</si>
  <si>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</si>
  <si>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</si>
  <si>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</si>
  <si>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</si>
  <si>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</si>
  <si>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</si>
  <si>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</si>
  <si>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</si>
  <si>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</si>
  <si>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</si>
  <si>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</si>
  <si>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</si>
  <si>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</si>
  <si>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</si>
  <si>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</si>
  <si>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</si>
  <si>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</si>
  <si>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</si>
  <si>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</si>
  <si>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</si>
  <si>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</si>
  <si>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</si>
  <si>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</si>
  <si>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</si>
  <si>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</si>
  <si>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</si>
  <si>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</si>
  <si>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</si>
  <si>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</si>
  <si>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</si>
  <si>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</si>
  <si>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</si>
  <si>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</si>
  <si>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</si>
  <si>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</si>
  <si>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</si>
  <si>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</si>
  <si>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</si>
  <si>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</si>
  <si>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</si>
  <si>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</si>
  <si>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</si>
  <si>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</si>
  <si>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</si>
  <si>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</si>
  <si>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</si>
  <si>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</si>
  <si>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</si>
  <si>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</si>
  <si>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</si>
  <si>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</si>
  <si>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</si>
  <si>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</si>
  <si>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</si>
  <si>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</si>
  <si>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</si>
  <si>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</si>
  <si>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</si>
  <si>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</si>
  <si>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</si>
  <si>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</si>
  <si>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</si>
  <si>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</si>
  <si>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</si>
  <si>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</si>
  <si>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</si>
  <si>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</si>
  <si>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</si>
  <si>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</si>
  <si>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</si>
  <si>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</si>
  <si>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</si>
  <si>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</si>
  <si>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</si>
  <si>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</si>
  <si>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</si>
  <si>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</si>
  <si>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</si>
  <si>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</si>
  <si>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</si>
  <si>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</si>
  <si>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</si>
  <si>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</si>
  <si>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</si>
  <si>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</si>
  <si>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</si>
  <si>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</si>
  <si>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</si>
  <si>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</si>
  <si>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</si>
  <si>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</si>
  <si>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</si>
  <si>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</si>
  <si>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</si>
  <si>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</si>
  <si>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</si>
  <si>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</si>
  <si>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</si>
  <si>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</si>
  <si>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</si>
  <si>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</si>
  <si>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</si>
  <si>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</si>
  <si>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</si>
  <si>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</si>
  <si>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</si>
  <si>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</si>
  <si>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</si>
  <si>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</si>
  <si>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</si>
  <si>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</si>
  <si>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</si>
  <si>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</si>
  <si>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</si>
  <si>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</si>
  <si>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</si>
  <si>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</si>
  <si>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</si>
  <si>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</si>
  <si>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</si>
  <si>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</si>
  <si>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</si>
  <si>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</si>
  <si>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</si>
  <si>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</si>
  <si>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</si>
  <si>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</si>
  <si>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</si>
  <si>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</si>
  <si>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</si>
  <si>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</si>
  <si>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</si>
  <si>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</si>
  <si>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</si>
  <si>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</si>
  <si>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</si>
  <si>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</si>
  <si>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</si>
  <si>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</si>
  <si>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</si>
  <si>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</si>
  <si>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</si>
  <si>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</si>
  <si>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</si>
  <si>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</si>
  <si>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</si>
  <si>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</si>
  <si>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</si>
  <si>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</si>
  <si>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</si>
  <si>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</si>
  <si>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</si>
  <si>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</si>
  <si>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</si>
  <si>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</si>
  <si>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</si>
  <si>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</si>
  <si>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</si>
  <si>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</si>
  <si>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</si>
  <si>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</si>
  <si>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</si>
  <si>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</si>
  <si>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</si>
  <si>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</si>
  <si>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</si>
  <si>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</si>
  <si>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</si>
  <si>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</si>
  <si>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</si>
  <si>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</si>
  <si>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</si>
  <si>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</si>
  <si>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</si>
  <si>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</si>
  <si>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</si>
  <si>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</si>
  <si>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</si>
  <si>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</si>
  <si>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 xml:space="preserve">Evidence of full time employment in the Tax credit industry for a minimum period of five years </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</si>
  <si>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</si>
  <si>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</si>
  <si>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</si>
  <si>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</si>
  <si>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</si>
  <si>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</si>
  <si>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</si>
  <si>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</si>
  <si>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</si>
  <si>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</si>
  <si>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</si>
  <si>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</si>
  <si>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</si>
  <si>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</si>
  <si>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</si>
  <si>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</si>
  <si>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</si>
  <si>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</si>
  <si>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</si>
  <si>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</si>
  <si>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</si>
  <si>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</si>
  <si>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</si>
  <si>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</si>
  <si>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</si>
  <si>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</si>
  <si>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</si>
  <si>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</si>
  <si>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</si>
  <si>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</si>
  <si>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</si>
  <si>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</si>
  <si>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</si>
  <si>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</si>
  <si>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</si>
  <si>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</si>
  <si>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</si>
  <si>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</si>
  <si>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</si>
  <si>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</si>
  <si>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</si>
  <si>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</si>
  <si>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</si>
  <si>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</si>
  <si>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</si>
  <si>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</si>
  <si>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</si>
  <si>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</si>
  <si>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</si>
  <si>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</si>
  <si>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</si>
  <si>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</si>
  <si>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</si>
  <si>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</si>
  <si>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</si>
  <si>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</si>
  <si>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</si>
  <si>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</si>
  <si>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</si>
  <si>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</si>
  <si>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</si>
  <si>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</si>
  <si>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</si>
  <si>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</si>
  <si>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</si>
  <si>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</si>
  <si>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</si>
  <si>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</si>
  <si>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</si>
  <si>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</si>
  <si>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</si>
  <si>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</si>
  <si>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</si>
  <si>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</si>
  <si>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</si>
  <si>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</si>
  <si>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</si>
  <si>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</si>
  <si>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</si>
  <si>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</si>
  <si>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</si>
  <si>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</si>
  <si>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</si>
  <si>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</si>
  <si>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</si>
  <si>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</si>
  <si>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</si>
  <si>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</si>
  <si>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</si>
  <si>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</si>
  <si>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</si>
  <si>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</si>
  <si>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</si>
  <si>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</si>
  <si>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</si>
  <si>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</si>
  <si>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</si>
  <si>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</si>
  <si>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</si>
  <si>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</si>
  <si>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</si>
  <si>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</si>
  <si>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</si>
  <si>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</si>
  <si>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</si>
  <si>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</si>
  <si>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</si>
  <si>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</si>
  <si>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</si>
  <si>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</si>
  <si>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</si>
  <si>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</si>
  <si>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</si>
  <si>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</si>
  <si>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</si>
  <si>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</si>
  <si>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</si>
  <si>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</si>
  <si>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</si>
  <si>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</si>
  <si>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</si>
  <si>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</si>
  <si>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</si>
  <si>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</si>
  <si>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</si>
  <si>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</si>
  <si>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</si>
  <si>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</si>
  <si>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</si>
  <si>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</si>
  <si>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</si>
  <si>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</si>
  <si>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</si>
  <si>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</si>
  <si>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</si>
  <si>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</si>
  <si>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</si>
  <si>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</si>
  <si>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</si>
  <si>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</si>
  <si>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</si>
  <si>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</si>
  <si>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</si>
  <si>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</si>
  <si>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</si>
  <si>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</si>
  <si>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</si>
  <si>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</si>
  <si>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</si>
  <si>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</si>
  <si>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</si>
  <si>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</si>
  <si>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</si>
  <si>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</si>
  <si>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</si>
  <si>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</si>
  <si>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</si>
  <si>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</si>
  <si>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</si>
  <si>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</si>
  <si>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</si>
  <si>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</si>
  <si>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</si>
  <si>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</si>
  <si>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</si>
  <si>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</si>
  <si>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</si>
  <si>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</si>
  <si>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</si>
  <si>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</si>
  <si>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</si>
  <si>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</si>
  <si>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</si>
  <si>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</si>
  <si>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</si>
  <si>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</si>
  <si>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</si>
  <si>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</si>
  <si>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</si>
  <si>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</si>
  <si>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</si>
  <si>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</si>
  <si>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</si>
  <si>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</si>
  <si>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</si>
  <si>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</si>
  <si>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</si>
  <si>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</si>
  <si>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</si>
  <si>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</si>
  <si>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</si>
  <si>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</si>
  <si>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</si>
  <si>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</si>
  <si>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</si>
  <si>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</si>
  <si>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</si>
  <si>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</si>
  <si>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</si>
  <si>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</si>
  <si>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</si>
  <si>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No</t>
  </si>
  <si>
    <t>Competitive Round</t>
  </si>
  <si>
    <t>Freedom's Path II</t>
  </si>
  <si>
    <t>Augusta-Richmond County</t>
  </si>
  <si>
    <t>Deke Copenhaver</t>
  </si>
  <si>
    <t>Mayor</t>
  </si>
  <si>
    <t>530 Green Street</t>
  </si>
  <si>
    <t>Family</t>
  </si>
  <si>
    <t>Freedom's Path I</t>
  </si>
  <si>
    <t>Affordable Housing Solutions, Inc.</t>
  </si>
  <si>
    <t>Don Paxton</t>
  </si>
  <si>
    <t>2206 Jo-An Drive</t>
  </si>
  <si>
    <t>General Partner</t>
  </si>
  <si>
    <t>Sarasota</t>
  </si>
  <si>
    <t>dpaxton@beneficialcom.com</t>
  </si>
  <si>
    <t>Judith Caira</t>
  </si>
  <si>
    <t>191 Edgewood Avenue</t>
  </si>
  <si>
    <t>Executive Director</t>
  </si>
  <si>
    <t>5th</t>
  </si>
  <si>
    <t>judith.caira@ahshome.org</t>
  </si>
  <si>
    <t>None</t>
  </si>
  <si>
    <t>The Reznick Group</t>
  </si>
  <si>
    <t>For Profit</t>
  </si>
  <si>
    <t>a)  The General Partner and the Developer are composed of the same member entities.  B)  The Managing General Partner and the non-profit Sponsor are the same entity so percentage ownership has only been entered once.</t>
  </si>
  <si>
    <t>Other(see comments)</t>
  </si>
  <si>
    <t>Agree</t>
  </si>
  <si>
    <t>Environmental Assessments</t>
  </si>
  <si>
    <t>Ground lease/Option</t>
  </si>
  <si>
    <t>Georgia Power</t>
  </si>
  <si>
    <t>Room</t>
  </si>
  <si>
    <t>On-site laundry</t>
  </si>
  <si>
    <t>Historic Preservation</t>
  </si>
  <si>
    <t>Newbanks--Steve Hamby</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</si>
  <si>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</si>
  <si>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</si>
  <si>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</si>
  <si>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</si>
  <si>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</si>
  <si>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</si>
  <si>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</si>
  <si>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</si>
  <si>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</si>
  <si>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</si>
  <si>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</si>
  <si>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</si>
  <si>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</si>
  <si>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</si>
  <si>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</si>
  <si>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</si>
  <si>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</si>
  <si>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</si>
  <si>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Public Policy Benefit:  In 2009 when Admiral Shinseki accepted the position as Secretary of the Department of Veterans Affairs, he acknowledged that the VA was not doing all that it could and should with regard to serving the most vulnerable Veteran populations, the homeless, disabled, and aging Veterans who needed housing.  He called the existence of homelessness among Veterans a national tragedy, and pledged to end homelessness by 2015.
Pursuant to that goal, the Department of Veterans Affairs (VA) conducted a national audit of its resources on its Medical Center and Hospital campuses, and identified vacant land and buildings that might be developed or redeveloped for housing for homeless, disabled, and low income senior Veterans.  Called the Building Utilization Review and Repurposing Initiative, (BURR), 34 sites were identified around the U.S. where this could be done.  The plan was to utilize the authority that the VA had to enter into long term ground leases (Enhanced Use Leases) to engage private developers to create housing utilizing funding outside of the VA budget.  In turn, the VA would provide the land and buildings at no cost to the developer.  The “compensation” to the VA would be the provision of affordable housing to the most vulnerable Veterans, with concomitant services to augment the primary services being delivered at the nearby VA Medical Center or Hospital.
Affordable Housing Solutions, Inc. responded to this RFP in Augusta, Georgia and was selected as the Preferred Developer (along with Hope House, Inc.) by the Department of Veterans Affairs to redevelop Buildings 7 and 76 on the Charlie Norwood VA Medical Center campus.  
Historic Preservation and Adaptive Reuse:  Buildings 7 and 76 are unique structures in their own rights.   Building 7 is a single story structure which contains approximately 12,600 square feet. Built in 1923 as a tuberculosis ward and later used as a nursing home, the building retains its original six-over-six double hung windows which framed the south facing corridors, once used as sleeping porches.  The view from the front of the building through these windows over the Savannah River valley and downtown Augusta is stunning. This building has been vacant for 20 years.  
Building 76 was  built in 1945 as a psychiatric hospital and contains approximately 64,000 square feet.  It is an H-shaped 3 story structure built of brick with pre-cast concrete studs. It is the last such VA structure built on this design still extant in the U.S., so its historic value is significant.  The building has also been vacant for almost 20 years.
The VA has been the focus of scathing criticism by Congress for spending funding on the care and upkeep of vacant structures on its campuses.  Therefore, there is a strong push within some quarters of the VA to demolish vacant structures.  This BURR initiative and the opportunity to adaptively re-use the buildings stands as a last, best hope to preserve the structures and provide a much needed resource for vulnerable Veterans. 
Missional Objectives and Special Populations:  On the programmatic level, the project offers the significant asset of being located on the Medical Center campus where the services that the Veteran resident population will most need are immediately available.  The targeted populations to be served are homeless Veterans recovering from traumatic brain injury, victims of PTSD and addictive disorders, or other documented, diagnosed disabilities associated with combat injuries.  The location of the project will afford to the residents immediate access to the primary locus of services and assistance needed to achieve greater independence and autonomy (the VA Medical Center), while being assured of permanent, affordable housing within a context of understanding, empathic neighbors (i.e. other Veterans).  Additionally, the VA is providing long term funding under the Grant and Per Diem program for service delivery.   
Further, Hope House, Inc., the Georgia Department of Labor, the Salvation Army, Goodwill Industries, and the Georgia Department of Behavioral Health and Developmental Disabilities are included in the service model to provide auxiliary services to the Veterans as needed.  In particular, the Salvation Army and Goodwill Industries have education and employment programs that are specifically targeted to Veterans.  
This coordinated approach to service delivery at the federal, state, and non-profit level is unique, cost effective, and client centered.  The project will surely be held up as a “best practices” location for the provision and operation of housing for homeless Veterans.
Financial:   The VA’s provision of the site, the infrastructure, and the buildings at no cost is a significant contribution to the project.   
Further, the VA has provided an additional $1,106,000 to the project non-profit sponsors in capital funds.  
Therefore, the VA’s willingness to provide these assets at no cost to the nonprofit sponsor, coupled with substantial capital investment, is a valuable contribution to address a pressing local need; that is, housing for homeless Veterans in Augusta, who have come to the area due to the Eisenhower Army Hospital at Fort Gordon and the two VA Medical Center facilities in Augusta.  Short of this effort, that responsibility has, and would continue to fall upon the local government.  Instead, this project can fulfill that role.  
Housing this homeless population will be made affordable to the Veterans due to the provision of 70 Project Based Rental Assistance vouchers by the Augusta Housing Authority. Further, the Augusta-Richmond County government agreed to provide the project with full property tax exemption, ensuring that there is sufficient operating funding to the development and recognizing the core contribution that the project provides to the larger community. 
</t>
  </si>
  <si>
    <t>Project will qualify for LEED certification.  Documentation has been submitted in the application.</t>
  </si>
  <si>
    <t>VA Building Utilization Review and Repurposing (BURR) Initiative</t>
  </si>
  <si>
    <t>Given the large amount of contributed resources, the project is an exceptional value and does not transgress any of the criteria stipulated for optimal use of resources.</t>
  </si>
  <si>
    <t>Morton Gruber, Architect</t>
  </si>
  <si>
    <t>Morton Gruber</t>
  </si>
  <si>
    <t>245 Peachtree Center, Suite 2445</t>
  </si>
  <si>
    <t xml:space="preserve">The Freedom’s Path I project plan entails the redevelopment of two buildings on the site of the Charlie Norwood VA Medical Center in Augusta, Georgia under an Enhanced Use Lease with the U.S. Department of Veterans Affairs. The genesis for the Freedom’s Path project began in May 2009 when Affordable Housing Solutions, Inc.  submitted a response to a Department of  Veterans Affairs RFP for the utilization of land and two historic buildings on the Augusta campus for the purpose of housing homeless Veterans. The larger of the two buildings will be redeveloped as 50 units of permanent supportive housing and the smaller will be redeveloped as 20 units of first step housing for homeless Veterans.  
Building 7 is a single story structure which contains approximately 12,600 square feet. Built in 1923 as a tuberculosis ward and later used as a nursing home, the building retains its original six-over-six double hung windows which lit the south facing corridors once used as sleeping porches. This building has been vacant for 20 years and will be redeveloped for use as 20 units of  studio-type housing for homeless veterans.  Each studio unit will contain approximately 350 square feet, a private bathroom and full kitchen facilities including sink, stove and refrigerator.  The building will include a community room/dining room, full kitchen where daily meals will be prepared, a computer center and laundry room.
Building 76 was  built in 1945 as a psychiatric hospital and contains approximately 64,000 square feet.  It is an H-shaped 3 story structure built of brick with pre-cast concrete studs.  The redeveloped building will contain 50 one bedroom, one bath units of approximately 700 square feet . Each unit will include central heat and air conditioning and a complete kitchen which includes a dishwashser, microwave, refrigerator and range.  The units will provide for independent housing with traditional amenities inculding an outdoor pavillion/picnic area, garden area,  technology/computer center, fitness center, and community TV lounge with a warming kitchen. Both buildings 7 and 76 will also have office space for staff, and smaller rooms for counseling and private meetings. Rental rates will range from $525 to $605 per month.
The development team selected by the VA for the Freedom’s Path project includes two Georgia based non-profit organizations; Affordable Housing Solutions, Inc. and Hope House, Inc.  Hope House  has been operating in Augusta, Georgia for almost 20 years, providing services to homeless individuals and families, primarily dealing with mental illness and substance abuse challenges.   Affordable Housing Solutions is an Atlanta based affordable housing developer that has developed or co-developed 700 units of affordable housing in 11 projects in Georgia, Alabama, Tennessee, and South Carolina.  The two non-profits have entered into a partnership arrangement with Beneficial Communities, an experienced, Florida based, for-profit developer.
The above referenced development team was selected by the VA as the Developer for this project through an Enhanced Use Lease.  Subsequent to the selection of AHS and Hope House as the development team, extensive coordination has been developed and maintained between the developers and the Department of Veterans Affairs.  In so doing, the project has garnered widespread community and national support and is poised to create a model which can be replicated nationally.
The Freedom’s Path building plans have been designed to ensure that the maximum benefit can be derived from "green" building techniques and implementation, with the end product being LEED certified structures. Also, both buildings will be renovated in accordance with Georgia Office of Historic Preservation and U. S. Department of the Interior requirements for historic preservation tax credit qualification.
Ray and Ellis Consulting, Inc. was retained to prepare and submit the National Park Service Historic Preservation Certification application for the building.  The Part 1 Certification and Part 2 Certification have been approved indicating the eligibility of the buildings for listing on the National Register and for qualification for the historic tax credit.  Stephanie Ferrell, FAIA has also been retained to manage the design and construction processes to ensure Part 3 Certification.
The project architect is the firm of Morton Gruber and Associates, an Atlanta, Georgia based company with extensive experience in designing historic redevelopments, and publicly funded projects. 
Construction will be done by CORE Construction, a national General Contractor with offices throughout the U.S. 
The property management duties will be handled by United Properites, an Augusta based management company that currently provides management services to Hope House's 42-unit transitional community for women with children.  As such, the company has a strong experience record and commitment to providing the type of management services that are unique to special targeted housing.  
Operationally, duties at the property will be separated between  property management functions (such as repairs and maintenance, enforcement of house rules, collection of payments, and supervision of management staff), and those of the support services, which will be coordinated by Hope House staff, funded independently, and provided directly through community service angencies and the VA Medical Center. 
The project will enjoy full property tax exemption from Augusta-Richmond County and will have 100% Project Based Rental Assistance provided by the Augusta Housing Authority.
The total cost of the project is approximately $11.5 million.  Financing includes funding from the non-profit participants, initially provided to them through the Department of Veterans Affairs.  The balance of the funding is generated through the Federal and State Low Income tax credits, and the Federal and State Historic tax credits.  Construction of the Freedom’s Path project is planned to begin in Fall 2012 with completion and initial occupancy anticipated in early Winter of 2013.  
</t>
  </si>
  <si>
    <t>mgruber@mortongruber.com</t>
  </si>
  <si>
    <t>CFV Freedom's Path Residences, LLC</t>
  </si>
  <si>
    <t>Tad Scepaniak-Real Property Research Group</t>
  </si>
  <si>
    <t>9.6% without PBRA; 2.5% with PBRA</t>
  </si>
  <si>
    <t>8 months</t>
  </si>
  <si>
    <t>4-8 months</t>
  </si>
  <si>
    <t>Crest at Edinburg</t>
  </si>
  <si>
    <t>2009-010</t>
  </si>
  <si>
    <t>The site iis controlled via an Option to sublease from Freedom's Path, LLC to the applicant.</t>
  </si>
  <si>
    <t>While technically not a gazebo, the site has two large outdoor,covered pavilions.  All amenities are included with on the site plan.</t>
  </si>
  <si>
    <t>The project is committed to house 20% of its tenants below 50% of median and also has 100% PBRA.</t>
  </si>
  <si>
    <t>Site is located within walking distance (less than 1/2 mile) from a public transit stop.</t>
  </si>
  <si>
    <t xml:space="preserve">1)  Affordable Housing Solutions, Inc., and Hope House, Inc. have provided grants to the project in the amount of $750,000 and $356,000 respectively of funds awarded to each of these non-profit charities for the purpose of funding the project. Also, the non-profits have contributed the value of the land and buildings, appraised at $1,000,000. These funds are shown as charitable organization contributions and therefore, do not count against the total project cost limit.
2)  The accessory structure line item is for asbestos and lead abatement which will be performed under a separate contract.
3)  Construction costs were taken with the starting point of the PNA, and then the schematic plans and work scope were submitted to the General Contractor for pricing.  This was then compared to internal pricing estimates and historic data to develop and refine a construction estimate.   
</t>
  </si>
  <si>
    <t>RBC Capital Markets (Affiliate)</t>
  </si>
  <si>
    <t>Historic Consultants, Landscape Design, Interior Design</t>
  </si>
  <si>
    <t>2012-052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</si>
</sst>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indexed="17"/>
      <name val="Arial"/>
      <family val="2"/>
    </font>
    <font>
      <sz val="10"/>
      <color indexed="17"/>
      <name val="Arial"/>
      <family val="2"/>
    </font>
    <font>
      <b/>
      <sz val="9"/>
      <color indexed="17"/>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30"/>
        <bgColor indexed="64"/>
      </patternFill>
    </fill>
    <fill>
      <patternFill patternType="solid">
        <fgColor indexed="27"/>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bottom style="medium">
        <color indexed="64"/>
      </bottom>
      <diagonal/>
    </border>
    <border>
      <left/>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4" borderId="3" xfId="0" applyNumberFormat="1" applyFont="1" applyFill="1" applyBorder="1" applyAlignment="1" applyProtection="1">
      <alignment horizontal="center" vertical="center"/>
    </xf>
    <xf numFmtId="3" fontId="2" fillId="4"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4"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67" fillId="0" borderId="0" xfId="0" applyFont="1" applyFill="1" applyBorder="1" applyAlignment="1" applyProtection="1">
      <alignment horizontal="left"/>
    </xf>
    <xf numFmtId="0" fontId="57" fillId="0" borderId="0"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8"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6" fillId="0" borderId="0" xfId="0" applyFont="1" applyFill="1" applyAlignment="1" applyProtection="1">
      <alignment horizontal="left"/>
    </xf>
    <xf numFmtId="0" fontId="57" fillId="0" borderId="0" xfId="0" applyFont="1" applyFill="1" applyBorder="1" applyAlignment="1" applyProtection="1">
      <alignment horizontal="center" vertical="center"/>
    </xf>
    <xf numFmtId="0" fontId="57" fillId="0" borderId="9" xfId="0" applyFont="1" applyFill="1" applyBorder="1" applyAlignment="1" applyProtection="1">
      <alignment vertical="center"/>
    </xf>
    <xf numFmtId="0" fontId="57" fillId="0" borderId="2" xfId="0" applyFont="1" applyFill="1" applyBorder="1" applyAlignment="1" applyProtection="1">
      <alignment horizontal="center" vertical="center"/>
    </xf>
    <xf numFmtId="0" fontId="57" fillId="0" borderId="7"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0" fillId="0" borderId="0" xfId="0" applyAlignment="1" applyProtection="1">
      <alignment vertical="center" wrapText="1"/>
    </xf>
    <xf numFmtId="0" fontId="15"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8" fillId="0" borderId="14"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52" fillId="0" borderId="0" xfId="0" applyFont="1" applyFill="1" applyAlignment="1" applyProtection="1">
      <alignment horizontal="center" vertical="center" wrapText="1"/>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0" borderId="0" xfId="0" applyFont="1" applyFill="1" applyBorder="1" applyAlignment="1" applyProtection="1">
      <alignment horizontal="left"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69" fillId="8" borderId="59" xfId="0" applyFont="1" applyFill="1" applyBorder="1" applyAlignment="1" applyProtection="1">
      <alignment horizontal="center" vertical="center"/>
    </xf>
    <xf numFmtId="0" fontId="67" fillId="0" borderId="61"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4" fillId="0" borderId="21" xfId="6" applyFill="1" applyBorder="1" applyAlignment="1" applyProtection="1">
      <alignment horizontal="left" vertical="center"/>
    </xf>
    <xf numFmtId="0" fontId="4" fillId="0" borderId="56" xfId="6" applyFill="1" applyBorder="1" applyAlignment="1" applyProtection="1">
      <alignment horizontal="left" vertical="center"/>
    </xf>
    <xf numFmtId="0" fontId="4" fillId="0" borderId="0" xfId="6" applyFill="1" applyBorder="1" applyAlignment="1" applyProtection="1">
      <alignment horizontal="left" vertical="center"/>
    </xf>
    <xf numFmtId="0" fontId="57" fillId="0" borderId="14" xfId="0" applyFont="1" applyFill="1" applyBorder="1" applyAlignment="1" applyProtection="1">
      <alignment horizontal="center"/>
    </xf>
    <xf numFmtId="0" fontId="67" fillId="0" borderId="0" xfId="0" applyFont="1" applyFill="1" applyBorder="1" applyAlignment="1" applyProtection="1">
      <alignment horizontal="left" wrapText="1"/>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60"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9"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2" xfId="0" applyFont="1" applyFill="1" applyBorder="1" applyAlignment="1" applyProtection="1">
      <alignment horizontal="center" vertical="center"/>
    </xf>
    <xf numFmtId="38" fontId="57" fillId="0" borderId="2" xfId="2" applyNumberFormat="1"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4" fontId="53"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2" fillId="0" borderId="0" xfId="0" applyFont="1" applyFill="1" applyAlignment="1" applyProtection="1">
      <alignment horizontal="left" vertical="center" wrapText="1"/>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110" fillId="9" borderId="0" xfId="0" applyFont="1" applyFill="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0" xfId="0" applyFont="1" applyFill="1" applyAlignment="1" applyProtection="1">
      <alignment horizontal="left" vertical="center" wrapText="1"/>
    </xf>
    <xf numFmtId="0" fontId="57" fillId="0" borderId="14" xfId="0" applyFont="1" applyFill="1" applyBorder="1" applyAlignment="1" applyProtection="1">
      <alignment horizontal="left" vertical="center"/>
    </xf>
    <xf numFmtId="0" fontId="57" fillId="0" borderId="9" xfId="0" applyFont="1" applyFill="1" applyBorder="1" applyAlignment="1" applyProtection="1">
      <alignment horizontal="left" vertical="top"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0"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38" fontId="67" fillId="0" borderId="1" xfId="0"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64" fontId="57" fillId="0" borderId="66" xfId="1" applyNumberFormat="1" applyFont="1" applyFill="1" applyBorder="1" applyAlignment="1" applyProtection="1">
      <alignment horizontal="right" vertical="center"/>
    </xf>
    <xf numFmtId="164" fontId="57" fillId="0" borderId="67" xfId="1"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68" fontId="57" fillId="0" borderId="79"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80"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81" xfId="0" applyNumberFormat="1" applyFont="1" applyFill="1" applyBorder="1" applyAlignment="1" applyProtection="1">
      <alignment horizontal="center" vertical="center"/>
    </xf>
    <xf numFmtId="0" fontId="53" fillId="0" borderId="82" xfId="0" applyFont="1" applyFill="1" applyBorder="1" applyAlignment="1" applyProtection="1">
      <alignment horizontal="center" vertical="center"/>
    </xf>
    <xf numFmtId="0" fontId="67" fillId="0" borderId="0" xfId="0" applyFont="1" applyFill="1" applyAlignment="1" applyProtection="1">
      <alignment horizontal="left"/>
    </xf>
    <xf numFmtId="164" fontId="67" fillId="0" borderId="60"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0" fontId="125" fillId="0" borderId="63" xfId="0" applyFont="1" applyFill="1" applyBorder="1" applyAlignment="1" applyProtection="1">
      <alignment horizontal="center" vertical="center" wrapText="1"/>
    </xf>
    <xf numFmtId="0" fontId="125" fillId="0" borderId="64" xfId="0" applyFont="1" applyFill="1" applyBorder="1" applyAlignment="1" applyProtection="1">
      <alignment horizontal="center" vertical="center" wrapText="1"/>
    </xf>
    <xf numFmtId="0" fontId="125" fillId="0" borderId="44" xfId="0" applyFont="1" applyFill="1" applyBorder="1" applyAlignment="1" applyProtection="1">
      <alignment horizontal="center" vertical="center" wrapText="1"/>
    </xf>
    <xf numFmtId="0" fontId="125" fillId="0" borderId="48" xfId="0"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81" fillId="0" borderId="63" xfId="0" applyFont="1" applyFill="1" applyBorder="1" applyAlignment="1" applyProtection="1">
      <alignment horizontal="center" vertical="center"/>
    </xf>
    <xf numFmtId="0" fontId="81" fillId="0" borderId="84" xfId="0" applyFont="1" applyFill="1" applyBorder="1" applyAlignment="1" applyProtection="1">
      <alignment horizontal="center" vertical="center"/>
    </xf>
    <xf numFmtId="0" fontId="81" fillId="0" borderId="64" xfId="0" applyFont="1" applyFill="1" applyBorder="1" applyAlignment="1" applyProtection="1">
      <alignment horizontal="center" vertical="center"/>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3" fontId="57" fillId="0" borderId="60"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63" xfId="0" applyFont="1" applyFill="1" applyBorder="1" applyAlignment="1" applyProtection="1">
      <alignment horizontal="center" vertical="center" wrapText="1"/>
    </xf>
    <xf numFmtId="0" fontId="67" fillId="0" borderId="64"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65" xfId="0" applyFont="1" applyFill="1" applyBorder="1" applyAlignment="1" applyProtection="1">
      <alignment horizontal="center" vertical="center" wrapText="1"/>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75" xfId="0" applyNumberFormat="1" applyFont="1" applyFill="1" applyBorder="1" applyAlignment="1" applyProtection="1">
      <alignment horizontal="center" vertical="center"/>
    </xf>
    <xf numFmtId="38" fontId="57" fillId="0" borderId="76"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4" fontId="57" fillId="0" borderId="60"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14" xfId="1" applyNumberFormat="1" applyFont="1" applyFill="1" applyBorder="1" applyAlignment="1" applyProtection="1">
      <alignment horizontal="center" vertical="center"/>
    </xf>
    <xf numFmtId="0" fontId="67" fillId="0" borderId="60"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64" fontId="67" fillId="0" borderId="63" xfId="1" applyNumberFormat="1" applyFont="1" applyFill="1" applyBorder="1" applyAlignment="1" applyProtection="1">
      <alignment horizontal="center" vertical="center" wrapText="1"/>
    </xf>
    <xf numFmtId="164" fontId="67" fillId="0" borderId="64"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65" xfId="1" applyNumberFormat="1" applyFont="1" applyFill="1" applyBorder="1" applyAlignment="1" applyProtection="1">
      <alignment horizontal="center" vertical="center" wrapText="1"/>
    </xf>
    <xf numFmtId="164" fontId="57" fillId="0" borderId="70" xfId="1" applyNumberFormat="1" applyFont="1" applyFill="1" applyBorder="1" applyAlignment="1" applyProtection="1">
      <alignment horizontal="right" vertical="center"/>
    </xf>
    <xf numFmtId="0" fontId="57" fillId="0" borderId="67" xfId="0" applyFont="1" applyBorder="1" applyProtection="1"/>
    <xf numFmtId="0" fontId="109" fillId="8"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8" fontId="10" fillId="0" borderId="66" xfId="1" applyNumberFormat="1" applyFont="1" applyFill="1" applyBorder="1" applyAlignment="1" applyProtection="1">
      <alignment horizontal="right" vertical="center"/>
    </xf>
    <xf numFmtId="38" fontId="10" fillId="0" borderId="67"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23" fillId="0" borderId="0" xfId="0" applyFont="1" applyFill="1" applyAlignment="1" applyProtection="1">
      <alignment horizont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8"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15" fillId="0" borderId="0" xfId="0" applyFont="1" applyFill="1" applyAlignment="1" applyProtection="1">
      <alignment horizontal="center" wrapText="1"/>
    </xf>
    <xf numFmtId="0" fontId="12" fillId="0" borderId="0" xfId="0" applyFont="1" applyFill="1" applyAlignment="1" applyProtection="1">
      <alignment horizontal="left"/>
    </xf>
    <xf numFmtId="0" fontId="29" fillId="11" borderId="37" xfId="0" applyFont="1" applyFill="1" applyBorder="1" applyAlignment="1" applyProtection="1">
      <alignment horizontal="center" vertical="center"/>
    </xf>
    <xf numFmtId="0" fontId="29" fillId="11" borderId="2" xfId="0" applyFont="1" applyFill="1" applyBorder="1" applyAlignment="1" applyProtection="1">
      <alignment horizontal="center" vertical="center"/>
    </xf>
    <xf numFmtId="0" fontId="29" fillId="11" borderId="38" xfId="0" applyFont="1" applyFill="1" applyBorder="1" applyAlignment="1" applyProtection="1">
      <alignment horizontal="center" vertical="center"/>
    </xf>
    <xf numFmtId="0" fontId="105" fillId="9"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Fill="1" applyAlignment="1" applyProtection="1">
      <alignment horizontal="justify" vertical="top" wrapText="1"/>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Alignment="1" applyProtection="1">
      <alignment horizontal="justify" vertical="top" wrapText="1"/>
    </xf>
    <xf numFmtId="0" fontId="12" fillId="0" borderId="0" xfId="0" applyFont="1" applyFill="1" applyBorder="1" applyAlignment="1" applyProtection="1">
      <alignment horizontal="left" vertical="center"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4" borderId="34"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85"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0" xfId="0" applyFont="1" applyFill="1" applyAlignment="1" applyProtection="1">
      <alignment horizont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47" fillId="0" borderId="0" xfId="0" applyFont="1" applyFill="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4" fillId="4" borderId="28"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47" fillId="0" borderId="9" xfId="0" applyFont="1" applyFill="1" applyBorder="1" applyAlignment="1" applyProtection="1">
      <alignment horizontal="center"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5" fillId="0" borderId="0" xfId="0" applyFont="1" applyAlignment="1" applyProtection="1">
      <alignment horizontal="center"/>
    </xf>
    <xf numFmtId="0" fontId="5" fillId="0" borderId="0"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0" fontId="2" fillId="0" borderId="0" xfId="0" applyFont="1" applyFill="1" applyAlignment="1" applyProtection="1">
      <alignment horizontal="justify" wrapText="1"/>
    </xf>
    <xf numFmtId="0" fontId="5" fillId="0" borderId="0" xfId="0" applyFont="1" applyAlignment="1" applyProtection="1">
      <alignment horizontal="left" vertical="top" wrapText="1"/>
    </xf>
    <xf numFmtId="0" fontId="2" fillId="0" borderId="0" xfId="0" applyFont="1" applyBorder="1" applyAlignment="1" applyProtection="1">
      <alignment horizontal="left" vertical="top" wrapText="1"/>
    </xf>
    <xf numFmtId="0" fontId="84" fillId="0" borderId="0" xfId="0" applyFont="1" applyAlignment="1" applyProtection="1">
      <alignment horizontal="center"/>
    </xf>
    <xf numFmtId="0" fontId="2" fillId="0" borderId="0" xfId="0" applyFont="1" applyBorder="1" applyAlignment="1" applyProtection="1">
      <alignment horizontal="justify" vertical="top" wrapText="1"/>
    </xf>
    <xf numFmtId="0" fontId="5" fillId="0" borderId="0" xfId="0" applyFont="1" applyBorder="1" applyAlignment="1" applyProtection="1">
      <alignment horizontal="justify"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54" fillId="4" borderId="53"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72" xfId="0" applyBorder="1" applyProtection="1"/>
    <xf numFmtId="0" fontId="54" fillId="4" borderId="52" xfId="0" applyFont="1" applyFill="1" applyBorder="1" applyAlignment="1" applyProtection="1">
      <alignment horizontal="left" vertical="top" wrapText="1"/>
    </xf>
    <xf numFmtId="0" fontId="54" fillId="4" borderId="51"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54" fillId="4" borderId="34" xfId="0" applyFont="1" applyFill="1" applyBorder="1" applyAlignment="1" applyProtection="1">
      <alignment horizontal="left" vertical="top" wrapText="1"/>
    </xf>
    <xf numFmtId="0" fontId="0" fillId="0" borderId="85" xfId="0" applyBorder="1" applyProtection="1"/>
    <xf numFmtId="0" fontId="0" fillId="0" borderId="87" xfId="0" applyBorder="1" applyProtection="1"/>
    <xf numFmtId="0" fontId="54" fillId="4" borderId="28"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5" xfId="0" applyFont="1" applyFill="1" applyBorder="1" applyAlignment="1" applyProtection="1">
      <alignment horizontal="left" vertical="top" wrapText="1"/>
    </xf>
    <xf numFmtId="0" fontId="54" fillId="4" borderId="54" xfId="0" applyFont="1" applyFill="1" applyBorder="1" applyAlignment="1" applyProtection="1">
      <alignment horizontal="left" vertical="top" wrapText="1"/>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0" fontId="43" fillId="0" borderId="14" xfId="0" applyFont="1" applyBorder="1" applyAlignment="1">
      <alignment horizontal="left"/>
    </xf>
    <xf numFmtId="0" fontId="45" fillId="0" borderId="6" xfId="0" applyFont="1" applyBorder="1" applyAlignment="1">
      <alignment horizontal="center" vertical="top"/>
    </xf>
    <xf numFmtId="0" fontId="45" fillId="0" borderId="0" xfId="0" applyFont="1" applyAlignment="1">
      <alignment horizontal="center"/>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60"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5"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0"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3" borderId="49" xfId="0" applyFont="1" applyFill="1" applyBorder="1" applyAlignment="1" applyProtection="1">
      <alignment horizontal="left" vertical="top" wrapText="1"/>
    </xf>
    <xf numFmtId="0" fontId="53" fillId="3" borderId="39" xfId="0" applyFont="1" applyFill="1" applyBorder="1" applyAlignment="1" applyProtection="1">
      <alignment horizontal="left" vertical="top" wrapText="1"/>
    </xf>
    <xf numFmtId="0" fontId="53" fillId="3" borderId="40" xfId="0" applyFont="1" applyFill="1" applyBorder="1" applyAlignment="1" applyProtection="1">
      <alignment horizontal="left" vertical="top" wrapText="1"/>
    </xf>
    <xf numFmtId="0" fontId="53" fillId="3" borderId="41" xfId="0" applyFont="1" applyFill="1" applyBorder="1" applyAlignment="1" applyProtection="1">
      <alignment horizontal="left" vertical="top" wrapText="1"/>
    </xf>
    <xf numFmtId="0" fontId="53" fillId="3" borderId="42" xfId="0" applyFont="1" applyFill="1" applyBorder="1" applyAlignment="1" applyProtection="1">
      <alignment horizontal="left" vertical="top" wrapText="1"/>
    </xf>
    <xf numFmtId="0" fontId="53" fillId="3" borderId="56"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3" borderId="49"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40" xfId="0" applyFont="1" applyFill="1" applyBorder="1" applyAlignment="1" applyProtection="1">
      <alignment horizontal="left" vertical="top" wrapText="1"/>
    </xf>
    <xf numFmtId="0" fontId="11" fillId="3" borderId="41"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3" borderId="42" xfId="0" applyFont="1" applyFill="1" applyBorder="1" applyAlignment="1" applyProtection="1">
      <alignment horizontal="left" vertical="top" wrapText="1"/>
    </xf>
    <xf numFmtId="0" fontId="11" fillId="3" borderId="56" xfId="0" applyFont="1" applyFill="1" applyBorder="1" applyAlignment="1" applyProtection="1">
      <alignment horizontal="left" vertical="top" wrapText="1"/>
    </xf>
    <xf numFmtId="0" fontId="11" fillId="3" borderId="71" xfId="0" applyFont="1" applyFill="1" applyBorder="1" applyAlignment="1" applyProtection="1">
      <alignment horizontal="left" vertical="top" wrapText="1"/>
    </xf>
    <xf numFmtId="0" fontId="11" fillId="3" borderId="72" xfId="0" applyFont="1" applyFill="1" applyBorder="1" applyAlignment="1" applyProtection="1">
      <alignment horizontal="left" vertical="top" wrapText="1"/>
    </xf>
    <xf numFmtId="0" fontId="1" fillId="3" borderId="49" xfId="0" applyFont="1" applyFill="1" applyBorder="1" applyAlignment="1" applyProtection="1">
      <alignment horizontal="left" vertical="top" wrapText="1"/>
    </xf>
    <xf numFmtId="0" fontId="1" fillId="3" borderId="39" xfId="0" applyFont="1" applyFill="1" applyBorder="1" applyAlignment="1" applyProtection="1">
      <alignment horizontal="left" vertical="top" wrapText="1"/>
    </xf>
    <xf numFmtId="0" fontId="1" fillId="3" borderId="40" xfId="0" applyFont="1" applyFill="1" applyBorder="1" applyAlignment="1" applyProtection="1">
      <alignment horizontal="left" vertical="top" wrapText="1"/>
    </xf>
    <xf numFmtId="0" fontId="1" fillId="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3" borderId="42" xfId="0" applyFont="1" applyFill="1" applyBorder="1" applyAlignment="1" applyProtection="1">
      <alignment horizontal="left" vertical="top" wrapText="1"/>
    </xf>
    <xf numFmtId="0" fontId="1" fillId="3" borderId="56"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83"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7" xfId="1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37" xfId="0" applyNumberFormat="1" applyFont="1" applyFill="1" applyBorder="1" applyAlignment="1" applyProtection="1">
      <alignment horizontal="center" vertical="center"/>
    </xf>
    <xf numFmtId="3" fontId="2" fillId="10" borderId="38" xfId="0" applyNumberFormat="1" applyFont="1" applyFill="1" applyBorder="1" applyAlignment="1" applyProtection="1">
      <alignment horizontal="center" vertical="center"/>
    </xf>
    <xf numFmtId="3" fontId="2" fillId="10" borderId="5" xfId="0" applyNumberFormat="1" applyFont="1" applyFill="1" applyBorder="1" applyAlignment="1" applyProtection="1">
      <alignment horizontal="center" vertical="center"/>
    </xf>
    <xf numFmtId="3" fontId="2" fillId="10" borderId="7" xfId="0" applyNumberFormat="1" applyFont="1" applyFill="1" applyBorder="1" applyAlignment="1" applyProtection="1">
      <alignment horizontal="center" vertical="center"/>
    </xf>
    <xf numFmtId="3" fontId="2" fillId="10" borderId="60"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9.140625" style="31"/>
  </cols>
  <sheetData>
    <row r="1" spans="1:9" s="40" customFormat="1" ht="14.45" customHeight="1">
      <c r="A1" s="865" t="str">
        <f>CONCATENATE("2012 Application Binder Tabs Checklist For: ",'Part I-Project Information'!$O$4,", ",'Part I-Project Information'!$F$22,", ",'Part I-Project Information'!$J$25," County")</f>
        <v>2012 Application Binder Tabs Checklist For: 2012-052, Freedom's Path I, Richmond County</v>
      </c>
      <c r="B1" s="865"/>
      <c r="C1" s="865"/>
      <c r="D1" s="865"/>
      <c r="E1" s="865"/>
      <c r="F1" s="865"/>
      <c r="G1" s="865"/>
    </row>
    <row r="2" spans="1:9" s="40" customFormat="1" ht="11.45" customHeight="1">
      <c r="A2" s="866" t="s">
        <v>635</v>
      </c>
      <c r="B2" s="867"/>
      <c r="C2" s="867"/>
      <c r="D2" s="867"/>
      <c r="E2" s="867"/>
      <c r="F2" s="867"/>
      <c r="G2" s="867"/>
    </row>
    <row r="3" spans="1:9" s="40" customFormat="1" ht="25.15" customHeight="1">
      <c r="A3" s="877" t="s">
        <v>3837</v>
      </c>
      <c r="B3" s="877"/>
      <c r="C3" s="877"/>
      <c r="D3" s="877"/>
      <c r="E3" s="877"/>
      <c r="F3" s="877"/>
      <c r="G3" s="877"/>
    </row>
    <row r="4" spans="1:9" s="40" customFormat="1" ht="8.25" customHeight="1">
      <c r="A4" s="96"/>
      <c r="B4" s="868" t="s">
        <v>85</v>
      </c>
      <c r="C4" s="869"/>
      <c r="D4" s="869"/>
      <c r="E4" s="869" t="s">
        <v>1127</v>
      </c>
      <c r="F4" s="874"/>
      <c r="G4" s="97" t="s">
        <v>701</v>
      </c>
    </row>
    <row r="5" spans="1:9" s="40" customFormat="1" ht="8.25" customHeight="1">
      <c r="A5" s="98" t="s">
        <v>703</v>
      </c>
      <c r="B5" s="870"/>
      <c r="C5" s="871"/>
      <c r="D5" s="871"/>
      <c r="E5" s="871"/>
      <c r="F5" s="875"/>
      <c r="G5" s="99" t="s">
        <v>704</v>
      </c>
    </row>
    <row r="6" spans="1:9" s="40" customFormat="1" ht="8.25" customHeight="1">
      <c r="A6" s="100" t="s">
        <v>705</v>
      </c>
      <c r="B6" s="872"/>
      <c r="C6" s="873"/>
      <c r="D6" s="873"/>
      <c r="E6" s="873"/>
      <c r="F6" s="876"/>
      <c r="G6" s="101" t="s">
        <v>706</v>
      </c>
    </row>
    <row r="7" spans="1:9" s="40" customFormat="1" ht="3" customHeight="1">
      <c r="A7" s="96"/>
      <c r="B7" s="396"/>
      <c r="C7" s="396"/>
      <c r="D7" s="396"/>
      <c r="E7" s="308"/>
      <c r="F7" s="823"/>
      <c r="G7" s="313"/>
    </row>
    <row r="8" spans="1:9" s="40" customFormat="1" ht="12.6" customHeight="1">
      <c r="A8" s="102"/>
      <c r="B8" s="392"/>
      <c r="C8" s="393"/>
      <c r="D8" s="393"/>
      <c r="E8" s="392" t="s">
        <v>2631</v>
      </c>
      <c r="F8" s="393"/>
      <c r="G8" s="1226" t="s">
        <v>4060</v>
      </c>
      <c r="I8" s="1227"/>
    </row>
    <row r="9" spans="1:9" s="40" customFormat="1" ht="12.6" customHeight="1" thickBot="1">
      <c r="A9" s="102"/>
      <c r="B9" s="392"/>
      <c r="C9" s="393"/>
      <c r="D9" s="393"/>
      <c r="E9" s="394" t="s">
        <v>4026</v>
      </c>
      <c r="F9" s="394"/>
      <c r="G9" s="1226" t="s">
        <v>4060</v>
      </c>
      <c r="I9" s="1227"/>
    </row>
    <row r="10" spans="1:9" s="40" customFormat="1" ht="12.6" customHeight="1" thickBot="1">
      <c r="A10" s="98"/>
      <c r="B10" s="405" t="s">
        <v>1016</v>
      </c>
      <c r="C10" s="405"/>
      <c r="D10" s="406"/>
      <c r="E10" s="308"/>
      <c r="F10" s="823"/>
      <c r="G10" s="823"/>
    </row>
    <row r="11" spans="1:9" s="40" customFormat="1" ht="12" customHeight="1">
      <c r="A11" s="388">
        <v>1</v>
      </c>
      <c r="B11" s="407" t="s">
        <v>1505</v>
      </c>
      <c r="C11" s="419"/>
      <c r="D11" s="1228"/>
      <c r="E11" s="394" t="s">
        <v>714</v>
      </c>
      <c r="F11" s="393"/>
      <c r="G11" s="1226" t="s">
        <v>4060</v>
      </c>
    </row>
    <row r="12" spans="1:9" s="40" customFormat="1" ht="12.6" customHeight="1">
      <c r="A12" s="388"/>
      <c r="B12" s="1229"/>
      <c r="C12" s="1229"/>
      <c r="D12" s="1229"/>
      <c r="E12" s="1228" t="s">
        <v>4027</v>
      </c>
      <c r="F12" s="398"/>
      <c r="G12" s="1226" t="s">
        <v>4060</v>
      </c>
    </row>
    <row r="13" spans="1:9" s="40" customFormat="1" ht="12.6" customHeight="1">
      <c r="A13" s="388"/>
      <c r="B13" s="1229"/>
      <c r="C13" s="1229"/>
      <c r="D13" s="1229"/>
      <c r="E13" s="1228" t="s">
        <v>4023</v>
      </c>
      <c r="F13" s="398"/>
      <c r="G13" s="1226" t="s">
        <v>4060</v>
      </c>
    </row>
    <row r="14" spans="1:9" s="40" customFormat="1" ht="12" customHeight="1">
      <c r="A14" s="102"/>
      <c r="B14" s="394"/>
      <c r="C14" s="394"/>
      <c r="D14" s="394"/>
      <c r="E14" s="395" t="s">
        <v>715</v>
      </c>
      <c r="F14" s="394"/>
      <c r="G14" s="1226" t="s">
        <v>4060</v>
      </c>
    </row>
    <row r="15" spans="1:9" s="40" customFormat="1" ht="12" customHeight="1">
      <c r="A15" s="102"/>
      <c r="B15" s="394"/>
      <c r="C15" s="394"/>
      <c r="D15" s="394"/>
      <c r="E15" s="395" t="s">
        <v>565</v>
      </c>
      <c r="F15" s="394"/>
      <c r="G15" s="1226" t="s">
        <v>3465</v>
      </c>
    </row>
    <row r="16" spans="1:9" s="40" customFormat="1" ht="12" customHeight="1">
      <c r="A16" s="102"/>
      <c r="B16" s="394"/>
      <c r="C16" s="394"/>
      <c r="D16" s="394"/>
      <c r="E16" s="395" t="s">
        <v>3363</v>
      </c>
      <c r="F16" s="394"/>
      <c r="G16" s="1226" t="s">
        <v>3465</v>
      </c>
    </row>
    <row r="17" spans="1:7" s="40" customFormat="1" ht="12" customHeight="1">
      <c r="A17" s="102"/>
      <c r="B17" s="241"/>
      <c r="C17" s="392"/>
      <c r="D17" s="394"/>
      <c r="E17" s="394" t="s">
        <v>4014</v>
      </c>
      <c r="F17" s="394"/>
      <c r="G17" s="1226" t="s">
        <v>4060</v>
      </c>
    </row>
    <row r="18" spans="1:7" s="40" customFormat="1" ht="12" customHeight="1">
      <c r="A18" s="102"/>
      <c r="B18" s="241"/>
      <c r="C18" s="392"/>
      <c r="D18" s="394"/>
      <c r="E18" s="394" t="s">
        <v>4054</v>
      </c>
      <c r="F18" s="394"/>
      <c r="G18" s="1226" t="s">
        <v>4060</v>
      </c>
    </row>
    <row r="19" spans="1:7" s="40" customFormat="1" ht="12" customHeight="1">
      <c r="A19" s="389">
        <v>2</v>
      </c>
      <c r="B19" s="397" t="s">
        <v>3999</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3988</v>
      </c>
      <c r="D21" s="394"/>
      <c r="E21" s="394" t="s">
        <v>3362</v>
      </c>
      <c r="F21" s="394"/>
      <c r="G21" s="1226" t="s">
        <v>3465</v>
      </c>
    </row>
    <row r="22" spans="1:7" s="40" customFormat="1" ht="3" customHeight="1">
      <c r="A22" s="102"/>
      <c r="B22" s="241"/>
      <c r="C22" s="394"/>
      <c r="D22" s="394"/>
      <c r="E22" s="1228"/>
      <c r="F22" s="394"/>
      <c r="G22" s="103"/>
    </row>
    <row r="23" spans="1:7" s="40" customFormat="1" ht="12" customHeight="1">
      <c r="A23" s="102"/>
      <c r="B23" s="241"/>
      <c r="C23" s="408" t="s">
        <v>1644</v>
      </c>
      <c r="D23" s="394"/>
      <c r="E23" s="1228" t="s">
        <v>3985</v>
      </c>
      <c r="F23" s="394"/>
      <c r="G23" s="1226" t="s">
        <v>3465</v>
      </c>
    </row>
    <row r="24" spans="1:7" s="40" customFormat="1" ht="3" customHeight="1">
      <c r="A24" s="102"/>
      <c r="B24" s="241"/>
      <c r="C24" s="394"/>
      <c r="D24" s="394"/>
      <c r="E24" s="1228"/>
      <c r="F24" s="394"/>
      <c r="G24" s="103"/>
    </row>
    <row r="25" spans="1:7" s="40" customFormat="1" ht="12" customHeight="1">
      <c r="A25" s="102"/>
      <c r="B25" s="392"/>
      <c r="C25" s="408" t="s">
        <v>835</v>
      </c>
      <c r="D25" s="394"/>
      <c r="E25" s="394" t="s">
        <v>3163</v>
      </c>
      <c r="F25" s="394"/>
      <c r="G25" s="1226" t="s">
        <v>3465</v>
      </c>
    </row>
    <row r="26" spans="1:7" s="40" customFormat="1" ht="12" customHeight="1">
      <c r="A26" s="102"/>
      <c r="B26" s="394"/>
      <c r="C26" s="394"/>
      <c r="D26" s="394"/>
      <c r="E26" s="1228" t="s">
        <v>2789</v>
      </c>
      <c r="F26" s="394"/>
      <c r="G26" s="1226" t="s">
        <v>3465</v>
      </c>
    </row>
    <row r="27" spans="1:7" s="40" customFormat="1" ht="12" customHeight="1">
      <c r="A27" s="102"/>
      <c r="B27" s="394"/>
      <c r="C27" s="419"/>
      <c r="D27" s="394"/>
      <c r="E27" s="1228" t="s">
        <v>3364</v>
      </c>
      <c r="F27" s="394"/>
      <c r="G27" s="1226" t="s">
        <v>3465</v>
      </c>
    </row>
    <row r="28" spans="1:7" s="40" customFormat="1" ht="12" customHeight="1">
      <c r="A28" s="102"/>
      <c r="B28" s="394"/>
      <c r="C28" s="394"/>
      <c r="D28" s="394"/>
      <c r="E28" s="1228" t="s">
        <v>2150</v>
      </c>
      <c r="F28" s="394"/>
      <c r="G28" s="1226" t="s">
        <v>3465</v>
      </c>
    </row>
    <row r="29" spans="1:7" s="40" customFormat="1" ht="12" customHeight="1">
      <c r="A29" s="102"/>
      <c r="B29" s="394"/>
      <c r="C29" s="394"/>
      <c r="D29" s="394"/>
      <c r="E29" s="1228" t="s">
        <v>2151</v>
      </c>
      <c r="F29" s="394"/>
      <c r="G29" s="1226" t="s">
        <v>3465</v>
      </c>
    </row>
    <row r="30" spans="1:7" s="40" customFormat="1" ht="12" customHeight="1">
      <c r="A30" s="102"/>
      <c r="B30" s="394"/>
      <c r="C30" s="394"/>
      <c r="D30" s="394"/>
      <c r="E30" s="1228" t="s">
        <v>4042</v>
      </c>
      <c r="F30" s="394"/>
      <c r="G30" s="1226" t="s">
        <v>3465</v>
      </c>
    </row>
    <row r="31" spans="1:7" s="40" customFormat="1" ht="12" customHeight="1">
      <c r="A31" s="102"/>
      <c r="B31" s="241"/>
      <c r="D31" s="1228" t="s">
        <v>1158</v>
      </c>
      <c r="E31" s="1228" t="s">
        <v>1952</v>
      </c>
      <c r="F31" s="398"/>
      <c r="G31" s="1226" t="s">
        <v>3465</v>
      </c>
    </row>
    <row r="32" spans="1:7" s="40" customFormat="1" ht="12" customHeight="1">
      <c r="A32" s="102"/>
      <c r="B32" s="1228"/>
      <c r="D32" s="392" t="s">
        <v>1998</v>
      </c>
      <c r="E32" s="1228" t="s">
        <v>1953</v>
      </c>
      <c r="F32" s="398"/>
      <c r="G32" s="1226" t="s">
        <v>3465</v>
      </c>
    </row>
    <row r="33" spans="1:7" s="40" customFormat="1" ht="12" customHeight="1">
      <c r="A33" s="102"/>
      <c r="B33" s="394"/>
      <c r="C33" s="394"/>
      <c r="D33" s="394"/>
      <c r="E33" s="1228" t="s">
        <v>3986</v>
      </c>
      <c r="F33" s="394"/>
      <c r="G33" s="1226" t="s">
        <v>3465</v>
      </c>
    </row>
    <row r="34" spans="1:7" s="40" customFormat="1" ht="3" customHeight="1">
      <c r="A34" s="102"/>
      <c r="B34" s="394"/>
      <c r="C34" s="394"/>
      <c r="D34" s="394"/>
      <c r="E34" s="1228"/>
      <c r="F34" s="394"/>
      <c r="G34" s="103"/>
    </row>
    <row r="35" spans="1:7" s="40" customFormat="1" ht="12" customHeight="1">
      <c r="A35" s="98"/>
      <c r="B35" s="396"/>
      <c r="C35" s="396" t="s">
        <v>4000</v>
      </c>
      <c r="D35" s="396"/>
      <c r="E35" s="398" t="s">
        <v>2846</v>
      </c>
      <c r="F35" s="397"/>
      <c r="G35" s="1226" t="s">
        <v>4060</v>
      </c>
    </row>
    <row r="36" spans="1:7" s="40" customFormat="1" ht="12" customHeight="1">
      <c r="A36" s="98"/>
      <c r="B36" s="396"/>
      <c r="C36" s="396"/>
      <c r="D36" s="396"/>
      <c r="E36" s="398" t="s">
        <v>2847</v>
      </c>
      <c r="F36" s="397"/>
      <c r="G36" s="1226" t="s">
        <v>4060</v>
      </c>
    </row>
    <row r="37" spans="1:7" s="40" customFormat="1" ht="12" customHeight="1">
      <c r="A37" s="98"/>
      <c r="B37" s="396"/>
      <c r="C37" s="396"/>
      <c r="D37" s="396"/>
      <c r="E37" s="398" t="s">
        <v>1954</v>
      </c>
      <c r="F37" s="397"/>
      <c r="G37" s="1226" t="s">
        <v>4060</v>
      </c>
    </row>
    <row r="38" spans="1:7" s="40" customFormat="1" ht="26.25" customHeight="1">
      <c r="A38" s="98"/>
      <c r="B38" s="396"/>
      <c r="C38" s="396"/>
      <c r="D38" s="396"/>
      <c r="E38" s="863" t="s">
        <v>3246</v>
      </c>
      <c r="F38" s="864"/>
      <c r="G38" s="1226" t="s">
        <v>4060</v>
      </c>
    </row>
    <row r="39" spans="1:7" s="40" customFormat="1" ht="12" customHeight="1">
      <c r="A39" s="102"/>
      <c r="B39" s="241"/>
      <c r="C39" s="394"/>
      <c r="D39" s="394"/>
      <c r="E39" s="398" t="s">
        <v>2786</v>
      </c>
      <c r="F39" s="394"/>
      <c r="G39" s="1226" t="s">
        <v>4060</v>
      </c>
    </row>
    <row r="40" spans="1:7" s="40" customFormat="1" ht="12" customHeight="1">
      <c r="A40" s="102"/>
      <c r="B40" s="241"/>
      <c r="C40" s="394"/>
      <c r="D40" s="394"/>
      <c r="E40" s="398" t="s">
        <v>1143</v>
      </c>
      <c r="F40" s="394"/>
      <c r="G40" s="1226" t="s">
        <v>4060</v>
      </c>
    </row>
    <row r="41" spans="1:7" s="40" customFormat="1" ht="12" customHeight="1">
      <c r="A41" s="98"/>
      <c r="B41" s="396"/>
      <c r="C41" s="396"/>
      <c r="D41" s="396"/>
      <c r="E41" s="398" t="s">
        <v>1340</v>
      </c>
      <c r="F41" s="397"/>
      <c r="G41" s="1226" t="s">
        <v>4060</v>
      </c>
    </row>
    <row r="42" spans="1:7" s="40" customFormat="1" ht="12" customHeight="1">
      <c r="A42" s="98"/>
      <c r="B42" s="396"/>
      <c r="C42" s="396"/>
      <c r="D42" s="396"/>
      <c r="E42" s="398" t="s">
        <v>1339</v>
      </c>
      <c r="F42" s="397"/>
      <c r="G42" s="1226" t="s">
        <v>4060</v>
      </c>
    </row>
    <row r="43" spans="1:7" s="40" customFormat="1" ht="3" customHeight="1">
      <c r="A43" s="102"/>
      <c r="B43" s="394"/>
      <c r="C43" s="394"/>
      <c r="D43" s="394"/>
      <c r="E43" s="1228"/>
      <c r="F43" s="394"/>
      <c r="G43" s="103"/>
    </row>
    <row r="44" spans="1:7" s="40" customFormat="1" ht="12" customHeight="1">
      <c r="A44" s="388"/>
      <c r="B44" s="1230"/>
      <c r="C44" s="1231"/>
      <c r="D44" s="392" t="s">
        <v>2142</v>
      </c>
      <c r="E44" s="1232" t="s">
        <v>3987</v>
      </c>
      <c r="F44" s="1233"/>
      <c r="G44" s="1226" t="s">
        <v>3465</v>
      </c>
    </row>
    <row r="45" spans="1:7" s="40" customFormat="1" ht="11.25" customHeight="1">
      <c r="A45" s="102"/>
      <c r="B45" s="1234"/>
      <c r="C45" s="144"/>
      <c r="D45" s="144"/>
      <c r="E45" s="1228" t="s">
        <v>3212</v>
      </c>
      <c r="F45" s="394"/>
      <c r="G45" s="1226" t="s">
        <v>3465</v>
      </c>
    </row>
    <row r="46" spans="1:7" s="40" customFormat="1" ht="12" customHeight="1">
      <c r="A46" s="102"/>
      <c r="B46" s="1235"/>
      <c r="C46" s="1236"/>
      <c r="D46" s="1236"/>
      <c r="E46" s="1228" t="s">
        <v>3213</v>
      </c>
      <c r="F46" s="394"/>
      <c r="G46" s="1226" t="s">
        <v>3465</v>
      </c>
    </row>
    <row r="47" spans="1:7" s="40" customFormat="1" ht="26.25" customHeight="1">
      <c r="A47" s="100"/>
      <c r="B47" s="396"/>
      <c r="C47" s="396"/>
      <c r="D47" s="396"/>
      <c r="E47" s="863" t="s">
        <v>3247</v>
      </c>
      <c r="F47" s="864"/>
      <c r="G47" s="1226" t="s">
        <v>3465</v>
      </c>
    </row>
    <row r="48" spans="1:7" s="40" customFormat="1" ht="3" customHeight="1">
      <c r="A48" s="96"/>
      <c r="B48" s="396"/>
      <c r="C48" s="396"/>
      <c r="D48" s="396"/>
      <c r="E48" s="398"/>
      <c r="F48" s="397"/>
      <c r="G48" s="314"/>
    </row>
    <row r="49" spans="1:7" s="40" customFormat="1" ht="12" customHeight="1">
      <c r="A49" s="388">
        <v>3</v>
      </c>
      <c r="B49" s="409" t="s">
        <v>4006</v>
      </c>
      <c r="C49" s="394"/>
      <c r="D49" s="394"/>
      <c r="E49" s="398" t="s">
        <v>4003</v>
      </c>
      <c r="F49" s="795"/>
      <c r="G49" s="1226" t="s">
        <v>4061</v>
      </c>
    </row>
    <row r="50" spans="1:7" s="40" customFormat="1" ht="13.5">
      <c r="A50" s="388"/>
      <c r="B50" s="409"/>
      <c r="C50" s="1237" t="s">
        <v>4015</v>
      </c>
      <c r="D50" s="394"/>
      <c r="E50" s="863" t="s">
        <v>4053</v>
      </c>
      <c r="F50" s="864"/>
      <c r="G50" s="1226" t="s">
        <v>4060</v>
      </c>
    </row>
    <row r="51" spans="1:7" s="40" customFormat="1" ht="12" customHeight="1">
      <c r="A51" s="102"/>
      <c r="B51" s="241"/>
      <c r="C51" s="392"/>
      <c r="D51" s="394"/>
      <c r="E51" s="394" t="s">
        <v>3085</v>
      </c>
      <c r="F51" s="394"/>
      <c r="G51" s="1226" t="s">
        <v>4060</v>
      </c>
    </row>
    <row r="52" spans="1:7" s="40" customFormat="1" ht="12" customHeight="1">
      <c r="A52" s="102"/>
      <c r="B52" s="241"/>
      <c r="C52" s="392"/>
      <c r="D52" s="394"/>
      <c r="E52" s="394" t="s">
        <v>4002</v>
      </c>
      <c r="F52" s="394"/>
      <c r="G52" s="1226" t="s">
        <v>4060</v>
      </c>
    </row>
    <row r="53" spans="1:7" s="40" customFormat="1" ht="12" customHeight="1">
      <c r="A53" s="102"/>
      <c r="B53" s="241"/>
      <c r="C53" s="394"/>
      <c r="D53" s="394"/>
      <c r="E53" s="398" t="s">
        <v>3661</v>
      </c>
      <c r="F53" s="398"/>
      <c r="G53" s="1226" t="s">
        <v>4060</v>
      </c>
    </row>
    <row r="54" spans="1:7" s="40" customFormat="1" ht="12" customHeight="1">
      <c r="A54" s="102"/>
      <c r="B54" s="241"/>
      <c r="C54" s="394"/>
      <c r="D54" s="394"/>
      <c r="E54" s="863" t="s">
        <v>4004</v>
      </c>
      <c r="F54" s="864"/>
      <c r="G54" s="1226" t="s">
        <v>4060</v>
      </c>
    </row>
    <row r="55" spans="1:7" s="40" customFormat="1" ht="3" customHeight="1">
      <c r="A55" s="98"/>
      <c r="B55" s="396"/>
      <c r="C55" s="396"/>
      <c r="D55" s="396"/>
      <c r="E55" s="396"/>
      <c r="F55" s="397"/>
      <c r="G55" s="313"/>
    </row>
    <row r="56" spans="1:7" s="40" customFormat="1" ht="12" customHeight="1">
      <c r="A56" s="102"/>
      <c r="B56" s="398"/>
      <c r="C56" s="878" t="s">
        <v>4007</v>
      </c>
      <c r="D56" s="878"/>
      <c r="E56" s="398" t="s">
        <v>2799</v>
      </c>
      <c r="F56" s="398"/>
      <c r="G56" s="1226" t="s">
        <v>4060</v>
      </c>
    </row>
    <row r="57" spans="1:7" s="40" customFormat="1" ht="12" customHeight="1">
      <c r="A57" s="102"/>
      <c r="B57" s="398"/>
      <c r="C57" s="878"/>
      <c r="D57" s="878"/>
      <c r="E57" s="398" t="s">
        <v>2800</v>
      </c>
      <c r="F57" s="398"/>
      <c r="G57" s="1226" t="s">
        <v>3465</v>
      </c>
    </row>
    <row r="58" spans="1:7" s="1238" customFormat="1" ht="12" customHeight="1">
      <c r="A58" s="102"/>
      <c r="B58" s="398"/>
      <c r="C58" s="398"/>
      <c r="D58" s="417"/>
      <c r="E58" s="398" t="s">
        <v>2820</v>
      </c>
      <c r="F58" s="398"/>
      <c r="G58" s="1226" t="s">
        <v>4060</v>
      </c>
    </row>
    <row r="59" spans="1:7" s="40" customFormat="1" ht="3" customHeight="1">
      <c r="A59" s="98"/>
      <c r="B59" s="396"/>
      <c r="C59" s="396"/>
      <c r="D59" s="396"/>
      <c r="E59" s="396"/>
      <c r="F59" s="397"/>
      <c r="G59" s="313"/>
    </row>
    <row r="60" spans="1:7" s="40" customFormat="1" ht="12" customHeight="1">
      <c r="A60" s="102"/>
      <c r="C60" s="1237" t="s">
        <v>3245</v>
      </c>
      <c r="D60" s="394"/>
      <c r="E60" s="394" t="s">
        <v>3859</v>
      </c>
      <c r="G60" s="1226" t="s">
        <v>3465</v>
      </c>
    </row>
    <row r="61" spans="1:7" s="40" customFormat="1" ht="12" customHeight="1">
      <c r="A61" s="102"/>
      <c r="B61" s="398"/>
      <c r="C61" s="393"/>
      <c r="D61" s="398"/>
      <c r="E61" s="863" t="s">
        <v>3239</v>
      </c>
      <c r="F61" s="864"/>
      <c r="G61" s="1226" t="s">
        <v>3465</v>
      </c>
    </row>
    <row r="62" spans="1:7" s="40" customFormat="1" ht="12" customHeight="1">
      <c r="A62" s="102"/>
      <c r="B62" s="398"/>
      <c r="C62" s="416"/>
      <c r="D62" s="398"/>
      <c r="E62" s="398" t="s">
        <v>3989</v>
      </c>
      <c r="G62" s="1226" t="s">
        <v>3465</v>
      </c>
    </row>
    <row r="63" spans="1:7" s="40" customFormat="1" ht="12" customHeight="1">
      <c r="A63" s="102"/>
      <c r="B63" s="398"/>
      <c r="C63" s="398"/>
      <c r="D63" s="417"/>
      <c r="E63" s="398" t="s">
        <v>3240</v>
      </c>
      <c r="G63" s="1226" t="s">
        <v>3465</v>
      </c>
    </row>
    <row r="64" spans="1:7" s="40" customFormat="1" ht="12" customHeight="1">
      <c r="A64" s="102"/>
      <c r="B64" s="398"/>
      <c r="C64" s="398"/>
      <c r="D64" s="417"/>
      <c r="E64" s="398" t="s">
        <v>3241</v>
      </c>
      <c r="G64" s="1226" t="s">
        <v>3465</v>
      </c>
    </row>
    <row r="65" spans="1:7" s="1238" customFormat="1" ht="12" customHeight="1">
      <c r="A65" s="102"/>
      <c r="B65" s="398"/>
      <c r="C65" s="398"/>
      <c r="D65" s="417"/>
      <c r="E65" s="863" t="s">
        <v>3242</v>
      </c>
      <c r="F65" s="864"/>
      <c r="G65" s="1226" t="s">
        <v>3465</v>
      </c>
    </row>
    <row r="66" spans="1:7" s="40" customFormat="1" ht="12" customHeight="1">
      <c r="A66" s="102"/>
      <c r="D66" s="394"/>
      <c r="E66" s="881" t="s">
        <v>3243</v>
      </c>
      <c r="F66" s="864"/>
      <c r="G66" s="1226" t="s">
        <v>3465</v>
      </c>
    </row>
    <row r="67" spans="1:7" s="40" customFormat="1" ht="12" customHeight="1">
      <c r="A67" s="102"/>
      <c r="B67" s="398"/>
      <c r="C67" s="393"/>
      <c r="D67" s="398"/>
      <c r="E67" s="398" t="s">
        <v>3244</v>
      </c>
      <c r="G67" s="1226" t="s">
        <v>3465</v>
      </c>
    </row>
    <row r="68" spans="1:7" s="40" customFormat="1" ht="13.5">
      <c r="A68" s="102"/>
      <c r="B68" s="1228" t="s">
        <v>4005</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2581</v>
      </c>
      <c r="C70" s="394"/>
      <c r="D70" s="394"/>
      <c r="E70" s="1228" t="s">
        <v>4009</v>
      </c>
      <c r="F70" s="394"/>
      <c r="G70" s="1226" t="s">
        <v>3465</v>
      </c>
    </row>
    <row r="71" spans="1:7" s="40" customFormat="1" ht="12" customHeight="1">
      <c r="A71" s="102"/>
      <c r="B71" s="394"/>
      <c r="C71" s="394"/>
      <c r="D71" s="1228"/>
      <c r="E71" s="399" t="s">
        <v>2821</v>
      </c>
      <c r="F71" s="398"/>
      <c r="G71" s="1226" t="s">
        <v>3465</v>
      </c>
    </row>
    <row r="72" spans="1:7" s="40" customFormat="1" ht="12" customHeight="1">
      <c r="A72" s="388"/>
      <c r="B72" s="1229"/>
      <c r="C72" s="394"/>
      <c r="D72" s="394"/>
      <c r="E72" s="1228" t="s">
        <v>4008</v>
      </c>
      <c r="F72" s="394"/>
      <c r="G72" s="1226" t="s">
        <v>3465</v>
      </c>
    </row>
    <row r="73" spans="1:7" s="40" customFormat="1" ht="12" customHeight="1">
      <c r="A73" s="388"/>
      <c r="B73" s="1229"/>
      <c r="C73" s="394"/>
      <c r="D73" s="394"/>
      <c r="E73" s="1228" t="s">
        <v>4038</v>
      </c>
      <c r="F73" s="394"/>
      <c r="G73" s="1226" t="s">
        <v>3465</v>
      </c>
    </row>
    <row r="74" spans="1:7" s="40" customFormat="1" ht="12" customHeight="1">
      <c r="A74" s="388"/>
      <c r="B74" s="1229"/>
      <c r="C74" s="394"/>
      <c r="D74" s="394"/>
      <c r="E74" s="1228" t="s">
        <v>1168</v>
      </c>
      <c r="F74" s="394"/>
      <c r="G74" s="1226" t="s">
        <v>3465</v>
      </c>
    </row>
    <row r="75" spans="1:7" s="40" customFormat="1" ht="12" customHeight="1">
      <c r="A75" s="388"/>
      <c r="B75" s="1229"/>
      <c r="C75" s="394"/>
      <c r="D75" s="394"/>
      <c r="E75" s="1228" t="s">
        <v>2790</v>
      </c>
      <c r="F75" s="394"/>
      <c r="G75" s="1226" t="s">
        <v>3465</v>
      </c>
    </row>
    <row r="76" spans="1:7" s="40" customFormat="1" ht="12" customHeight="1">
      <c r="A76" s="388"/>
      <c r="B76" s="1229"/>
      <c r="C76" s="394"/>
      <c r="D76" s="394"/>
      <c r="E76" s="1228" t="s">
        <v>4010</v>
      </c>
      <c r="F76" s="394"/>
      <c r="G76" s="1226" t="s">
        <v>3465</v>
      </c>
    </row>
    <row r="77" spans="1:7" s="40" customFormat="1" ht="12" customHeight="1">
      <c r="A77" s="388"/>
      <c r="B77" s="1229"/>
      <c r="C77" s="394"/>
      <c r="D77" s="394"/>
      <c r="E77" s="1228" t="s">
        <v>1986</v>
      </c>
      <c r="F77" s="394"/>
      <c r="G77" s="1226" t="s">
        <v>3465</v>
      </c>
    </row>
    <row r="78" spans="1:7" s="40" customFormat="1" ht="12" customHeight="1">
      <c r="A78" s="388"/>
      <c r="B78" s="1229"/>
      <c r="C78" s="394"/>
      <c r="D78" s="394"/>
      <c r="E78" s="1228" t="s">
        <v>4039</v>
      </c>
      <c r="F78" s="394"/>
      <c r="G78" s="1226" t="s">
        <v>3465</v>
      </c>
    </row>
    <row r="79" spans="1:7" s="40" customFormat="1" ht="12" customHeight="1">
      <c r="A79" s="102"/>
      <c r="B79" s="410" t="s">
        <v>2853</v>
      </c>
      <c r="C79" s="411"/>
      <c r="D79" s="412"/>
      <c r="E79" s="399"/>
      <c r="F79" s="394"/>
      <c r="G79" s="315"/>
    </row>
    <row r="80" spans="1:7" s="40" customFormat="1" ht="12.75" customHeight="1">
      <c r="A80" s="388">
        <v>5</v>
      </c>
      <c r="B80" s="407" t="s">
        <v>3662</v>
      </c>
      <c r="C80" s="394"/>
      <c r="D80" s="394"/>
      <c r="E80" s="400" t="s">
        <v>3676</v>
      </c>
      <c r="F80" s="400"/>
      <c r="G80" s="1226" t="s">
        <v>4060</v>
      </c>
    </row>
    <row r="81" spans="1:7" s="40" customFormat="1" ht="12" customHeight="1">
      <c r="A81" s="102"/>
      <c r="B81" s="394"/>
      <c r="C81" s="394"/>
      <c r="D81" s="394"/>
      <c r="E81" s="1228" t="s">
        <v>1284</v>
      </c>
      <c r="F81" s="400"/>
      <c r="G81" s="1226" t="s">
        <v>3465</v>
      </c>
    </row>
    <row r="82" spans="1:7" s="40" customFormat="1" ht="12" customHeight="1">
      <c r="A82" s="388"/>
      <c r="B82" s="407"/>
      <c r="C82" s="394"/>
      <c r="D82" s="394"/>
      <c r="E82" s="400" t="s">
        <v>3235</v>
      </c>
      <c r="F82" s="400"/>
      <c r="G82" s="1226" t="s">
        <v>3465</v>
      </c>
    </row>
    <row r="83" spans="1:7" s="40" customFormat="1" ht="12" customHeight="1">
      <c r="A83" s="388"/>
      <c r="B83" s="407"/>
      <c r="C83" s="394"/>
      <c r="D83" s="394"/>
      <c r="E83" s="400" t="s">
        <v>3236</v>
      </c>
      <c r="F83" s="400"/>
      <c r="G83" s="1226" t="s">
        <v>3465</v>
      </c>
    </row>
    <row r="84" spans="1:7" s="40" customFormat="1" ht="12" customHeight="1">
      <c r="A84" s="388"/>
      <c r="B84" s="407"/>
      <c r="C84" s="394"/>
      <c r="D84" s="394"/>
      <c r="E84" s="400" t="s">
        <v>3237</v>
      </c>
      <c r="F84" s="400"/>
      <c r="G84" s="1226" t="s">
        <v>3465</v>
      </c>
    </row>
    <row r="85" spans="1:7" s="40" customFormat="1" ht="12" customHeight="1">
      <c r="A85" s="388"/>
      <c r="B85" s="407"/>
      <c r="C85" s="394"/>
      <c r="D85" s="394"/>
      <c r="E85" s="400" t="s">
        <v>3721</v>
      </c>
      <c r="F85" s="400"/>
      <c r="G85" s="1226" t="s">
        <v>3465</v>
      </c>
    </row>
    <row r="86" spans="1:7" s="40" customFormat="1" ht="12" customHeight="1">
      <c r="A86" s="102"/>
      <c r="B86" s="394"/>
      <c r="C86" s="394"/>
      <c r="D86" s="394"/>
      <c r="E86" s="1228" t="s">
        <v>3238</v>
      </c>
      <c r="F86" s="400"/>
      <c r="G86" s="1226" t="s">
        <v>3465</v>
      </c>
    </row>
    <row r="87" spans="1:7" s="40" customFormat="1" ht="12" customHeight="1">
      <c r="A87" s="105"/>
      <c r="B87" s="394"/>
      <c r="C87" s="394"/>
      <c r="D87" s="394"/>
      <c r="E87" s="1228" t="s">
        <v>1281</v>
      </c>
      <c r="F87" s="394"/>
      <c r="G87" s="1226" t="s">
        <v>3465</v>
      </c>
    </row>
    <row r="88" spans="1:7" s="40" customFormat="1" ht="12" customHeight="1">
      <c r="A88" s="798"/>
      <c r="B88" s="394"/>
      <c r="C88" s="419"/>
      <c r="D88" s="394"/>
      <c r="E88" s="882" t="s">
        <v>1282</v>
      </c>
      <c r="F88" s="883"/>
      <c r="G88" s="1226" t="s">
        <v>3465</v>
      </c>
    </row>
    <row r="89" spans="1:7" s="40" customFormat="1" ht="12" customHeight="1">
      <c r="A89" s="102"/>
      <c r="B89" s="394"/>
      <c r="C89" s="419"/>
      <c r="D89" s="394"/>
      <c r="E89" s="443" t="s">
        <v>1283</v>
      </c>
      <c r="F89" s="401"/>
      <c r="G89" s="1226" t="s">
        <v>3465</v>
      </c>
    </row>
    <row r="90" spans="1:7" s="40" customFormat="1" ht="12" customHeight="1">
      <c r="A90" s="102"/>
      <c r="B90" s="394"/>
      <c r="C90" s="394"/>
      <c r="D90" s="394"/>
      <c r="E90" s="1228" t="s">
        <v>1336</v>
      </c>
      <c r="F90" s="400"/>
      <c r="G90" s="1226" t="s">
        <v>3465</v>
      </c>
    </row>
    <row r="91" spans="1:7" s="40" customFormat="1" ht="12" customHeight="1">
      <c r="A91" s="102"/>
      <c r="B91" s="394"/>
      <c r="C91" s="394"/>
      <c r="D91" s="394"/>
      <c r="E91" s="400" t="s">
        <v>1285</v>
      </c>
      <c r="F91" s="400"/>
      <c r="G91" s="1226" t="s">
        <v>3465</v>
      </c>
    </row>
    <row r="92" spans="1:7" s="40" customFormat="1" ht="12" customHeight="1">
      <c r="A92" s="102"/>
      <c r="B92" s="394"/>
      <c r="C92" s="394"/>
      <c r="D92" s="394"/>
      <c r="E92" s="400" t="s">
        <v>226</v>
      </c>
      <c r="F92" s="400"/>
      <c r="G92" s="1226" t="s">
        <v>4060</v>
      </c>
    </row>
    <row r="93" spans="1:7" s="40" customFormat="1" ht="12" customHeight="1">
      <c r="A93" s="102"/>
      <c r="B93" s="394"/>
      <c r="C93" s="414"/>
      <c r="D93" s="414"/>
      <c r="E93" s="398" t="s">
        <v>1338</v>
      </c>
      <c r="F93" s="402"/>
      <c r="G93" s="1226" t="s">
        <v>4060</v>
      </c>
    </row>
    <row r="94" spans="1:7" s="40" customFormat="1" ht="12" customHeight="1">
      <c r="A94" s="102"/>
      <c r="B94" s="394"/>
      <c r="C94" s="394"/>
      <c r="D94" s="394"/>
      <c r="E94" s="400" t="s">
        <v>3990</v>
      </c>
      <c r="F94" s="400"/>
      <c r="G94" s="1226" t="s">
        <v>3465</v>
      </c>
    </row>
    <row r="95" spans="1:7" s="40" customFormat="1" ht="12" customHeight="1">
      <c r="A95" s="102"/>
      <c r="B95" s="394"/>
      <c r="C95" s="394"/>
      <c r="D95" s="394"/>
      <c r="E95" s="400" t="s">
        <v>567</v>
      </c>
      <c r="F95" s="400"/>
      <c r="G95" s="1226" t="s">
        <v>3465</v>
      </c>
    </row>
    <row r="96" spans="1:7" s="40" customFormat="1" ht="13.5">
      <c r="A96" s="102"/>
      <c r="C96" s="1239" t="s">
        <v>3214</v>
      </c>
      <c r="D96" s="394"/>
      <c r="E96" s="1228"/>
      <c r="F96" s="400"/>
      <c r="G96" s="150"/>
    </row>
    <row r="97" spans="1:7" s="40" customFormat="1" ht="12.75" customHeight="1">
      <c r="A97" s="389"/>
      <c r="D97" s="1240" t="s">
        <v>3215</v>
      </c>
      <c r="E97" s="1228" t="s">
        <v>4011</v>
      </c>
      <c r="F97" s="399"/>
      <c r="G97" s="1241" t="s">
        <v>3465</v>
      </c>
    </row>
    <row r="98" spans="1:7" s="40" customFormat="1" ht="12.75" customHeight="1">
      <c r="A98" s="797"/>
      <c r="B98" s="1228"/>
      <c r="D98" s="1240"/>
      <c r="E98" s="1228" t="s">
        <v>1540</v>
      </c>
      <c r="F98" s="399"/>
      <c r="G98" s="1241" t="s">
        <v>3465</v>
      </c>
    </row>
    <row r="99" spans="1:7" s="40" customFormat="1" ht="12.75" customHeight="1">
      <c r="A99" s="797"/>
      <c r="B99" s="403"/>
      <c r="D99" s="1240"/>
      <c r="E99" s="1242" t="s">
        <v>1541</v>
      </c>
      <c r="F99" s="399"/>
      <c r="G99" s="1241" t="s">
        <v>3465</v>
      </c>
    </row>
    <row r="100" spans="1:7" s="40" customFormat="1" ht="6" customHeight="1">
      <c r="A100" s="102"/>
      <c r="B100" s="394"/>
      <c r="C100" s="394"/>
      <c r="D100" s="394"/>
      <c r="E100" s="1228"/>
      <c r="F100" s="400"/>
      <c r="G100" s="150"/>
    </row>
    <row r="101" spans="1:7" s="40" customFormat="1" ht="12" customHeight="1">
      <c r="A101" s="388">
        <v>6</v>
      </c>
      <c r="B101" s="413" t="s">
        <v>2582</v>
      </c>
      <c r="C101" s="241"/>
      <c r="D101" s="394"/>
      <c r="E101" s="394" t="s">
        <v>2791</v>
      </c>
      <c r="F101" s="394"/>
      <c r="G101" s="1226" t="s">
        <v>3465</v>
      </c>
    </row>
    <row r="102" spans="1:7" s="40" customFormat="1" ht="12" customHeight="1">
      <c r="A102" s="102"/>
      <c r="B102" s="394"/>
      <c r="C102" s="414"/>
      <c r="D102" s="414"/>
      <c r="E102" s="398" t="s">
        <v>3117</v>
      </c>
      <c r="F102" s="402"/>
      <c r="G102" s="1226" t="s">
        <v>3465</v>
      </c>
    </row>
    <row r="103" spans="1:7" s="40" customFormat="1" ht="12" customHeight="1">
      <c r="A103" s="102"/>
      <c r="B103" s="394"/>
      <c r="C103" s="414"/>
      <c r="D103" s="414"/>
      <c r="E103" s="398" t="s">
        <v>3118</v>
      </c>
      <c r="F103" s="402"/>
      <c r="G103" s="1226" t="s">
        <v>3465</v>
      </c>
    </row>
    <row r="104" spans="1:7" s="40" customFormat="1" ht="12" customHeight="1">
      <c r="A104" s="102"/>
      <c r="B104" s="394"/>
      <c r="C104" s="394"/>
      <c r="D104" s="394"/>
      <c r="E104" s="394" t="s">
        <v>3119</v>
      </c>
      <c r="F104" s="394"/>
      <c r="G104" s="1226" t="s">
        <v>3465</v>
      </c>
    </row>
    <row r="105" spans="1:7" s="40" customFormat="1" ht="6" customHeight="1">
      <c r="A105" s="98"/>
      <c r="B105" s="396"/>
      <c r="C105" s="396"/>
      <c r="D105" s="396"/>
      <c r="E105" s="396"/>
      <c r="F105" s="397"/>
      <c r="G105" s="314"/>
    </row>
    <row r="106" spans="1:7" s="40" customFormat="1" ht="12" customHeight="1">
      <c r="A106" s="388">
        <v>7</v>
      </c>
      <c r="B106" s="409" t="s">
        <v>3677</v>
      </c>
      <c r="C106" s="241"/>
      <c r="D106" s="394"/>
      <c r="E106" s="400" t="s">
        <v>1017</v>
      </c>
      <c r="F106" s="400"/>
      <c r="G106" s="1226" t="s">
        <v>4060</v>
      </c>
    </row>
    <row r="107" spans="1:7" s="40" customFormat="1" ht="6" customHeight="1">
      <c r="A107" s="102"/>
      <c r="B107" s="241"/>
      <c r="C107" s="392"/>
      <c r="D107" s="394"/>
      <c r="E107" s="400"/>
      <c r="F107" s="400"/>
      <c r="G107" s="150"/>
    </row>
    <row r="108" spans="1:7" s="40" customFormat="1" ht="12" customHeight="1">
      <c r="A108" s="388">
        <v>8</v>
      </c>
      <c r="B108" s="409" t="s">
        <v>3663</v>
      </c>
      <c r="C108" s="241"/>
      <c r="D108" s="394"/>
      <c r="E108" s="400" t="s">
        <v>1337</v>
      </c>
      <c r="F108" s="400"/>
      <c r="G108" s="1226" t="s">
        <v>4060</v>
      </c>
    </row>
    <row r="109" spans="1:7" s="40" customFormat="1" ht="12" customHeight="1">
      <c r="A109" s="102"/>
      <c r="B109" s="241"/>
      <c r="C109" s="392"/>
      <c r="D109" s="394"/>
      <c r="E109" s="400" t="s">
        <v>4001</v>
      </c>
      <c r="F109" s="400"/>
      <c r="G109" s="1226" t="s">
        <v>4060</v>
      </c>
    </row>
    <row r="110" spans="1:7" s="40" customFormat="1" ht="12" customHeight="1">
      <c r="A110" s="102"/>
      <c r="B110" s="241"/>
      <c r="C110" s="392"/>
      <c r="D110" s="394"/>
      <c r="E110" s="400" t="s">
        <v>3993</v>
      </c>
      <c r="F110" s="400"/>
      <c r="G110" s="1226" t="s">
        <v>3465</v>
      </c>
    </row>
    <row r="111" spans="1:7" s="40" customFormat="1" ht="6" customHeight="1">
      <c r="A111" s="102"/>
      <c r="B111" s="392"/>
      <c r="C111" s="394"/>
      <c r="D111" s="394"/>
      <c r="E111" s="1228"/>
      <c r="F111" s="400"/>
      <c r="G111" s="316"/>
    </row>
    <row r="112" spans="1:7" s="40" customFormat="1" ht="13.5">
      <c r="A112" s="388">
        <v>9</v>
      </c>
      <c r="B112" s="407" t="s">
        <v>1031</v>
      </c>
      <c r="C112" s="241"/>
      <c r="D112" s="394"/>
      <c r="E112" s="863" t="s">
        <v>3218</v>
      </c>
      <c r="F112" s="864"/>
      <c r="G112" s="1226" t="s">
        <v>4060</v>
      </c>
    </row>
    <row r="113" spans="1:7" s="40" customFormat="1" ht="12" customHeight="1">
      <c r="A113" s="102"/>
      <c r="B113" s="398"/>
      <c r="C113" s="241"/>
      <c r="D113" s="398"/>
      <c r="E113" s="398" t="s">
        <v>646</v>
      </c>
      <c r="F113" s="404"/>
      <c r="G113" s="1226" t="s">
        <v>4060</v>
      </c>
    </row>
    <row r="114" spans="1:7" s="40" customFormat="1" ht="12" customHeight="1">
      <c r="A114" s="102"/>
      <c r="B114" s="394"/>
      <c r="C114" s="241"/>
      <c r="D114" s="394"/>
      <c r="E114" s="398" t="s">
        <v>3139</v>
      </c>
      <c r="F114" s="400"/>
      <c r="G114" s="1226" t="s">
        <v>3465</v>
      </c>
    </row>
    <row r="115" spans="1:7" s="40" customFormat="1" ht="6" customHeight="1">
      <c r="A115" s="98"/>
      <c r="B115" s="396"/>
      <c r="C115" s="396"/>
      <c r="D115" s="396"/>
      <c r="E115" s="396"/>
      <c r="F115" s="397"/>
      <c r="G115" s="229"/>
    </row>
    <row r="116" spans="1:7" s="40" customFormat="1" ht="12" customHeight="1">
      <c r="A116" s="388">
        <v>10</v>
      </c>
      <c r="B116" s="407" t="s">
        <v>606</v>
      </c>
      <c r="C116" s="241"/>
      <c r="D116" s="398"/>
      <c r="E116" s="394" t="s">
        <v>3355</v>
      </c>
      <c r="F116" s="394"/>
      <c r="G116" s="1226" t="s">
        <v>4060</v>
      </c>
    </row>
    <row r="117" spans="1:7" s="40" customFormat="1" ht="12" customHeight="1">
      <c r="A117" s="102"/>
      <c r="B117" s="241"/>
      <c r="C117" s="241"/>
      <c r="D117" s="394"/>
      <c r="E117" s="394" t="s">
        <v>2964</v>
      </c>
      <c r="F117" s="394"/>
      <c r="G117" s="1226" t="s">
        <v>3465</v>
      </c>
    </row>
    <row r="118" spans="1:7" s="40" customFormat="1" ht="12" customHeight="1">
      <c r="A118" s="102"/>
      <c r="B118" s="394"/>
      <c r="C118" s="241"/>
      <c r="D118" s="394"/>
      <c r="E118" s="394" t="s">
        <v>2535</v>
      </c>
      <c r="F118" s="394"/>
      <c r="G118" s="1226" t="s">
        <v>3465</v>
      </c>
    </row>
    <row r="119" spans="1:7" s="40" customFormat="1" ht="12" customHeight="1">
      <c r="A119" s="102"/>
      <c r="B119" s="393"/>
      <c r="C119" s="241"/>
      <c r="D119" s="394"/>
      <c r="E119" s="398" t="s">
        <v>3219</v>
      </c>
      <c r="F119" s="404"/>
      <c r="G119" s="1226" t="s">
        <v>3465</v>
      </c>
    </row>
    <row r="120" spans="1:7" s="40" customFormat="1" ht="6" customHeight="1">
      <c r="A120" s="98"/>
      <c r="B120" s="396"/>
      <c r="C120" s="241"/>
      <c r="D120" s="396"/>
      <c r="E120" s="396"/>
      <c r="F120" s="397"/>
      <c r="G120" s="314"/>
    </row>
    <row r="121" spans="1:7" s="40" customFormat="1" ht="26.25" customHeight="1">
      <c r="A121" s="388">
        <v>11</v>
      </c>
      <c r="B121" s="415" t="s">
        <v>237</v>
      </c>
      <c r="C121" s="241"/>
      <c r="D121" s="398"/>
      <c r="E121" s="863" t="s">
        <v>3221</v>
      </c>
      <c r="F121" s="863"/>
      <c r="G121" s="1226" t="s">
        <v>4060</v>
      </c>
    </row>
    <row r="122" spans="1:7" s="40" customFormat="1" ht="12" customHeight="1">
      <c r="A122" s="105"/>
      <c r="B122" s="393"/>
      <c r="C122" s="241"/>
      <c r="D122" s="398"/>
      <c r="E122" s="863" t="s">
        <v>3220</v>
      </c>
      <c r="F122" s="864"/>
      <c r="G122" s="1226" t="s">
        <v>4060</v>
      </c>
    </row>
    <row r="123" spans="1:7" s="40" customFormat="1" ht="6" customHeight="1">
      <c r="A123" s="96"/>
      <c r="B123" s="396"/>
      <c r="C123" s="241"/>
      <c r="D123" s="396"/>
      <c r="E123" s="396"/>
      <c r="F123" s="397"/>
      <c r="G123" s="314"/>
    </row>
    <row r="124" spans="1:7" s="40" customFormat="1" ht="12" customHeight="1">
      <c r="A124" s="388">
        <v>12</v>
      </c>
      <c r="B124" s="407" t="s">
        <v>1987</v>
      </c>
      <c r="C124" s="241"/>
      <c r="D124" s="394"/>
      <c r="E124" s="398" t="s">
        <v>3222</v>
      </c>
      <c r="F124" s="404"/>
      <c r="G124" s="1226" t="s">
        <v>3465</v>
      </c>
    </row>
    <row r="125" spans="1:7" s="40" customFormat="1" ht="12" customHeight="1">
      <c r="A125" s="388"/>
      <c r="B125" s="407"/>
      <c r="C125" s="241"/>
      <c r="D125" s="394"/>
      <c r="E125" s="398" t="s">
        <v>2792</v>
      </c>
      <c r="F125" s="398"/>
      <c r="G125" s="1226" t="s">
        <v>3465</v>
      </c>
    </row>
    <row r="126" spans="1:7" s="40" customFormat="1" ht="12" customHeight="1">
      <c r="A126" s="102"/>
      <c r="B126" s="398"/>
      <c r="C126" s="241"/>
      <c r="D126" s="398"/>
      <c r="E126" s="399" t="s">
        <v>3162</v>
      </c>
      <c r="F126" s="394"/>
      <c r="G126" s="1226" t="s">
        <v>3465</v>
      </c>
    </row>
    <row r="127" spans="1:7" s="40" customFormat="1" ht="12" customHeight="1">
      <c r="A127" s="102"/>
      <c r="B127" s="394"/>
      <c r="C127" s="241"/>
      <c r="D127" s="1228"/>
      <c r="E127" s="394" t="s">
        <v>2793</v>
      </c>
      <c r="F127" s="394"/>
      <c r="G127" s="1226" t="s">
        <v>4060</v>
      </c>
    </row>
    <row r="128" spans="1:7" s="40" customFormat="1" ht="12" customHeight="1">
      <c r="A128" s="102"/>
      <c r="B128" s="393"/>
      <c r="C128" s="241"/>
      <c r="D128" s="394"/>
      <c r="E128" s="394" t="s">
        <v>1109</v>
      </c>
      <c r="F128" s="394"/>
      <c r="G128" s="1226" t="s">
        <v>4060</v>
      </c>
    </row>
    <row r="129" spans="1:7" s="40" customFormat="1" ht="12" customHeight="1">
      <c r="A129" s="102"/>
      <c r="B129" s="394"/>
      <c r="C129" s="241"/>
      <c r="D129" s="394"/>
      <c r="E129" s="398" t="s">
        <v>1110</v>
      </c>
      <c r="F129" s="404"/>
      <c r="G129" s="1226" t="s">
        <v>4060</v>
      </c>
    </row>
    <row r="130" spans="1:7" s="40" customFormat="1" ht="12" customHeight="1">
      <c r="A130" s="102"/>
      <c r="B130" s="398"/>
      <c r="C130" s="241"/>
      <c r="D130" s="398"/>
      <c r="E130" s="398" t="s">
        <v>3066</v>
      </c>
      <c r="F130" s="404"/>
      <c r="G130" s="1226" t="s">
        <v>3465</v>
      </c>
    </row>
    <row r="131" spans="1:7" s="40" customFormat="1" ht="3" customHeight="1">
      <c r="A131" s="98"/>
      <c r="B131" s="396"/>
      <c r="C131" s="396"/>
      <c r="D131" s="396"/>
      <c r="E131" s="396"/>
      <c r="F131" s="397"/>
      <c r="G131" s="314"/>
    </row>
    <row r="132" spans="1:7" ht="12" customHeight="1">
      <c r="A132" s="388">
        <v>13</v>
      </c>
      <c r="B132" s="879" t="s">
        <v>106</v>
      </c>
      <c r="C132" s="880"/>
      <c r="D132" s="880"/>
      <c r="E132" s="398" t="s">
        <v>1342</v>
      </c>
      <c r="F132" s="398"/>
      <c r="G132" s="1226" t="s">
        <v>4060</v>
      </c>
    </row>
    <row r="133" spans="1:7" s="40" customFormat="1" ht="12" customHeight="1">
      <c r="A133" s="102"/>
      <c r="B133" s="879"/>
      <c r="C133" s="880"/>
      <c r="D133" s="880"/>
      <c r="E133" s="398" t="s">
        <v>1343</v>
      </c>
      <c r="F133" s="398"/>
      <c r="G133" s="1226" t="s">
        <v>4060</v>
      </c>
    </row>
    <row r="134" spans="1:7" s="40" customFormat="1" ht="12" customHeight="1">
      <c r="A134" s="102"/>
      <c r="B134" s="879"/>
      <c r="C134" s="880"/>
      <c r="D134" s="880"/>
      <c r="E134" s="398" t="s">
        <v>3258</v>
      </c>
      <c r="F134" s="398"/>
      <c r="G134" s="1226" t="s">
        <v>4060</v>
      </c>
    </row>
    <row r="135" spans="1:7" s="40" customFormat="1" ht="6" customHeight="1">
      <c r="A135" s="98"/>
      <c r="B135" s="396"/>
      <c r="C135" s="396"/>
      <c r="D135" s="396"/>
      <c r="E135" s="396"/>
      <c r="F135" s="397"/>
      <c r="G135" s="314"/>
    </row>
    <row r="136" spans="1:7" s="40" customFormat="1" ht="12" customHeight="1">
      <c r="A136" s="388">
        <v>14</v>
      </c>
      <c r="B136" s="407" t="s">
        <v>1344</v>
      </c>
      <c r="C136" s="241"/>
      <c r="D136" s="394"/>
      <c r="E136" s="394" t="s">
        <v>2822</v>
      </c>
      <c r="F136" s="400"/>
      <c r="G136" s="1226" t="s">
        <v>4060</v>
      </c>
    </row>
    <row r="137" spans="1:7" s="40" customFormat="1" ht="12" customHeight="1">
      <c r="A137" s="102"/>
      <c r="B137" s="590" t="s">
        <v>2328</v>
      </c>
      <c r="C137" s="241"/>
      <c r="D137" s="1243"/>
      <c r="E137" s="881" t="s">
        <v>4019</v>
      </c>
      <c r="F137" s="864"/>
      <c r="G137" s="1226" t="s">
        <v>4060</v>
      </c>
    </row>
    <row r="138" spans="1:7" s="40" customFormat="1" ht="6" customHeight="1">
      <c r="A138" s="98"/>
      <c r="B138" s="396"/>
      <c r="C138" s="396"/>
      <c r="D138" s="396"/>
      <c r="E138" s="396"/>
      <c r="F138" s="397"/>
      <c r="G138" s="313"/>
    </row>
    <row r="139" spans="1:7" s="40" customFormat="1" ht="12" customHeight="1">
      <c r="A139" s="388">
        <v>15</v>
      </c>
      <c r="B139" s="407" t="s">
        <v>2408</v>
      </c>
      <c r="C139" s="415"/>
      <c r="D139" s="398"/>
      <c r="E139" s="395" t="s">
        <v>2409</v>
      </c>
      <c r="F139" s="394"/>
      <c r="G139" s="1226" t="s">
        <v>4060</v>
      </c>
    </row>
    <row r="140" spans="1:7" s="40" customFormat="1" ht="12" customHeight="1">
      <c r="A140" s="388"/>
      <c r="B140" s="590" t="s">
        <v>3638</v>
      </c>
      <c r="C140" s="407"/>
      <c r="D140" s="394"/>
      <c r="E140" s="395" t="s">
        <v>1864</v>
      </c>
      <c r="F140" s="394"/>
      <c r="G140" s="1226" t="s">
        <v>4060</v>
      </c>
    </row>
    <row r="141" spans="1:7" s="40" customFormat="1" ht="12" customHeight="1">
      <c r="A141" s="102"/>
      <c r="B141" s="241"/>
      <c r="C141" s="394"/>
      <c r="D141" s="394"/>
      <c r="E141" s="394" t="s">
        <v>4103</v>
      </c>
      <c r="F141" s="394"/>
      <c r="G141" s="1226" t="s">
        <v>4060</v>
      </c>
    </row>
    <row r="142" spans="1:7" s="40" customFormat="1" ht="12" customHeight="1">
      <c r="A142" s="102"/>
      <c r="B142" s="394"/>
      <c r="C142" s="394"/>
      <c r="D142" s="394"/>
      <c r="E142" s="394" t="s">
        <v>3140</v>
      </c>
      <c r="F142" s="394"/>
      <c r="G142" s="1226" t="s">
        <v>4060</v>
      </c>
    </row>
    <row r="143" spans="1:7" s="40" customFormat="1" ht="3" customHeight="1">
      <c r="A143" s="102"/>
      <c r="B143" s="418"/>
      <c r="C143" s="1244"/>
      <c r="D143" s="1244"/>
      <c r="E143" s="1245"/>
      <c r="F143" s="104"/>
      <c r="G143" s="104"/>
    </row>
    <row r="144" spans="1:7" s="40" customFormat="1" ht="12.6" customHeight="1">
      <c r="A144" s="388">
        <v>16</v>
      </c>
      <c r="B144" s="415" t="s">
        <v>732</v>
      </c>
      <c r="C144" s="1228"/>
      <c r="D144" s="1228"/>
      <c r="E144" s="398" t="s">
        <v>2384</v>
      </c>
      <c r="F144" s="398"/>
      <c r="G144" s="1226" t="s">
        <v>3465</v>
      </c>
    </row>
    <row r="145" spans="1:7" s="40" customFormat="1" ht="12" customHeight="1">
      <c r="A145" s="102"/>
      <c r="B145" s="398"/>
      <c r="C145" s="393"/>
      <c r="D145" s="398"/>
      <c r="E145" s="398" t="s">
        <v>2912</v>
      </c>
      <c r="F145" s="398"/>
      <c r="G145" s="1226" t="s">
        <v>3465</v>
      </c>
    </row>
    <row r="146" spans="1:7" s="40" customFormat="1" ht="12" customHeight="1">
      <c r="A146" s="102"/>
      <c r="B146" s="398"/>
      <c r="C146" s="416"/>
      <c r="D146" s="398"/>
      <c r="E146" s="398" t="s">
        <v>644</v>
      </c>
      <c r="F146" s="398"/>
      <c r="G146" s="1226" t="s">
        <v>3465</v>
      </c>
    </row>
    <row r="147" spans="1:7" s="40" customFormat="1" ht="12" customHeight="1">
      <c r="A147" s="102"/>
      <c r="B147" s="398"/>
      <c r="C147" s="398"/>
      <c r="D147" s="417"/>
      <c r="E147" s="398" t="s">
        <v>645</v>
      </c>
      <c r="F147" s="398"/>
      <c r="G147" s="1226" t="s">
        <v>3465</v>
      </c>
    </row>
    <row r="148" spans="1:7" s="40" customFormat="1" ht="12" customHeight="1">
      <c r="A148" s="102"/>
      <c r="B148" s="398"/>
      <c r="C148" s="398"/>
      <c r="D148" s="417"/>
      <c r="E148" s="398" t="s">
        <v>877</v>
      </c>
      <c r="F148" s="398"/>
      <c r="G148" s="1226" t="s">
        <v>3465</v>
      </c>
    </row>
    <row r="149" spans="1:7" s="1238" customFormat="1" ht="12" customHeight="1">
      <c r="A149" s="102"/>
      <c r="B149" s="398"/>
      <c r="C149" s="398"/>
      <c r="D149" s="417"/>
      <c r="E149" s="398" t="s">
        <v>3503</v>
      </c>
      <c r="F149" s="398"/>
      <c r="G149" s="1226" t="s">
        <v>3465</v>
      </c>
    </row>
    <row r="150" spans="1:7" s="40" customFormat="1" ht="12" customHeight="1">
      <c r="A150" s="102"/>
      <c r="B150" s="398"/>
      <c r="C150" s="398"/>
      <c r="D150" s="398"/>
      <c r="E150" s="392" t="s">
        <v>2845</v>
      </c>
      <c r="F150" s="404"/>
      <c r="G150" s="1226" t="s">
        <v>3465</v>
      </c>
    </row>
    <row r="151" spans="1:7" s="40" customFormat="1" ht="12" customHeight="1">
      <c r="A151" s="102"/>
      <c r="B151" s="398"/>
      <c r="C151" s="398"/>
      <c r="D151" s="398"/>
      <c r="E151" s="392" t="s">
        <v>3248</v>
      </c>
      <c r="F151" s="404"/>
      <c r="G151" s="1226" t="s">
        <v>3465</v>
      </c>
    </row>
    <row r="152" spans="1:7" s="40" customFormat="1" ht="6" customHeight="1">
      <c r="A152" s="98"/>
      <c r="B152" s="396"/>
      <c r="C152" s="396"/>
      <c r="D152" s="396"/>
      <c r="E152" s="396"/>
      <c r="F152" s="397"/>
      <c r="G152" s="314"/>
    </row>
    <row r="153" spans="1:7" ht="11.45" customHeight="1">
      <c r="A153" s="388">
        <v>17</v>
      </c>
      <c r="B153" s="415" t="s">
        <v>1866</v>
      </c>
      <c r="C153" s="1228"/>
      <c r="D153" s="1228"/>
      <c r="E153" s="398" t="s">
        <v>2138</v>
      </c>
      <c r="F153" s="398"/>
      <c r="G153" s="1226" t="s">
        <v>3465</v>
      </c>
    </row>
    <row r="154" spans="1:7" ht="11.45" customHeight="1">
      <c r="A154" s="388"/>
      <c r="B154" s="415"/>
      <c r="C154" s="1228"/>
      <c r="D154" s="1228"/>
      <c r="E154" s="398" t="s">
        <v>2472</v>
      </c>
      <c r="F154" s="398"/>
      <c r="G154" s="1226" t="s">
        <v>3465</v>
      </c>
    </row>
    <row r="155" spans="1:7" s="40" customFormat="1" ht="11.45" customHeight="1">
      <c r="A155" s="102"/>
      <c r="B155" s="398"/>
      <c r="C155" s="398"/>
      <c r="D155" s="398"/>
      <c r="E155" s="398" t="s">
        <v>3259</v>
      </c>
      <c r="F155" s="398"/>
      <c r="G155" s="1226" t="s">
        <v>3465</v>
      </c>
    </row>
    <row r="156" spans="1:7" s="40" customFormat="1" ht="11.45" customHeight="1">
      <c r="A156" s="105"/>
      <c r="B156" s="398"/>
      <c r="C156" s="398"/>
      <c r="D156" s="398"/>
      <c r="E156" s="398" t="s">
        <v>3257</v>
      </c>
      <c r="F156" s="398"/>
      <c r="G156" s="1226" t="s">
        <v>4060</v>
      </c>
    </row>
    <row r="157" spans="1:7" s="40" customFormat="1" ht="6" customHeight="1">
      <c r="A157" s="98"/>
      <c r="B157" s="396"/>
      <c r="C157" s="396"/>
      <c r="D157" s="396"/>
      <c r="E157" s="396"/>
      <c r="F157" s="397"/>
      <c r="G157" s="314"/>
    </row>
    <row r="158" spans="1:7" s="40" customFormat="1" ht="12" customHeight="1">
      <c r="A158" s="388">
        <v>18</v>
      </c>
      <c r="B158" s="415" t="s">
        <v>2425</v>
      </c>
      <c r="C158" s="1228"/>
      <c r="D158" s="1228"/>
      <c r="E158" s="398" t="s">
        <v>3416</v>
      </c>
      <c r="F158" s="394"/>
      <c r="G158" s="1226" t="s">
        <v>3465</v>
      </c>
    </row>
    <row r="159" spans="1:7" s="40" customFormat="1" ht="12" customHeight="1">
      <c r="A159" s="102"/>
      <c r="B159" s="241"/>
      <c r="C159" s="241"/>
      <c r="D159" s="241"/>
      <c r="E159" s="398" t="s">
        <v>4108</v>
      </c>
      <c r="F159" s="394"/>
      <c r="G159" s="1226" t="s">
        <v>3465</v>
      </c>
    </row>
    <row r="160" spans="1:7" s="40" customFormat="1" ht="12" customHeight="1">
      <c r="A160" s="102"/>
      <c r="B160" s="241"/>
      <c r="C160" s="241"/>
      <c r="D160" s="241"/>
      <c r="E160" s="398" t="s">
        <v>2975</v>
      </c>
      <c r="F160" s="394"/>
      <c r="G160" s="1226" t="s">
        <v>3465</v>
      </c>
    </row>
    <row r="161" spans="1:7" s="40" customFormat="1" ht="12" customHeight="1">
      <c r="A161" s="102"/>
      <c r="B161" s="241"/>
      <c r="C161" s="398"/>
      <c r="D161" s="398"/>
      <c r="E161" s="398" t="s">
        <v>3417</v>
      </c>
      <c r="F161" s="394"/>
      <c r="G161" s="1226" t="s">
        <v>3465</v>
      </c>
    </row>
    <row r="162" spans="1:7" s="40" customFormat="1" ht="12" customHeight="1">
      <c r="A162" s="102"/>
      <c r="B162" s="398"/>
      <c r="C162" s="398"/>
      <c r="D162" s="398"/>
      <c r="E162" s="398" t="s">
        <v>3418</v>
      </c>
      <c r="F162" s="394"/>
      <c r="G162" s="1226" t="s">
        <v>3465</v>
      </c>
    </row>
    <row r="163" spans="1:7" s="40" customFormat="1" ht="12" customHeight="1">
      <c r="A163" s="102"/>
      <c r="B163" s="398"/>
      <c r="C163" s="398"/>
      <c r="D163" s="398"/>
      <c r="E163" s="398" t="s">
        <v>2971</v>
      </c>
      <c r="F163" s="394"/>
      <c r="G163" s="1226" t="s">
        <v>3465</v>
      </c>
    </row>
    <row r="164" spans="1:7" s="40" customFormat="1" ht="12" customHeight="1">
      <c r="A164" s="102"/>
      <c r="B164" s="398"/>
      <c r="C164" s="398"/>
      <c r="D164" s="398"/>
      <c r="E164" s="398" t="s">
        <v>2972</v>
      </c>
      <c r="F164" s="394"/>
      <c r="G164" s="1226" t="s">
        <v>3465</v>
      </c>
    </row>
    <row r="165" spans="1:7" s="40" customFormat="1" ht="12" customHeight="1">
      <c r="A165" s="102"/>
      <c r="B165" s="398"/>
      <c r="C165" s="398"/>
      <c r="D165" s="398"/>
      <c r="E165" s="398" t="s">
        <v>3415</v>
      </c>
      <c r="F165" s="394"/>
      <c r="G165" s="1226" t="s">
        <v>3465</v>
      </c>
    </row>
    <row r="166" spans="1:7" s="40" customFormat="1" ht="12" customHeight="1">
      <c r="A166" s="102"/>
      <c r="B166" s="392"/>
      <c r="C166" s="416"/>
      <c r="D166" s="398"/>
      <c r="E166" s="399" t="s">
        <v>2152</v>
      </c>
      <c r="F166" s="394"/>
      <c r="G166" s="1226" t="s">
        <v>3465</v>
      </c>
    </row>
    <row r="167" spans="1:7" s="40" customFormat="1" ht="6" customHeight="1">
      <c r="A167" s="98"/>
      <c r="B167" s="396"/>
      <c r="C167" s="396"/>
      <c r="D167" s="396"/>
      <c r="E167" s="396"/>
      <c r="F167" s="397"/>
      <c r="G167" s="314"/>
    </row>
    <row r="168" spans="1:7" s="40" customFormat="1" ht="12.6" customHeight="1">
      <c r="A168" s="102"/>
      <c r="B168" s="410" t="s">
        <v>2787</v>
      </c>
      <c r="C168" s="1246"/>
      <c r="D168" s="1247"/>
      <c r="E168" s="1228"/>
      <c r="F168" s="394"/>
      <c r="G168" s="104"/>
    </row>
    <row r="169" spans="1:7" s="40" customFormat="1" ht="12" customHeight="1">
      <c r="A169" s="388">
        <v>19</v>
      </c>
      <c r="B169" s="1229" t="s">
        <v>2583</v>
      </c>
      <c r="C169" s="241"/>
      <c r="D169" s="1228"/>
      <c r="E169" s="400" t="s">
        <v>2788</v>
      </c>
      <c r="F169" s="394"/>
      <c r="G169" s="1226" t="s">
        <v>4060</v>
      </c>
    </row>
    <row r="170" spans="1:7" s="40" customFormat="1" ht="12" customHeight="1">
      <c r="A170" s="102"/>
      <c r="B170" s="241"/>
      <c r="C170" s="392"/>
      <c r="D170" s="1228"/>
      <c r="E170" s="881" t="s">
        <v>773</v>
      </c>
      <c r="F170" s="864"/>
      <c r="G170" s="1226" t="s">
        <v>4060</v>
      </c>
    </row>
    <row r="171" spans="1:7" s="40" customFormat="1" ht="12" customHeight="1">
      <c r="A171" s="102"/>
      <c r="B171" s="403"/>
      <c r="C171" s="1228"/>
      <c r="D171" s="1228"/>
      <c r="E171" s="400" t="s">
        <v>1542</v>
      </c>
      <c r="F171" s="394"/>
      <c r="G171" s="1226" t="s">
        <v>4060</v>
      </c>
    </row>
    <row r="172" spans="1:7" s="40" customFormat="1" ht="27" customHeight="1">
      <c r="A172" s="102"/>
      <c r="B172" s="403"/>
      <c r="C172" s="1228"/>
      <c r="D172" s="1228"/>
      <c r="E172" s="881" t="s">
        <v>611</v>
      </c>
      <c r="F172" s="864"/>
      <c r="G172" s="1226" t="s">
        <v>3465</v>
      </c>
    </row>
    <row r="173" spans="1:7" s="40" customFormat="1" ht="37.5" customHeight="1">
      <c r="A173" s="102"/>
      <c r="B173" s="403"/>
      <c r="C173" s="1228"/>
      <c r="D173" s="1228"/>
      <c r="E173" s="882" t="s">
        <v>3249</v>
      </c>
      <c r="F173" s="883"/>
      <c r="G173" s="1226" t="s">
        <v>3465</v>
      </c>
    </row>
    <row r="174" spans="1:7" s="40" customFormat="1" ht="5.45" customHeight="1">
      <c r="A174" s="102"/>
      <c r="B174" s="403"/>
      <c r="C174" s="1228"/>
      <c r="D174" s="1228"/>
      <c r="E174" s="820"/>
      <c r="F174" s="820"/>
      <c r="G174" s="1248"/>
    </row>
    <row r="175" spans="1:7" s="40" customFormat="1" ht="13.9" customHeight="1">
      <c r="A175" s="388">
        <v>20</v>
      </c>
      <c r="B175" s="1249" t="s">
        <v>555</v>
      </c>
      <c r="C175" s="241"/>
      <c r="D175" s="1229"/>
      <c r="E175" s="881" t="s">
        <v>3994</v>
      </c>
      <c r="F175" s="864"/>
      <c r="G175" s="1226" t="s">
        <v>4060</v>
      </c>
    </row>
    <row r="176" spans="1:7" s="40" customFormat="1" ht="11.25" customHeight="1">
      <c r="A176" s="388"/>
      <c r="B176" s="1249"/>
      <c r="C176" s="241"/>
      <c r="D176" s="1229"/>
      <c r="E176" s="881" t="s">
        <v>556</v>
      </c>
      <c r="F176" s="864"/>
      <c r="G176" s="1226" t="s">
        <v>4060</v>
      </c>
    </row>
    <row r="177" spans="1:7" s="40" customFormat="1" ht="5.45" customHeight="1">
      <c r="A177" s="102"/>
      <c r="B177" s="403"/>
      <c r="C177" s="1228"/>
      <c r="D177" s="1228"/>
      <c r="E177" s="820"/>
      <c r="F177" s="820"/>
      <c r="G177" s="1248"/>
    </row>
    <row r="178" spans="1:7" s="40" customFormat="1" ht="12" customHeight="1">
      <c r="A178" s="388">
        <v>21</v>
      </c>
      <c r="B178" s="1229" t="s">
        <v>612</v>
      </c>
      <c r="C178" s="241"/>
      <c r="D178" s="1229"/>
      <c r="E178" s="820" t="s">
        <v>613</v>
      </c>
      <c r="F178" s="821"/>
      <c r="G178" s="1226" t="s">
        <v>4060</v>
      </c>
    </row>
    <row r="179" spans="1:7" s="40" customFormat="1" ht="12" customHeight="1">
      <c r="A179" s="102"/>
      <c r="B179" s="1229"/>
      <c r="C179" s="241"/>
      <c r="E179" s="820" t="s">
        <v>1169</v>
      </c>
      <c r="F179" s="821"/>
      <c r="G179" s="1226" t="s">
        <v>4060</v>
      </c>
    </row>
    <row r="180" spans="1:7" s="40" customFormat="1" ht="12" customHeight="1">
      <c r="A180" s="102"/>
      <c r="B180" s="409"/>
      <c r="C180" s="241"/>
      <c r="D180" s="1229"/>
      <c r="E180" s="881" t="s">
        <v>557</v>
      </c>
      <c r="F180" s="864"/>
      <c r="G180" s="1226" t="s">
        <v>4060</v>
      </c>
    </row>
    <row r="181" spans="1:7" s="40" customFormat="1" ht="12" customHeight="1">
      <c r="A181" s="102"/>
      <c r="B181" s="409"/>
      <c r="C181" s="241"/>
      <c r="D181" s="1229"/>
      <c r="E181" s="881" t="s">
        <v>558</v>
      </c>
      <c r="F181" s="864"/>
      <c r="G181" s="1226" t="s">
        <v>4060</v>
      </c>
    </row>
    <row r="182" spans="1:7" s="40" customFormat="1" ht="6" customHeight="1">
      <c r="A182" s="102"/>
      <c r="B182" s="403"/>
      <c r="C182" s="1228"/>
      <c r="D182" s="1228"/>
      <c r="E182" s="820"/>
      <c r="F182" s="820"/>
      <c r="G182" s="1248"/>
    </row>
    <row r="183" spans="1:7" s="40" customFormat="1" ht="12" customHeight="1">
      <c r="A183" s="388">
        <v>22</v>
      </c>
      <c r="B183" s="1250" t="s">
        <v>2056</v>
      </c>
      <c r="C183" s="241"/>
      <c r="D183" s="1229"/>
      <c r="E183" s="820" t="s">
        <v>614</v>
      </c>
      <c r="F183" s="821"/>
      <c r="G183" s="1226" t="s">
        <v>3465</v>
      </c>
    </row>
    <row r="184" spans="1:7" s="40" customFormat="1" ht="26.25" customHeight="1">
      <c r="A184" s="102"/>
      <c r="B184" s="1229"/>
      <c r="C184" s="241"/>
      <c r="D184" s="1229"/>
      <c r="E184" s="881" t="s">
        <v>3209</v>
      </c>
      <c r="F184" s="864"/>
      <c r="G184" s="1226" t="s">
        <v>3465</v>
      </c>
    </row>
    <row r="185" spans="1:7" s="40" customFormat="1" ht="12" customHeight="1">
      <c r="A185" s="102"/>
      <c r="B185" s="1229"/>
      <c r="C185" s="241"/>
      <c r="D185" s="1229"/>
      <c r="E185" s="400" t="s">
        <v>615</v>
      </c>
      <c r="F185" s="398"/>
      <c r="G185" s="1226" t="s">
        <v>3465</v>
      </c>
    </row>
    <row r="186" spans="1:7" s="40" customFormat="1" ht="12" customHeight="1">
      <c r="A186" s="102"/>
      <c r="B186" s="1229"/>
      <c r="C186" s="241"/>
      <c r="D186" s="1229"/>
      <c r="E186" s="400" t="s">
        <v>616</v>
      </c>
      <c r="F186" s="398"/>
      <c r="G186" s="1226" t="s">
        <v>3465</v>
      </c>
    </row>
    <row r="187" spans="1:7" s="40" customFormat="1" ht="12" customHeight="1">
      <c r="A187" s="388"/>
      <c r="B187" s="1229"/>
      <c r="C187" s="241"/>
      <c r="D187" s="1229"/>
      <c r="E187" s="1251" t="s">
        <v>617</v>
      </c>
      <c r="F187" s="398"/>
      <c r="G187" s="1226" t="s">
        <v>3465</v>
      </c>
    </row>
    <row r="188" spans="1:7" s="40" customFormat="1" ht="6" customHeight="1">
      <c r="A188" s="102"/>
      <c r="B188" s="1229"/>
      <c r="C188" s="241"/>
      <c r="D188" s="1229"/>
      <c r="E188" s="400"/>
      <c r="F188" s="400"/>
      <c r="G188" s="150"/>
    </row>
    <row r="189" spans="1:7" s="40" customFormat="1" ht="13.5">
      <c r="A189" s="388">
        <v>23</v>
      </c>
      <c r="B189" s="1250" t="s">
        <v>3074</v>
      </c>
      <c r="C189" s="1229"/>
      <c r="D189" s="1229"/>
      <c r="E189" s="881" t="s">
        <v>3996</v>
      </c>
      <c r="F189" s="864"/>
      <c r="G189" s="1226" t="s">
        <v>3465</v>
      </c>
    </row>
    <row r="190" spans="1:7" s="40" customFormat="1" ht="12" customHeight="1">
      <c r="A190" s="102"/>
      <c r="B190" s="1229"/>
      <c r="C190" s="241"/>
      <c r="D190" s="1229"/>
      <c r="E190" s="1228" t="s">
        <v>3210</v>
      </c>
      <c r="G190" s="1226" t="s">
        <v>3465</v>
      </c>
    </row>
    <row r="191" spans="1:7" s="40" customFormat="1" ht="12" customHeight="1">
      <c r="A191" s="388"/>
      <c r="B191" s="1250"/>
      <c r="C191" s="1229"/>
      <c r="D191" s="1229"/>
      <c r="E191" s="881" t="s">
        <v>3997</v>
      </c>
      <c r="F191" s="1149"/>
      <c r="G191" s="1226" t="s">
        <v>3465</v>
      </c>
    </row>
    <row r="192" spans="1:7" s="40" customFormat="1" ht="12" customHeight="1">
      <c r="A192" s="390"/>
      <c r="B192" s="1250"/>
      <c r="C192" s="1229"/>
      <c r="D192" s="1229"/>
      <c r="E192" s="881" t="s">
        <v>3211</v>
      </c>
      <c r="F192" s="1149"/>
      <c r="G192" s="1226" t="s">
        <v>3465</v>
      </c>
    </row>
    <row r="193" spans="1:7" s="40" customFormat="1" ht="6" customHeight="1">
      <c r="A193" s="102"/>
      <c r="B193" s="1229"/>
      <c r="C193" s="241"/>
      <c r="D193" s="1229"/>
      <c r="E193" s="400"/>
      <c r="F193" s="398"/>
      <c r="G193" s="104"/>
    </row>
    <row r="194" spans="1:7" s="40" customFormat="1" ht="12" customHeight="1">
      <c r="A194" s="388">
        <v>24</v>
      </c>
      <c r="B194" s="1250" t="s">
        <v>408</v>
      </c>
      <c r="C194" s="241"/>
      <c r="D194" s="1229"/>
      <c r="E194" s="881" t="s">
        <v>559</v>
      </c>
      <c r="F194" s="864"/>
      <c r="G194" s="1226" t="s">
        <v>4060</v>
      </c>
    </row>
    <row r="195" spans="1:7" s="40" customFormat="1" ht="26.25" customHeight="1">
      <c r="A195" s="102"/>
      <c r="B195" s="1229"/>
      <c r="C195" s="241"/>
      <c r="D195" s="1229"/>
      <c r="E195" s="1252" t="s">
        <v>3995</v>
      </c>
      <c r="F195" s="1253"/>
      <c r="G195" s="1226" t="s">
        <v>4060</v>
      </c>
    </row>
    <row r="196" spans="1:7" s="40" customFormat="1" ht="6" customHeight="1">
      <c r="A196" s="98"/>
      <c r="B196" s="396"/>
      <c r="C196" s="1229"/>
      <c r="D196" s="1229"/>
      <c r="E196" s="1228"/>
      <c r="F196" s="398"/>
      <c r="G196" s="398"/>
    </row>
    <row r="197" spans="1:7" s="40" customFormat="1" ht="12" customHeight="1">
      <c r="A197" s="388">
        <v>25</v>
      </c>
      <c r="B197" s="1229" t="s">
        <v>3142</v>
      </c>
      <c r="C197" s="241"/>
      <c r="D197" s="1229"/>
      <c r="E197" s="1228" t="s">
        <v>1066</v>
      </c>
      <c r="F197" s="398"/>
      <c r="G197" s="1226" t="s">
        <v>3465</v>
      </c>
    </row>
    <row r="198" spans="1:7" s="40" customFormat="1" ht="6" customHeight="1">
      <c r="A198" s="98"/>
      <c r="B198" s="396"/>
      <c r="C198" s="1229"/>
      <c r="D198" s="1229"/>
      <c r="E198" s="1228"/>
      <c r="F198" s="398"/>
      <c r="G198" s="398"/>
    </row>
    <row r="199" spans="1:7" s="40" customFormat="1" ht="12" customHeight="1">
      <c r="A199" s="388">
        <v>26</v>
      </c>
      <c r="B199" s="1254" t="s">
        <v>1663</v>
      </c>
      <c r="C199" s="241"/>
      <c r="D199" s="397"/>
      <c r="E199" s="396"/>
      <c r="F199" s="397"/>
      <c r="G199" s="397"/>
    </row>
    <row r="200" spans="1:7" s="40" customFormat="1" ht="12" customHeight="1">
      <c r="A200" s="388"/>
      <c r="C200" s="1255" t="s">
        <v>582</v>
      </c>
      <c r="D200" s="1229"/>
      <c r="E200" s="1256" t="s">
        <v>2823</v>
      </c>
      <c r="F200" s="1257"/>
      <c r="G200" s="1226" t="s">
        <v>3465</v>
      </c>
    </row>
    <row r="201" spans="1:7" s="40" customFormat="1" ht="12" customHeight="1">
      <c r="A201" s="388"/>
      <c r="C201" s="1255"/>
      <c r="D201" s="1229"/>
      <c r="E201" s="1255" t="s">
        <v>1067</v>
      </c>
      <c r="F201" s="1258"/>
      <c r="G201" s="1226" t="s">
        <v>3465</v>
      </c>
    </row>
    <row r="202" spans="1:7" s="40" customFormat="1" ht="12" customHeight="1">
      <c r="A202" s="102"/>
      <c r="C202" s="1228"/>
      <c r="D202" s="1229"/>
      <c r="E202" s="1259" t="s">
        <v>2824</v>
      </c>
      <c r="F202" s="1260"/>
      <c r="G202" s="1226" t="s">
        <v>3465</v>
      </c>
    </row>
    <row r="203" spans="1:7" s="40" customFormat="1" ht="12" customHeight="1">
      <c r="A203" s="102"/>
      <c r="C203" s="1228"/>
      <c r="D203" s="1229"/>
      <c r="E203" s="1228" t="s">
        <v>2825</v>
      </c>
      <c r="F203" s="398"/>
      <c r="G203" s="1226" t="s">
        <v>3465</v>
      </c>
    </row>
    <row r="204" spans="1:7" s="40" customFormat="1" ht="5.45" customHeight="1">
      <c r="A204" s="98"/>
      <c r="B204" s="396"/>
      <c r="C204" s="396"/>
      <c r="D204" s="397"/>
      <c r="E204" s="396"/>
      <c r="F204" s="397"/>
      <c r="G204" s="314"/>
    </row>
    <row r="205" spans="1:7" s="40" customFormat="1" ht="12" customHeight="1">
      <c r="A205" s="102"/>
      <c r="C205" s="1228" t="s">
        <v>2441</v>
      </c>
      <c r="D205" s="1229"/>
      <c r="E205" s="1228" t="s">
        <v>3190</v>
      </c>
      <c r="F205" s="398"/>
      <c r="G205" s="1226" t="s">
        <v>3465</v>
      </c>
    </row>
    <row r="206" spans="1:7" s="40" customFormat="1" ht="12" customHeight="1">
      <c r="A206" s="102"/>
      <c r="B206" s="241"/>
      <c r="C206" s="1228"/>
      <c r="D206" s="1229"/>
      <c r="E206" s="1228" t="s">
        <v>3625</v>
      </c>
      <c r="F206" s="398"/>
      <c r="G206" s="1226" t="s">
        <v>3465</v>
      </c>
    </row>
    <row r="207" spans="1:7" s="40" customFormat="1" ht="12" customHeight="1">
      <c r="A207" s="102"/>
      <c r="B207" s="1228"/>
      <c r="C207" s="393"/>
      <c r="D207" s="1229"/>
      <c r="E207" s="1228" t="s">
        <v>1661</v>
      </c>
      <c r="F207" s="398"/>
      <c r="G207" s="1226" t="s">
        <v>3465</v>
      </c>
    </row>
    <row r="208" spans="1:7" s="40" customFormat="1" ht="12" customHeight="1">
      <c r="A208" s="102"/>
      <c r="B208" s="1228"/>
      <c r="C208" s="1237"/>
      <c r="D208" s="1229"/>
      <c r="E208" s="1228" t="s">
        <v>3141</v>
      </c>
      <c r="F208" s="398"/>
      <c r="G208" s="1226" t="s">
        <v>3465</v>
      </c>
    </row>
    <row r="209" spans="1:7" s="40" customFormat="1" ht="12" customHeight="1">
      <c r="A209" s="102"/>
      <c r="B209" s="392"/>
      <c r="C209" s="1237"/>
      <c r="D209" s="1229"/>
      <c r="E209" s="1228" t="s">
        <v>1662</v>
      </c>
      <c r="F209" s="398"/>
      <c r="G209" s="1226" t="s">
        <v>3465</v>
      </c>
    </row>
    <row r="210" spans="1:7" s="40" customFormat="1" ht="5.45" customHeight="1">
      <c r="A210" s="98"/>
      <c r="B210" s="396"/>
      <c r="C210" s="396"/>
      <c r="D210" s="397"/>
      <c r="E210" s="396"/>
      <c r="F210" s="397"/>
      <c r="G210" s="314"/>
    </row>
    <row r="211" spans="1:7" s="40" customFormat="1" ht="12" customHeight="1">
      <c r="A211" s="102"/>
      <c r="B211" s="1229"/>
      <c r="C211" s="1228" t="s">
        <v>2442</v>
      </c>
      <c r="D211" s="1229"/>
      <c r="E211" s="1228" t="s">
        <v>3718</v>
      </c>
      <c r="F211" s="398"/>
      <c r="G211" s="1226" t="s">
        <v>3465</v>
      </c>
    </row>
    <row r="212" spans="1:7" s="40" customFormat="1" ht="12" customHeight="1">
      <c r="A212" s="102"/>
      <c r="B212" s="392"/>
      <c r="C212" s="1237"/>
      <c r="D212" s="1229"/>
      <c r="E212" s="1228" t="s">
        <v>3719</v>
      </c>
      <c r="F212" s="398"/>
      <c r="G212" s="1226" t="s">
        <v>3465</v>
      </c>
    </row>
    <row r="213" spans="1:7" s="40" customFormat="1" ht="5.45" customHeight="1">
      <c r="A213" s="98"/>
      <c r="B213" s="396"/>
      <c r="C213" s="396"/>
      <c r="D213" s="397"/>
      <c r="E213" s="396"/>
      <c r="F213" s="397"/>
      <c r="G213" s="314"/>
    </row>
    <row r="214" spans="1:7" s="40" customFormat="1" ht="12" customHeight="1">
      <c r="A214" s="102"/>
      <c r="C214" s="1228" t="s">
        <v>1664</v>
      </c>
      <c r="D214" s="1229"/>
      <c r="E214" s="1228" t="s">
        <v>1665</v>
      </c>
      <c r="F214" s="398"/>
      <c r="G214" s="1226" t="s">
        <v>4060</v>
      </c>
    </row>
    <row r="215" spans="1:7" s="40" customFormat="1" ht="12" customHeight="1">
      <c r="A215" s="102"/>
      <c r="B215" s="241"/>
      <c r="C215" s="241"/>
      <c r="D215" s="1229"/>
      <c r="E215" s="1228" t="s">
        <v>1666</v>
      </c>
      <c r="F215" s="398"/>
      <c r="G215" s="1226" t="s">
        <v>4060</v>
      </c>
    </row>
    <row r="216" spans="1:7" s="40" customFormat="1" ht="12" customHeight="1">
      <c r="A216" s="102"/>
      <c r="B216" s="1228"/>
      <c r="C216" s="409"/>
      <c r="D216" s="1229"/>
      <c r="E216" s="1228" t="s">
        <v>2794</v>
      </c>
      <c r="F216" s="398"/>
      <c r="G216" s="1226" t="s">
        <v>4060</v>
      </c>
    </row>
    <row r="217" spans="1:7" s="40" customFormat="1" ht="12" customHeight="1">
      <c r="A217" s="102"/>
      <c r="B217" s="1228"/>
      <c r="C217" s="1229"/>
      <c r="D217" s="1229"/>
      <c r="E217" s="1228" t="s">
        <v>1667</v>
      </c>
      <c r="F217" s="398"/>
      <c r="G217" s="1226" t="s">
        <v>4060</v>
      </c>
    </row>
    <row r="218" spans="1:7" s="40" customFormat="1" ht="12" customHeight="1">
      <c r="A218" s="388"/>
      <c r="B218" s="392"/>
      <c r="C218" s="1229"/>
      <c r="D218" s="1229"/>
      <c r="E218" s="1228" t="s">
        <v>1668</v>
      </c>
      <c r="F218" s="398"/>
      <c r="G218" s="1226" t="s">
        <v>4060</v>
      </c>
    </row>
    <row r="219" spans="1:7" s="40" customFormat="1" ht="12" customHeight="1">
      <c r="A219" s="102"/>
      <c r="B219" s="392"/>
      <c r="C219" s="1229"/>
      <c r="D219" s="1229"/>
      <c r="E219" s="1228" t="s">
        <v>1669</v>
      </c>
      <c r="F219" s="398"/>
      <c r="G219" s="1226" t="s">
        <v>4060</v>
      </c>
    </row>
    <row r="220" spans="1:7" s="40" customFormat="1" ht="6" customHeight="1">
      <c r="A220" s="102"/>
      <c r="B220" s="392"/>
      <c r="C220" s="1229"/>
      <c r="D220" s="1229"/>
      <c r="E220" s="1228"/>
      <c r="F220" s="398"/>
      <c r="G220" s="632"/>
    </row>
    <row r="221" spans="1:7" s="40" customFormat="1" ht="12" customHeight="1">
      <c r="A221" s="388">
        <v>27</v>
      </c>
      <c r="B221" s="1229" t="s">
        <v>2994</v>
      </c>
      <c r="C221" s="241"/>
      <c r="D221" s="1229"/>
      <c r="E221" s="1228" t="s">
        <v>1670</v>
      </c>
      <c r="F221" s="398"/>
      <c r="G221" s="1226" t="s">
        <v>3465</v>
      </c>
    </row>
    <row r="222" spans="1:7" s="40" customFormat="1" ht="6" customHeight="1">
      <c r="A222" s="102"/>
      <c r="B222" s="392"/>
      <c r="C222" s="1229"/>
      <c r="D222" s="1229"/>
      <c r="E222" s="1228"/>
      <c r="F222" s="398"/>
      <c r="G222" s="632"/>
    </row>
    <row r="223" spans="1:7" s="40" customFormat="1" ht="12" customHeight="1">
      <c r="A223" s="388">
        <v>28</v>
      </c>
      <c r="B223" s="1229" t="s">
        <v>2055</v>
      </c>
      <c r="C223" s="241"/>
      <c r="D223" s="1229"/>
      <c r="E223" s="1228" t="s">
        <v>1341</v>
      </c>
      <c r="F223" s="398"/>
      <c r="G223" s="1226" t="s">
        <v>3465</v>
      </c>
    </row>
    <row r="224" spans="1:7" s="40" customFormat="1" ht="6" customHeight="1">
      <c r="A224" s="102"/>
      <c r="B224" s="392"/>
      <c r="C224" s="1229"/>
      <c r="D224" s="1229"/>
      <c r="E224" s="1228"/>
      <c r="F224" s="398"/>
      <c r="G224" s="632"/>
    </row>
    <row r="225" spans="1:7" s="40" customFormat="1" ht="5.45" customHeight="1">
      <c r="A225" s="98"/>
      <c r="B225" s="396"/>
      <c r="C225" s="396"/>
      <c r="D225" s="396"/>
      <c r="E225" s="396"/>
      <c r="F225" s="397"/>
      <c r="G225" s="314"/>
    </row>
    <row r="226" spans="1:7" s="40" customFormat="1" ht="12" customHeight="1">
      <c r="A226" s="388">
        <v>29</v>
      </c>
      <c r="B226" s="1229" t="s">
        <v>245</v>
      </c>
      <c r="C226" s="241"/>
      <c r="D226" s="1229"/>
      <c r="E226" s="1261" t="s">
        <v>1671</v>
      </c>
      <c r="F226" s="1262"/>
      <c r="G226" s="1226" t="s">
        <v>4060</v>
      </c>
    </row>
    <row r="227" spans="1:7" s="40" customFormat="1" ht="12" customHeight="1">
      <c r="A227" s="388"/>
      <c r="B227" s="241"/>
      <c r="C227" s="241"/>
      <c r="D227" s="1229"/>
      <c r="E227" s="395" t="s">
        <v>3216</v>
      </c>
      <c r="F227" s="821"/>
      <c r="G227" s="1226" t="s">
        <v>3465</v>
      </c>
    </row>
    <row r="228" spans="1:7" s="40" customFormat="1" ht="26.25" customHeight="1">
      <c r="A228" s="390"/>
      <c r="B228" s="241"/>
      <c r="C228" s="241"/>
      <c r="D228" s="1229"/>
      <c r="E228" s="881" t="s">
        <v>3217</v>
      </c>
      <c r="F228" s="864"/>
      <c r="G228" s="1226" t="s">
        <v>4060</v>
      </c>
    </row>
    <row r="229" spans="1:7" s="40" customFormat="1" ht="6" customHeight="1">
      <c r="A229" s="102"/>
      <c r="B229" s="392"/>
      <c r="C229" s="1229"/>
      <c r="D229" s="1229"/>
      <c r="E229" s="1228"/>
      <c r="F229" s="398"/>
      <c r="G229" s="104"/>
    </row>
    <row r="230" spans="1:7" s="40" customFormat="1" ht="13.15" customHeight="1">
      <c r="A230" s="388">
        <v>30</v>
      </c>
      <c r="B230" s="1229" t="s">
        <v>1701</v>
      </c>
      <c r="E230" s="1263" t="s">
        <v>101</v>
      </c>
      <c r="F230" s="1263"/>
      <c r="G230" s="1226"/>
    </row>
    <row r="231" spans="1:7" s="40" customFormat="1" ht="12.6" customHeight="1">
      <c r="A231" s="102"/>
      <c r="C231" s="1264" t="s">
        <v>2584</v>
      </c>
      <c r="D231" s="1149"/>
      <c r="E231" s="1265"/>
      <c r="F231" s="1265"/>
      <c r="G231" s="1266"/>
    </row>
    <row r="232" spans="1:7" s="40" customFormat="1" ht="12.6" customHeight="1">
      <c r="A232" s="102"/>
      <c r="C232" s="1264"/>
      <c r="D232" s="1149"/>
      <c r="E232" s="1265"/>
      <c r="F232" s="1265"/>
      <c r="G232" s="1266"/>
    </row>
    <row r="233" spans="1:7" s="40" customFormat="1" ht="12.6" customHeight="1">
      <c r="A233" s="102"/>
      <c r="C233" s="1264"/>
      <c r="D233" s="1149"/>
      <c r="E233" s="1265"/>
      <c r="F233" s="1265"/>
      <c r="G233" s="1266"/>
    </row>
    <row r="234" spans="1:7" s="40" customFormat="1" ht="12.6" customHeight="1">
      <c r="A234" s="102"/>
      <c r="C234" s="1264"/>
      <c r="D234" s="1149"/>
      <c r="E234" s="1265"/>
      <c r="F234" s="1265"/>
      <c r="G234" s="1266"/>
    </row>
    <row r="235" spans="1:7" s="40" customFormat="1" ht="12.6" customHeight="1">
      <c r="A235" s="102"/>
      <c r="C235" s="1148"/>
      <c r="D235" s="1149"/>
      <c r="E235" s="1267"/>
      <c r="F235" s="1267"/>
      <c r="G235" s="1266"/>
    </row>
    <row r="236" spans="1:7" s="40" customFormat="1" ht="5.45" customHeight="1">
      <c r="A236" s="98"/>
      <c r="B236" s="396"/>
      <c r="C236" s="396"/>
      <c r="D236" s="396"/>
      <c r="E236" s="396"/>
      <c r="F236" s="397"/>
      <c r="G236" s="314"/>
    </row>
    <row r="237" spans="1:7" s="40" customFormat="1" ht="12" customHeight="1">
      <c r="A237" s="388">
        <v>31</v>
      </c>
      <c r="B237" s="407" t="s">
        <v>3758</v>
      </c>
      <c r="C237" s="241"/>
      <c r="D237" s="394"/>
      <c r="E237" s="1228" t="s">
        <v>3138</v>
      </c>
      <c r="F237" s="400"/>
      <c r="G237" s="1226" t="s">
        <v>4060</v>
      </c>
    </row>
    <row r="238" spans="1:7" s="40" customFormat="1" ht="6" customHeight="1">
      <c r="A238" s="98"/>
      <c r="B238" s="396"/>
      <c r="C238" s="241"/>
      <c r="D238" s="396"/>
      <c r="E238" s="396"/>
      <c r="F238" s="397"/>
      <c r="G238" s="314"/>
    </row>
    <row r="239" spans="1:7" s="40" customFormat="1" ht="13.9" customHeight="1">
      <c r="A239" s="388">
        <v>32</v>
      </c>
      <c r="B239" s="407" t="s">
        <v>652</v>
      </c>
      <c r="C239" s="241"/>
      <c r="D239" s="394"/>
      <c r="E239" s="394" t="s">
        <v>218</v>
      </c>
      <c r="F239" s="394"/>
      <c r="G239" s="1226" t="s">
        <v>4060</v>
      </c>
    </row>
    <row r="240" spans="1:7" s="40" customFormat="1" ht="6" customHeight="1">
      <c r="A240" s="98"/>
      <c r="B240" s="396"/>
      <c r="C240" s="241"/>
      <c r="D240" s="396"/>
      <c r="E240" s="396"/>
      <c r="F240" s="397"/>
      <c r="G240" s="314"/>
    </row>
    <row r="241" spans="1:7" s="40" customFormat="1" ht="12" customHeight="1">
      <c r="A241" s="388">
        <v>33</v>
      </c>
      <c r="B241" s="407" t="s">
        <v>236</v>
      </c>
      <c r="C241" s="241"/>
      <c r="D241" s="394"/>
      <c r="E241" s="881" t="s">
        <v>1119</v>
      </c>
      <c r="F241" s="986"/>
      <c r="G241" s="1226" t="s">
        <v>4060</v>
      </c>
    </row>
    <row r="242" spans="1:7" s="40" customFormat="1" ht="12" customHeight="1">
      <c r="A242" s="102"/>
      <c r="B242" s="394"/>
      <c r="C242" s="393"/>
      <c r="D242" s="1228"/>
      <c r="E242" s="394" t="s">
        <v>211</v>
      </c>
      <c r="F242" s="394"/>
      <c r="G242" s="1226" t="s">
        <v>4060</v>
      </c>
    </row>
    <row r="243" spans="1:7" s="40" customFormat="1" ht="6" customHeight="1">
      <c r="A243" s="105"/>
      <c r="B243" s="392"/>
      <c r="C243" s="1229"/>
      <c r="D243" s="1229"/>
      <c r="E243" s="1228"/>
      <c r="F243" s="398"/>
      <c r="G243" s="104"/>
    </row>
    <row r="244" spans="1:7" s="40" customFormat="1" ht="26.45" customHeight="1">
      <c r="A244" s="1268" t="s">
        <v>3998</v>
      </c>
      <c r="B244" s="1269"/>
      <c r="C244" s="1269"/>
      <c r="D244" s="1269"/>
      <c r="E244" s="1269"/>
      <c r="F244" s="1269"/>
      <c r="G244" s="1270"/>
    </row>
  </sheetData>
  <sheetProtection sheet="1" objects="1" scenarios="1"/>
  <mergeCells count="42">
    <mergeCell ref="A244:G244"/>
    <mergeCell ref="E184:F184"/>
    <mergeCell ref="E241:F241"/>
    <mergeCell ref="E189:F189"/>
    <mergeCell ref="C231:D235"/>
    <mergeCell ref="E202:F202"/>
    <mergeCell ref="E228:F228"/>
    <mergeCell ref="E192:F192"/>
    <mergeCell ref="E226:F226"/>
    <mergeCell ref="E195:F195"/>
    <mergeCell ref="E175:F175"/>
    <mergeCell ref="E191:F191"/>
    <mergeCell ref="E194:F194"/>
    <mergeCell ref="E181:F181"/>
    <mergeCell ref="E54:F54"/>
    <mergeCell ref="E66:F66"/>
    <mergeCell ref="E121:F121"/>
    <mergeCell ref="E112:F112"/>
    <mergeCell ref="E88:F88"/>
    <mergeCell ref="E65:F65"/>
    <mergeCell ref="E47:F47"/>
    <mergeCell ref="E50:F50"/>
    <mergeCell ref="E44:F44"/>
    <mergeCell ref="C56:D57"/>
    <mergeCell ref="E200:F200"/>
    <mergeCell ref="E176:F176"/>
    <mergeCell ref="E170:F170"/>
    <mergeCell ref="B132:D134"/>
    <mergeCell ref="E137:F137"/>
    <mergeCell ref="E172:F172"/>
    <mergeCell ref="E122:F122"/>
    <mergeCell ref="D97:D99"/>
    <mergeCell ref="B44:C44"/>
    <mergeCell ref="E61:F61"/>
    <mergeCell ref="E173:F173"/>
    <mergeCell ref="E180:F180"/>
    <mergeCell ref="E38:F38"/>
    <mergeCell ref="A1:G1"/>
    <mergeCell ref="A2:G2"/>
    <mergeCell ref="B4:D6"/>
    <mergeCell ref="E4:F6"/>
    <mergeCell ref="A3:G3"/>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ol min="76" max="81" width="12.5703125" style="759" customWidth="1"/>
    <col min="82" max="180" width="9.140625" style="759"/>
    <col min="181" max="197" width="9.140625" style="778"/>
    <col min="198" max="203" width="9.140625" style="759"/>
    <col min="204" max="204" width="9.140625" style="783"/>
    <col min="205" max="219" width="9.140625" style="759"/>
    <col min="220" max="221" width="9.140625" style="783"/>
    <col min="222" max="223" width="9.140625" style="759"/>
    <col min="224" max="255" width="9.140625" style="200"/>
    <col min="256" max="16384" width="9.140625" style="111"/>
  </cols>
  <sheetData>
    <row r="1" spans="1:255" s="120" customFormat="1" ht="13.9" customHeight="1">
      <c r="A1" s="991" t="str">
        <f>CONCATENATE("PART SIX - PROJECTED REVENUES &amp; EXPENSES","  -  ",'Part I-Project Information'!$O$4," ",'Part I-Project Information'!$F$22,", ",'Part I-Project Information'!F24,", ",'Part I-Project Information'!J25," County")</f>
        <v>PART SIX - PROJECTED REVENUES &amp; EXPENSES  -  2012-052 Freedom's Path I, Augusta, Richmond County</v>
      </c>
      <c r="B1" s="992"/>
      <c r="C1" s="992"/>
      <c r="D1" s="992"/>
      <c r="E1" s="992"/>
      <c r="F1" s="992"/>
      <c r="G1" s="992"/>
      <c r="H1" s="992"/>
      <c r="I1" s="992"/>
      <c r="J1" s="992"/>
      <c r="K1" s="992"/>
      <c r="L1" s="992"/>
      <c r="M1" s="992"/>
      <c r="N1" s="992"/>
      <c r="O1" s="992"/>
      <c r="P1" s="993"/>
      <c r="T1" s="1098" t="str">
        <f>A1</f>
        <v>PART SIX - PROJECTED REVENUES &amp; EXPENSES  -  2012-052 Freedom's Path I, Augusta, Richmond County</v>
      </c>
      <c r="U1" s="1098"/>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839</v>
      </c>
      <c r="B3" s="5" t="s">
        <v>2843</v>
      </c>
      <c r="C3" s="2"/>
      <c r="E3" s="187" t="s">
        <v>3864</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639</v>
      </c>
      <c r="FB3" s="775" t="s">
        <v>2935</v>
      </c>
      <c r="FC3" s="775" t="s">
        <v>2936</v>
      </c>
      <c r="FD3" s="775" t="s">
        <v>2937</v>
      </c>
      <c r="FE3" s="775" t="s">
        <v>2938</v>
      </c>
      <c r="FF3" s="777"/>
      <c r="FG3" s="777"/>
      <c r="FH3" s="777"/>
      <c r="FI3" s="777"/>
      <c r="FJ3" s="777"/>
      <c r="FK3" s="775" t="s">
        <v>639</v>
      </c>
      <c r="FL3" s="775" t="s">
        <v>2935</v>
      </c>
      <c r="FM3" s="775" t="s">
        <v>2936</v>
      </c>
      <c r="FN3" s="775" t="s">
        <v>2937</v>
      </c>
      <c r="FO3" s="775" t="s">
        <v>2938</v>
      </c>
      <c r="FP3" s="775" t="s">
        <v>639</v>
      </c>
      <c r="FQ3" s="775" t="s">
        <v>2935</v>
      </c>
      <c r="FR3" s="775" t="s">
        <v>2936</v>
      </c>
      <c r="FS3" s="775" t="s">
        <v>2937</v>
      </c>
      <c r="FT3" s="775" t="s">
        <v>2938</v>
      </c>
      <c r="FU3" s="775" t="s">
        <v>639</v>
      </c>
      <c r="FV3" s="775" t="s">
        <v>2935</v>
      </c>
      <c r="FW3" s="775" t="s">
        <v>2936</v>
      </c>
      <c r="FX3" s="775" t="s">
        <v>2937</v>
      </c>
      <c r="FY3" s="775" t="s">
        <v>2938</v>
      </c>
      <c r="FZ3" s="775" t="s">
        <v>639</v>
      </c>
      <c r="GA3" s="775" t="s">
        <v>2935</v>
      </c>
      <c r="GB3" s="775" t="s">
        <v>2936</v>
      </c>
      <c r="GC3" s="775" t="s">
        <v>2937</v>
      </c>
      <c r="GD3" s="775" t="s">
        <v>2938</v>
      </c>
      <c r="GE3" s="775" t="s">
        <v>639</v>
      </c>
      <c r="GF3" s="775" t="s">
        <v>2935</v>
      </c>
      <c r="GG3" s="775" t="s">
        <v>2936</v>
      </c>
      <c r="GH3" s="775" t="s">
        <v>2937</v>
      </c>
      <c r="GI3" s="775" t="s">
        <v>2938</v>
      </c>
      <c r="GJ3" s="775" t="s">
        <v>639</v>
      </c>
      <c r="GK3" s="775" t="s">
        <v>2935</v>
      </c>
      <c r="GL3" s="775" t="s">
        <v>2936</v>
      </c>
      <c r="GM3" s="775" t="s">
        <v>2937</v>
      </c>
      <c r="GN3" s="775" t="s">
        <v>2938</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86" t="s">
        <v>932</v>
      </c>
      <c r="W4" s="1086" t="s">
        <v>906</v>
      </c>
      <c r="X4" s="1086" t="s">
        <v>907</v>
      </c>
      <c r="Y4" s="1086" t="s">
        <v>908</v>
      </c>
      <c r="Z4" s="1086" t="s">
        <v>909</v>
      </c>
      <c r="AA4" s="1086" t="s">
        <v>933</v>
      </c>
      <c r="AB4" s="1086" t="s">
        <v>3055</v>
      </c>
      <c r="AC4" s="1086" t="s">
        <v>3056</v>
      </c>
      <c r="AD4" s="1086" t="s">
        <v>3057</v>
      </c>
      <c r="AE4" s="1086" t="s">
        <v>3058</v>
      </c>
      <c r="AF4" s="1086" t="s">
        <v>934</v>
      </c>
      <c r="AG4" s="1086" t="s">
        <v>3059</v>
      </c>
      <c r="AH4" s="1086" t="s">
        <v>3060</v>
      </c>
      <c r="AI4" s="1086" t="s">
        <v>3061</v>
      </c>
      <c r="AJ4" s="1086" t="s">
        <v>3062</v>
      </c>
      <c r="AK4" s="1086" t="s">
        <v>1646</v>
      </c>
      <c r="AL4" s="1086" t="s">
        <v>3063</v>
      </c>
      <c r="AM4" s="1086" t="s">
        <v>3064</v>
      </c>
      <c r="AN4" s="1086" t="s">
        <v>3065</v>
      </c>
      <c r="AO4" s="1086" t="s">
        <v>1243</v>
      </c>
      <c r="AP4" s="1086" t="s">
        <v>760</v>
      </c>
      <c r="AQ4" s="1086" t="s">
        <v>761</v>
      </c>
      <c r="AR4" s="1086" t="s">
        <v>787</v>
      </c>
      <c r="AS4" s="1086" t="s">
        <v>788</v>
      </c>
      <c r="AT4" s="1086" t="s">
        <v>789</v>
      </c>
      <c r="AU4" s="1086" t="s">
        <v>790</v>
      </c>
      <c r="AV4" s="1086" t="s">
        <v>791</v>
      </c>
      <c r="AW4" s="1086" t="s">
        <v>792</v>
      </c>
      <c r="AX4" s="1086" t="s">
        <v>793</v>
      </c>
      <c r="AY4" s="1086" t="s">
        <v>794</v>
      </c>
      <c r="AZ4" s="1086" t="s">
        <v>795</v>
      </c>
      <c r="BA4" s="1086" t="s">
        <v>796</v>
      </c>
      <c r="BB4" s="1086" t="s">
        <v>945</v>
      </c>
      <c r="BC4" s="1086" t="s">
        <v>946</v>
      </c>
      <c r="BD4" s="1086" t="s">
        <v>947</v>
      </c>
      <c r="BE4" s="1086" t="s">
        <v>656</v>
      </c>
      <c r="BF4" s="1086" t="s">
        <v>657</v>
      </c>
      <c r="BG4" s="1086" t="s">
        <v>658</v>
      </c>
      <c r="BH4" s="1086" t="s">
        <v>659</v>
      </c>
      <c r="BI4" s="1086" t="s">
        <v>660</v>
      </c>
      <c r="BJ4" s="1086" t="s">
        <v>190</v>
      </c>
      <c r="BK4" s="1086" t="s">
        <v>191</v>
      </c>
      <c r="BL4" s="1086" t="s">
        <v>192</v>
      </c>
      <c r="BM4" s="1086" t="s">
        <v>193</v>
      </c>
      <c r="BN4" s="1086" t="s">
        <v>194</v>
      </c>
      <c r="BO4" s="1086" t="s">
        <v>195</v>
      </c>
      <c r="BP4" s="1086" t="s">
        <v>196</v>
      </c>
      <c r="BQ4" s="1086" t="s">
        <v>197</v>
      </c>
      <c r="BR4" s="1086" t="s">
        <v>198</v>
      </c>
      <c r="BS4" s="1086" t="s">
        <v>199</v>
      </c>
      <c r="BT4" s="1086" t="s">
        <v>2925</v>
      </c>
      <c r="BU4" s="1086" t="s">
        <v>2926</v>
      </c>
      <c r="BV4" s="1086" t="s">
        <v>2927</v>
      </c>
      <c r="BW4" s="1086" t="s">
        <v>2928</v>
      </c>
      <c r="BX4" s="1086" t="s">
        <v>2929</v>
      </c>
      <c r="BY4" s="1086" t="s">
        <v>1632</v>
      </c>
      <c r="BZ4" s="1086" t="s">
        <v>1246</v>
      </c>
      <c r="CA4" s="1086" t="s">
        <v>1247</v>
      </c>
      <c r="CB4" s="1086" t="s">
        <v>1309</v>
      </c>
      <c r="CC4" s="1086" t="s">
        <v>1310</v>
      </c>
      <c r="CD4" s="1100" t="s">
        <v>1649</v>
      </c>
      <c r="CE4" s="1100" t="s">
        <v>1311</v>
      </c>
      <c r="CF4" s="1100" t="s">
        <v>1312</v>
      </c>
      <c r="CG4" s="1100" t="s">
        <v>1313</v>
      </c>
      <c r="CH4" s="1100" t="s">
        <v>1314</v>
      </c>
      <c r="CI4" s="1100" t="s">
        <v>1648</v>
      </c>
      <c r="CJ4" s="1100" t="s">
        <v>924</v>
      </c>
      <c r="CK4" s="1100" t="s">
        <v>925</v>
      </c>
      <c r="CL4" s="1100" t="s">
        <v>926</v>
      </c>
      <c r="CM4" s="1100" t="s">
        <v>927</v>
      </c>
      <c r="CN4" s="1100" t="s">
        <v>1647</v>
      </c>
      <c r="CO4" s="1100" t="s">
        <v>928</v>
      </c>
      <c r="CP4" s="1100" t="s">
        <v>929</v>
      </c>
      <c r="CQ4" s="1100" t="s">
        <v>930</v>
      </c>
      <c r="CR4" s="1100" t="s">
        <v>931</v>
      </c>
      <c r="CS4" s="1100" t="s">
        <v>990</v>
      </c>
      <c r="CT4" s="1100" t="s">
        <v>991</v>
      </c>
      <c r="CU4" s="1100" t="s">
        <v>992</v>
      </c>
      <c r="CV4" s="1100" t="s">
        <v>993</v>
      </c>
      <c r="CW4" s="1100" t="s">
        <v>994</v>
      </c>
      <c r="CX4" s="1100" t="s">
        <v>3017</v>
      </c>
      <c r="CY4" s="1100" t="s">
        <v>3018</v>
      </c>
      <c r="CZ4" s="1100" t="s">
        <v>3019</v>
      </c>
      <c r="DA4" s="1100" t="s">
        <v>3020</v>
      </c>
      <c r="DB4" s="1100" t="s">
        <v>2924</v>
      </c>
      <c r="DC4" s="1100" t="s">
        <v>3376</v>
      </c>
      <c r="DD4" s="1100" t="s">
        <v>3377</v>
      </c>
      <c r="DE4" s="1100" t="s">
        <v>3378</v>
      </c>
      <c r="DF4" s="1100" t="s">
        <v>3379</v>
      </c>
      <c r="DG4" s="1100" t="s">
        <v>3380</v>
      </c>
      <c r="DH4" s="1100" t="s">
        <v>572</v>
      </c>
      <c r="DI4" s="1100" t="s">
        <v>573</v>
      </c>
      <c r="DJ4" s="1100" t="s">
        <v>574</v>
      </c>
      <c r="DK4" s="1100" t="s">
        <v>575</v>
      </c>
      <c r="DL4" s="1100" t="s">
        <v>576</v>
      </c>
      <c r="DM4" s="1100" t="s">
        <v>1524</v>
      </c>
      <c r="DN4" s="1100" t="s">
        <v>1525</v>
      </c>
      <c r="DO4" s="1100" t="s">
        <v>1526</v>
      </c>
      <c r="DP4" s="1100" t="s">
        <v>1527</v>
      </c>
      <c r="DQ4" s="1100" t="s">
        <v>1528</v>
      </c>
      <c r="DR4" s="1100" t="s">
        <v>2065</v>
      </c>
      <c r="DS4" s="1100" t="s">
        <v>2066</v>
      </c>
      <c r="DT4" s="1100" t="s">
        <v>2067</v>
      </c>
      <c r="DU4" s="1100" t="s">
        <v>251</v>
      </c>
      <c r="DV4" s="1100" t="s">
        <v>252</v>
      </c>
      <c r="DW4" s="1100" t="s">
        <v>2145</v>
      </c>
      <c r="DX4" s="1100" t="s">
        <v>804</v>
      </c>
      <c r="DY4" s="1100" t="s">
        <v>805</v>
      </c>
      <c r="DZ4" s="1100" t="s">
        <v>806</v>
      </c>
      <c r="EA4" s="1100" t="s">
        <v>807</v>
      </c>
      <c r="EB4" s="1100" t="s">
        <v>1529</v>
      </c>
      <c r="EC4" s="1100" t="s">
        <v>1530</v>
      </c>
      <c r="ED4" s="1100" t="s">
        <v>1531</v>
      </c>
      <c r="EE4" s="1100" t="s">
        <v>1532</v>
      </c>
      <c r="EF4" s="1100" t="s">
        <v>1533</v>
      </c>
      <c r="EG4" s="1100" t="s">
        <v>653</v>
      </c>
      <c r="EH4" s="1100" t="s">
        <v>568</v>
      </c>
      <c r="EI4" s="1100" t="s">
        <v>569</v>
      </c>
      <c r="EJ4" s="1100" t="s">
        <v>570</v>
      </c>
      <c r="EK4" s="1100" t="s">
        <v>571</v>
      </c>
      <c r="EL4" s="1100" t="s">
        <v>2957</v>
      </c>
      <c r="EM4" s="1100" t="s">
        <v>2958</v>
      </c>
      <c r="EN4" s="1100" t="s">
        <v>2959</v>
      </c>
      <c r="EO4" s="1100" t="s">
        <v>3432</v>
      </c>
      <c r="EP4" s="1100" t="s">
        <v>3433</v>
      </c>
      <c r="EQ4" s="1100" t="s">
        <v>1534</v>
      </c>
      <c r="ER4" s="1100" t="s">
        <v>1535</v>
      </c>
      <c r="ES4" s="1100" t="s">
        <v>1536</v>
      </c>
      <c r="ET4" s="1100" t="s">
        <v>1537</v>
      </c>
      <c r="EU4" s="1100" t="s">
        <v>1538</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100" t="s">
        <v>1865</v>
      </c>
      <c r="GP4" s="1100" t="s">
        <v>3821</v>
      </c>
      <c r="GQ4" s="1100" t="s">
        <v>3822</v>
      </c>
      <c r="GR4" s="1100" t="s">
        <v>457</v>
      </c>
      <c r="GS4" s="1100" t="s">
        <v>458</v>
      </c>
      <c r="GT4" s="1100" t="s">
        <v>459</v>
      </c>
      <c r="GU4" s="1100" t="s">
        <v>460</v>
      </c>
      <c r="GV4" s="1100" t="s">
        <v>461</v>
      </c>
      <c r="GW4" s="1100" t="s">
        <v>462</v>
      </c>
      <c r="GX4" s="1100" t="s">
        <v>463</v>
      </c>
      <c r="GY4" s="1100" t="s">
        <v>2040</v>
      </c>
      <c r="GZ4" s="1100" t="s">
        <v>2041</v>
      </c>
      <c r="HA4" s="1100" t="s">
        <v>2042</v>
      </c>
      <c r="HB4" s="1100" t="s">
        <v>2043</v>
      </c>
      <c r="HC4" s="1100" t="s">
        <v>2044</v>
      </c>
      <c r="HD4" s="1100" t="s">
        <v>2045</v>
      </c>
      <c r="HE4" s="1100" t="s">
        <v>2046</v>
      </c>
      <c r="HF4" s="1100" t="s">
        <v>2047</v>
      </c>
      <c r="HG4" s="1100" t="s">
        <v>2048</v>
      </c>
      <c r="HH4" s="1100" t="s">
        <v>2049</v>
      </c>
      <c r="HI4" s="1100" t="s">
        <v>2050</v>
      </c>
      <c r="HJ4" s="1100" t="s">
        <v>2051</v>
      </c>
      <c r="HK4" s="1100" t="s">
        <v>2052</v>
      </c>
      <c r="HL4" s="1100" t="s">
        <v>2053</v>
      </c>
      <c r="HM4" s="1100" t="s">
        <v>2054</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328</v>
      </c>
      <c r="D5" s="2"/>
      <c r="E5" s="5"/>
      <c r="F5" s="2"/>
      <c r="G5" s="1499"/>
      <c r="N5" s="854" t="s">
        <v>786</v>
      </c>
      <c r="P5" s="848" t="s">
        <v>1116</v>
      </c>
      <c r="Q5" s="672"/>
      <c r="R5" s="672"/>
      <c r="S5" s="672"/>
      <c r="V5" s="1086"/>
      <c r="W5" s="1086"/>
      <c r="X5" s="1086"/>
      <c r="Y5" s="1086"/>
      <c r="Z5" s="1086"/>
      <c r="AA5" s="1086"/>
      <c r="AB5" s="1086"/>
      <c r="AC5" s="1086"/>
      <c r="AD5" s="1086"/>
      <c r="AE5" s="1086"/>
      <c r="AF5" s="1086"/>
      <c r="AG5" s="1086"/>
      <c r="AH5" s="1086"/>
      <c r="AI5" s="1086"/>
      <c r="AJ5" s="1086"/>
      <c r="AK5" s="1086"/>
      <c r="AL5" s="1086"/>
      <c r="AM5" s="1086"/>
      <c r="AN5" s="1086"/>
      <c r="AO5" s="1086"/>
      <c r="AP5" s="1086"/>
      <c r="AQ5" s="1086"/>
      <c r="AR5" s="1086"/>
      <c r="AS5" s="1086"/>
      <c r="AT5" s="1086"/>
      <c r="AU5" s="1086"/>
      <c r="AV5" s="1086"/>
      <c r="AW5" s="1086"/>
      <c r="AX5" s="1086"/>
      <c r="AY5" s="1086"/>
      <c r="AZ5" s="1086"/>
      <c r="BA5" s="1086"/>
      <c r="BB5" s="1086"/>
      <c r="BC5" s="1086"/>
      <c r="BD5" s="1086"/>
      <c r="BE5" s="1086"/>
      <c r="BF5" s="1086"/>
      <c r="BG5" s="1086"/>
      <c r="BH5" s="1086"/>
      <c r="BI5" s="1086"/>
      <c r="BJ5" s="1086"/>
      <c r="BK5" s="1086"/>
      <c r="BL5" s="1086"/>
      <c r="BM5" s="1086"/>
      <c r="BN5" s="1086"/>
      <c r="BO5" s="1086"/>
      <c r="BP5" s="1086"/>
      <c r="BQ5" s="1086"/>
      <c r="BR5" s="1086"/>
      <c r="BS5" s="1086"/>
      <c r="BT5" s="1086"/>
      <c r="BU5" s="1086"/>
      <c r="BV5" s="1086"/>
      <c r="BW5" s="1086"/>
      <c r="BX5" s="1086"/>
      <c r="BY5" s="1086"/>
      <c r="BZ5" s="1086"/>
      <c r="CA5" s="1086"/>
      <c r="CB5" s="1086"/>
      <c r="CC5" s="1086"/>
      <c r="CD5" s="1100"/>
      <c r="CE5" s="1100"/>
      <c r="CF5" s="1100"/>
      <c r="CG5" s="1100"/>
      <c r="CH5" s="1100"/>
      <c r="CI5" s="1100"/>
      <c r="CJ5" s="1100"/>
      <c r="CK5" s="1100"/>
      <c r="CL5" s="1100"/>
      <c r="CM5" s="1100"/>
      <c r="CN5" s="1100"/>
      <c r="CO5" s="1100"/>
      <c r="CP5" s="1100"/>
      <c r="CQ5" s="1100"/>
      <c r="CR5" s="1100"/>
      <c r="CS5" s="1100"/>
      <c r="CT5" s="1100"/>
      <c r="CU5" s="1100"/>
      <c r="CV5" s="1100"/>
      <c r="CW5" s="1100"/>
      <c r="CX5" s="1100"/>
      <c r="CY5" s="1100"/>
      <c r="CZ5" s="1100"/>
      <c r="DA5" s="1100"/>
      <c r="DB5" s="1100"/>
      <c r="DC5" s="1100"/>
      <c r="DD5" s="1100"/>
      <c r="DE5" s="1100"/>
      <c r="DF5" s="1100"/>
      <c r="DG5" s="1100"/>
      <c r="DH5" s="1100"/>
      <c r="DI5" s="1100"/>
      <c r="DJ5" s="1100"/>
      <c r="DK5" s="1100"/>
      <c r="DL5" s="1100"/>
      <c r="DM5" s="1100"/>
      <c r="DN5" s="1100"/>
      <c r="DO5" s="1100"/>
      <c r="DP5" s="1100"/>
      <c r="DQ5" s="1100"/>
      <c r="DR5" s="1100"/>
      <c r="DS5" s="1100"/>
      <c r="DT5" s="1100"/>
      <c r="DU5" s="1100"/>
      <c r="DV5" s="1100"/>
      <c r="DW5" s="1100"/>
      <c r="DX5" s="1100"/>
      <c r="DY5" s="1100"/>
      <c r="DZ5" s="1100"/>
      <c r="EA5" s="1100"/>
      <c r="EB5" s="1100"/>
      <c r="EC5" s="1100"/>
      <c r="ED5" s="1100"/>
      <c r="EE5" s="1100"/>
      <c r="EF5" s="1100"/>
      <c r="EG5" s="1100"/>
      <c r="EH5" s="1100"/>
      <c r="EI5" s="1100"/>
      <c r="EJ5" s="1100"/>
      <c r="EK5" s="1100"/>
      <c r="EL5" s="1100"/>
      <c r="EM5" s="1100"/>
      <c r="EN5" s="1100"/>
      <c r="EO5" s="1100"/>
      <c r="EP5" s="1100"/>
      <c r="EQ5" s="1100"/>
      <c r="ER5" s="1100"/>
      <c r="ES5" s="1100"/>
      <c r="ET5" s="1100"/>
      <c r="EU5" s="1100"/>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100"/>
      <c r="GP5" s="1100"/>
      <c r="GQ5" s="1100"/>
      <c r="GR5" s="1100"/>
      <c r="GS5" s="1100"/>
      <c r="GT5" s="1100"/>
      <c r="GU5" s="1100"/>
      <c r="GV5" s="1100"/>
      <c r="GW5" s="1100"/>
      <c r="GX5" s="1100"/>
      <c r="GY5" s="1100"/>
      <c r="GZ5" s="1100"/>
      <c r="HA5" s="1100"/>
      <c r="HB5" s="1100"/>
      <c r="HC5" s="1100"/>
      <c r="HD5" s="1100"/>
      <c r="HE5" s="1100"/>
      <c r="HF5" s="1100"/>
      <c r="HG5" s="1100"/>
      <c r="HH5" s="1100"/>
      <c r="HI5" s="1100"/>
      <c r="HJ5" s="1100"/>
      <c r="HK5" s="1100"/>
      <c r="HL5" s="1100"/>
      <c r="HM5" s="1100"/>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243</v>
      </c>
      <c r="D6" s="2"/>
      <c r="E6" s="5"/>
      <c r="G6" s="1500" t="s">
        <v>4060</v>
      </c>
      <c r="J6" s="846" t="s">
        <v>2897</v>
      </c>
      <c r="N6" s="1096" t="str">
        <f>'Part I-Project Information'!$J$26</f>
        <v>Augusta-Richmond Co.</v>
      </c>
      <c r="O6" s="1096"/>
      <c r="P6" s="675">
        <f>VLOOKUP('Part I-Project Information'!$J$26,'DCA Underwriting Assumptions'!$C$84:$D$194,2)</f>
        <v>57900</v>
      </c>
      <c r="Q6" s="771"/>
      <c r="R6" s="1099" t="s">
        <v>4059</v>
      </c>
      <c r="S6" s="1099"/>
      <c r="V6" s="1086"/>
      <c r="W6" s="1086"/>
      <c r="X6" s="1086"/>
      <c r="Y6" s="1086"/>
      <c r="Z6" s="1086"/>
      <c r="AA6" s="1086"/>
      <c r="AB6" s="1086"/>
      <c r="AC6" s="1086"/>
      <c r="AD6" s="1086"/>
      <c r="AE6" s="1086"/>
      <c r="AF6" s="1086"/>
      <c r="AG6" s="1086"/>
      <c r="AH6" s="1086"/>
      <c r="AI6" s="1086"/>
      <c r="AJ6" s="1086"/>
      <c r="AK6" s="1086"/>
      <c r="AL6" s="1086"/>
      <c r="AM6" s="1086"/>
      <c r="AN6" s="1086"/>
      <c r="AO6" s="1086"/>
      <c r="AP6" s="1086"/>
      <c r="AQ6" s="1086"/>
      <c r="AR6" s="1086"/>
      <c r="AS6" s="1086"/>
      <c r="AT6" s="1086"/>
      <c r="AU6" s="1086"/>
      <c r="AV6" s="1086"/>
      <c r="AW6" s="1086"/>
      <c r="AX6" s="1086"/>
      <c r="AY6" s="1086"/>
      <c r="AZ6" s="1086"/>
      <c r="BA6" s="1086"/>
      <c r="BB6" s="1086"/>
      <c r="BC6" s="1086"/>
      <c r="BD6" s="1086"/>
      <c r="BE6" s="1086"/>
      <c r="BF6" s="1086"/>
      <c r="BG6" s="1086"/>
      <c r="BH6" s="1086"/>
      <c r="BI6" s="1086"/>
      <c r="BJ6" s="1086"/>
      <c r="BK6" s="1086"/>
      <c r="BL6" s="1086"/>
      <c r="BM6" s="1086"/>
      <c r="BN6" s="1086"/>
      <c r="BO6" s="1086"/>
      <c r="BP6" s="1086"/>
      <c r="BQ6" s="1086"/>
      <c r="BR6" s="1086"/>
      <c r="BS6" s="1086"/>
      <c r="BT6" s="1086"/>
      <c r="BU6" s="1086"/>
      <c r="BV6" s="1086"/>
      <c r="BW6" s="1086"/>
      <c r="BX6" s="1086"/>
      <c r="BY6" s="1086"/>
      <c r="BZ6" s="1086"/>
      <c r="CA6" s="1086"/>
      <c r="CB6" s="1086"/>
      <c r="CC6" s="1086"/>
      <c r="CD6" s="1100"/>
      <c r="CE6" s="1100"/>
      <c r="CF6" s="1100"/>
      <c r="CG6" s="1100"/>
      <c r="CH6" s="1100"/>
      <c r="CI6" s="1100"/>
      <c r="CJ6" s="1100"/>
      <c r="CK6" s="1100"/>
      <c r="CL6" s="1100"/>
      <c r="CM6" s="1100"/>
      <c r="CN6" s="1100"/>
      <c r="CO6" s="1100"/>
      <c r="CP6" s="1100"/>
      <c r="CQ6" s="1100"/>
      <c r="CR6" s="1100"/>
      <c r="CS6" s="1100"/>
      <c r="CT6" s="1100"/>
      <c r="CU6" s="1100"/>
      <c r="CV6" s="1100"/>
      <c r="CW6" s="1100"/>
      <c r="CX6" s="1100"/>
      <c r="CY6" s="1100"/>
      <c r="CZ6" s="1100"/>
      <c r="DA6" s="1100"/>
      <c r="DB6" s="1100"/>
      <c r="DC6" s="1100"/>
      <c r="DD6" s="1100"/>
      <c r="DE6" s="1100"/>
      <c r="DF6" s="1100"/>
      <c r="DG6" s="1100"/>
      <c r="DH6" s="1100"/>
      <c r="DI6" s="1100"/>
      <c r="DJ6" s="1100"/>
      <c r="DK6" s="1100"/>
      <c r="DL6" s="1100"/>
      <c r="DM6" s="1100"/>
      <c r="DN6" s="1100"/>
      <c r="DO6" s="1100"/>
      <c r="DP6" s="1100"/>
      <c r="DQ6" s="1100"/>
      <c r="DR6" s="1100"/>
      <c r="DS6" s="1100"/>
      <c r="DT6" s="1100"/>
      <c r="DU6" s="1100"/>
      <c r="DV6" s="1100"/>
      <c r="DW6" s="1100"/>
      <c r="DX6" s="1100"/>
      <c r="DY6" s="1100"/>
      <c r="DZ6" s="1100"/>
      <c r="EA6" s="1100"/>
      <c r="EB6" s="1100"/>
      <c r="EC6" s="1100"/>
      <c r="ED6" s="1100"/>
      <c r="EE6" s="1100"/>
      <c r="EF6" s="1100"/>
      <c r="EG6" s="1100"/>
      <c r="EH6" s="1100"/>
      <c r="EI6" s="1100"/>
      <c r="EJ6" s="1100"/>
      <c r="EK6" s="1100"/>
      <c r="EL6" s="1100"/>
      <c r="EM6" s="1100"/>
      <c r="EN6" s="1100"/>
      <c r="EO6" s="1100"/>
      <c r="EP6" s="1100"/>
      <c r="EQ6" s="1100"/>
      <c r="ER6" s="1100"/>
      <c r="ES6" s="1100"/>
      <c r="ET6" s="1100"/>
      <c r="EU6" s="1100"/>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100"/>
      <c r="GP6" s="1100"/>
      <c r="GQ6" s="1100"/>
      <c r="GR6" s="1100"/>
      <c r="GS6" s="1100"/>
      <c r="GT6" s="1100"/>
      <c r="GU6" s="1100"/>
      <c r="GV6" s="1100"/>
      <c r="GW6" s="1100"/>
      <c r="GX6" s="1100"/>
      <c r="GY6" s="1100"/>
      <c r="GZ6" s="1100"/>
      <c r="HA6" s="1100"/>
      <c r="HB6" s="1100"/>
      <c r="HC6" s="1100"/>
      <c r="HD6" s="1100"/>
      <c r="HE6" s="1100"/>
      <c r="HF6" s="1100"/>
      <c r="HG6" s="1100"/>
      <c r="HH6" s="1100"/>
      <c r="HI6" s="1100"/>
      <c r="HJ6" s="1100"/>
      <c r="HK6" s="1100"/>
      <c r="HL6" s="1100"/>
      <c r="HM6" s="1100"/>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95" t="str">
        <f>IF(A48&gt;0,"Finish!","")</f>
        <v>Finish!</v>
      </c>
      <c r="B7" s="5"/>
      <c r="C7" s="2"/>
      <c r="D7" s="5"/>
      <c r="E7" s="2"/>
      <c r="F7" s="2"/>
      <c r="G7" s="2"/>
      <c r="H7" s="2"/>
      <c r="I7" s="2"/>
      <c r="J7" s="846" t="s">
        <v>2898</v>
      </c>
      <c r="K7" s="2"/>
      <c r="L7" s="2"/>
      <c r="M7" s="2"/>
      <c r="N7" s="37"/>
      <c r="O7" s="37"/>
      <c r="P7" s="816"/>
      <c r="Q7" s="816"/>
      <c r="R7" s="817"/>
      <c r="S7" s="818" t="s">
        <v>4056</v>
      </c>
      <c r="T7" s="671"/>
      <c r="U7" s="672"/>
      <c r="V7" s="1086"/>
      <c r="W7" s="1086"/>
      <c r="X7" s="1086"/>
      <c r="Y7" s="1086"/>
      <c r="Z7" s="1086"/>
      <c r="AA7" s="1086"/>
      <c r="AB7" s="1086"/>
      <c r="AC7" s="1086"/>
      <c r="AD7" s="1086"/>
      <c r="AE7" s="1086"/>
      <c r="AF7" s="1086"/>
      <c r="AG7" s="1086"/>
      <c r="AH7" s="1086"/>
      <c r="AI7" s="1086"/>
      <c r="AJ7" s="1086"/>
      <c r="AK7" s="1086"/>
      <c r="AL7" s="1086"/>
      <c r="AM7" s="1086"/>
      <c r="AN7" s="1086"/>
      <c r="AO7" s="1086"/>
      <c r="AP7" s="1086"/>
      <c r="AQ7" s="1086"/>
      <c r="AR7" s="1086"/>
      <c r="AS7" s="1086"/>
      <c r="AT7" s="1086"/>
      <c r="AU7" s="1086"/>
      <c r="AV7" s="1086"/>
      <c r="AW7" s="1086"/>
      <c r="AX7" s="1086"/>
      <c r="AY7" s="1086"/>
      <c r="AZ7" s="1086"/>
      <c r="BA7" s="1086"/>
      <c r="BB7" s="1086"/>
      <c r="BC7" s="1086"/>
      <c r="BD7" s="1086"/>
      <c r="BE7" s="1086"/>
      <c r="BF7" s="1086"/>
      <c r="BG7" s="1086"/>
      <c r="BH7" s="1086"/>
      <c r="BI7" s="1086"/>
      <c r="BJ7" s="1086"/>
      <c r="BK7" s="1086"/>
      <c r="BL7" s="1086"/>
      <c r="BM7" s="1086"/>
      <c r="BN7" s="1086"/>
      <c r="BO7" s="1086"/>
      <c r="BP7" s="1086"/>
      <c r="BQ7" s="1086"/>
      <c r="BR7" s="1086"/>
      <c r="BS7" s="1086"/>
      <c r="BT7" s="1086"/>
      <c r="BU7" s="1086"/>
      <c r="BV7" s="1086"/>
      <c r="BW7" s="1086"/>
      <c r="BX7" s="1086"/>
      <c r="BY7" s="1086"/>
      <c r="BZ7" s="1086"/>
      <c r="CA7" s="1086"/>
      <c r="CB7" s="1086"/>
      <c r="CC7" s="1086"/>
      <c r="CD7" s="1100"/>
      <c r="CE7" s="1100"/>
      <c r="CF7" s="1100"/>
      <c r="CG7" s="1100"/>
      <c r="CH7" s="1100"/>
      <c r="CI7" s="1100"/>
      <c r="CJ7" s="1100"/>
      <c r="CK7" s="1100"/>
      <c r="CL7" s="1100"/>
      <c r="CM7" s="1100"/>
      <c r="CN7" s="1100"/>
      <c r="CO7" s="1100"/>
      <c r="CP7" s="1100"/>
      <c r="CQ7" s="1100"/>
      <c r="CR7" s="1100"/>
      <c r="CS7" s="1100"/>
      <c r="CT7" s="1100"/>
      <c r="CU7" s="1100"/>
      <c r="CV7" s="1100"/>
      <c r="CW7" s="1100"/>
      <c r="CX7" s="1100"/>
      <c r="CY7" s="1100"/>
      <c r="CZ7" s="1100"/>
      <c r="DA7" s="1100"/>
      <c r="DB7" s="1100"/>
      <c r="DC7" s="1100"/>
      <c r="DD7" s="1100"/>
      <c r="DE7" s="1100"/>
      <c r="DF7" s="1100"/>
      <c r="DG7" s="1100"/>
      <c r="DH7" s="1100"/>
      <c r="DI7" s="1100"/>
      <c r="DJ7" s="1100"/>
      <c r="DK7" s="1100"/>
      <c r="DL7" s="1100"/>
      <c r="DM7" s="1100"/>
      <c r="DN7" s="1100"/>
      <c r="DO7" s="1100"/>
      <c r="DP7" s="1100"/>
      <c r="DQ7" s="1100"/>
      <c r="DR7" s="1100"/>
      <c r="DS7" s="1100"/>
      <c r="DT7" s="1100"/>
      <c r="DU7" s="1100"/>
      <c r="DV7" s="1100"/>
      <c r="DW7" s="1100"/>
      <c r="DX7" s="1100"/>
      <c r="DY7" s="1100"/>
      <c r="DZ7" s="1100"/>
      <c r="EA7" s="1100"/>
      <c r="EB7" s="1100"/>
      <c r="EC7" s="1100"/>
      <c r="ED7" s="1100"/>
      <c r="EE7" s="1100"/>
      <c r="EF7" s="1100"/>
      <c r="EG7" s="1100"/>
      <c r="EH7" s="1100"/>
      <c r="EI7" s="1100"/>
      <c r="EJ7" s="1100"/>
      <c r="EK7" s="1100"/>
      <c r="EL7" s="1100"/>
      <c r="EM7" s="1100"/>
      <c r="EN7" s="1100"/>
      <c r="EO7" s="1100"/>
      <c r="EP7" s="1100"/>
      <c r="EQ7" s="1100"/>
      <c r="ER7" s="1100"/>
      <c r="ES7" s="1100"/>
      <c r="ET7" s="1100"/>
      <c r="EU7" s="1100"/>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100"/>
      <c r="GP7" s="1100"/>
      <c r="GQ7" s="1100"/>
      <c r="GR7" s="1100"/>
      <c r="GS7" s="1100"/>
      <c r="GT7" s="1100"/>
      <c r="GU7" s="1100"/>
      <c r="GV7" s="1100"/>
      <c r="GW7" s="1100"/>
      <c r="GX7" s="1100"/>
      <c r="GY7" s="1100"/>
      <c r="GZ7" s="1100"/>
      <c r="HA7" s="1100"/>
      <c r="HB7" s="1100"/>
      <c r="HC7" s="1100"/>
      <c r="HD7" s="1100"/>
      <c r="HE7" s="1100"/>
      <c r="HF7" s="1100"/>
      <c r="HG7" s="1100"/>
      <c r="HH7" s="1100"/>
      <c r="HI7" s="1100"/>
      <c r="HJ7" s="1100"/>
      <c r="HK7" s="1100"/>
      <c r="HL7" s="1100"/>
      <c r="HM7" s="1100"/>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95"/>
      <c r="B8" s="220" t="s">
        <v>3431</v>
      </c>
      <c r="C8" s="846" t="s">
        <v>141</v>
      </c>
      <c r="D8" s="846" t="s">
        <v>747</v>
      </c>
      <c r="E8" s="846" t="s">
        <v>3429</v>
      </c>
      <c r="F8" s="846" t="s">
        <v>3429</v>
      </c>
      <c r="G8" s="846" t="s">
        <v>2873</v>
      </c>
      <c r="H8" s="846" t="s">
        <v>2871</v>
      </c>
      <c r="I8" s="846" t="s">
        <v>979</v>
      </c>
      <c r="J8" s="846" t="s">
        <v>2899</v>
      </c>
      <c r="K8" s="1094" t="s">
        <v>1956</v>
      </c>
      <c r="L8" s="1094"/>
      <c r="M8" s="846" t="s">
        <v>2844</v>
      </c>
      <c r="N8" s="846" t="s">
        <v>734</v>
      </c>
      <c r="O8" s="846" t="s">
        <v>2403</v>
      </c>
      <c r="P8" s="1097" t="s">
        <v>257</v>
      </c>
      <c r="Q8" s="1097"/>
      <c r="R8" s="847" t="s">
        <v>4055</v>
      </c>
      <c r="S8" s="847" t="s">
        <v>4057</v>
      </c>
      <c r="T8" s="673"/>
      <c r="U8" s="674"/>
      <c r="V8" s="1086"/>
      <c r="W8" s="1086"/>
      <c r="X8" s="1086"/>
      <c r="Y8" s="1086"/>
      <c r="Z8" s="1086"/>
      <c r="AA8" s="1086"/>
      <c r="AB8" s="1086"/>
      <c r="AC8" s="1086"/>
      <c r="AD8" s="1086"/>
      <c r="AE8" s="1086"/>
      <c r="AF8" s="1086"/>
      <c r="AG8" s="1086"/>
      <c r="AH8" s="1086"/>
      <c r="AI8" s="1086"/>
      <c r="AJ8" s="1086"/>
      <c r="AK8" s="1086"/>
      <c r="AL8" s="1086"/>
      <c r="AM8" s="1086"/>
      <c r="AN8" s="1086"/>
      <c r="AO8" s="1086"/>
      <c r="AP8" s="1086"/>
      <c r="AQ8" s="1086"/>
      <c r="AR8" s="1086"/>
      <c r="AS8" s="1086"/>
      <c r="AT8" s="1086"/>
      <c r="AU8" s="1086"/>
      <c r="AV8" s="1086"/>
      <c r="AW8" s="1086"/>
      <c r="AX8" s="1086"/>
      <c r="AY8" s="1086"/>
      <c r="AZ8" s="1086"/>
      <c r="BA8" s="1086"/>
      <c r="BB8" s="1086"/>
      <c r="BC8" s="1086"/>
      <c r="BD8" s="1086"/>
      <c r="BE8" s="1086"/>
      <c r="BF8" s="1086"/>
      <c r="BG8" s="1086"/>
      <c r="BH8" s="1086"/>
      <c r="BI8" s="1086"/>
      <c r="BJ8" s="1086"/>
      <c r="BK8" s="1086"/>
      <c r="BL8" s="1086"/>
      <c r="BM8" s="1086"/>
      <c r="BN8" s="1086"/>
      <c r="BO8" s="1086"/>
      <c r="BP8" s="1086"/>
      <c r="BQ8" s="1086"/>
      <c r="BR8" s="1086"/>
      <c r="BS8" s="1086"/>
      <c r="BT8" s="1086"/>
      <c r="BU8" s="1086"/>
      <c r="BV8" s="1086"/>
      <c r="BW8" s="1086"/>
      <c r="BX8" s="1086"/>
      <c r="BY8" s="1086"/>
      <c r="BZ8" s="1086"/>
      <c r="CA8" s="1086"/>
      <c r="CB8" s="1086"/>
      <c r="CC8" s="1086"/>
      <c r="CD8" s="1100"/>
      <c r="CE8" s="1100"/>
      <c r="CF8" s="1100"/>
      <c r="CG8" s="1100"/>
      <c r="CH8" s="1100"/>
      <c r="CI8" s="1100"/>
      <c r="CJ8" s="1100"/>
      <c r="CK8" s="1100"/>
      <c r="CL8" s="1100"/>
      <c r="CM8" s="1100"/>
      <c r="CN8" s="1100"/>
      <c r="CO8" s="1100"/>
      <c r="CP8" s="1100"/>
      <c r="CQ8" s="1100"/>
      <c r="CR8" s="1100"/>
      <c r="CS8" s="1100"/>
      <c r="CT8" s="1100"/>
      <c r="CU8" s="1100"/>
      <c r="CV8" s="1100"/>
      <c r="CW8" s="1100"/>
      <c r="CX8" s="1100"/>
      <c r="CY8" s="1100"/>
      <c r="CZ8" s="1100"/>
      <c r="DA8" s="1100"/>
      <c r="DB8" s="1100"/>
      <c r="DC8" s="1100"/>
      <c r="DD8" s="1100"/>
      <c r="DE8" s="1100"/>
      <c r="DF8" s="1100"/>
      <c r="DG8" s="1100"/>
      <c r="DH8" s="1100"/>
      <c r="DI8" s="1100"/>
      <c r="DJ8" s="1100"/>
      <c r="DK8" s="1100"/>
      <c r="DL8" s="1100"/>
      <c r="DM8" s="1100"/>
      <c r="DN8" s="1100"/>
      <c r="DO8" s="1100"/>
      <c r="DP8" s="1100"/>
      <c r="DQ8" s="1100"/>
      <c r="DR8" s="1100"/>
      <c r="DS8" s="1100"/>
      <c r="DT8" s="1100"/>
      <c r="DU8" s="1100"/>
      <c r="DV8" s="1100"/>
      <c r="DW8" s="1100"/>
      <c r="DX8" s="1100"/>
      <c r="DY8" s="1100"/>
      <c r="DZ8" s="1100"/>
      <c r="EA8" s="1100"/>
      <c r="EB8" s="1100"/>
      <c r="EC8" s="1100"/>
      <c r="ED8" s="1100"/>
      <c r="EE8" s="1100"/>
      <c r="EF8" s="1100"/>
      <c r="EG8" s="1100"/>
      <c r="EH8" s="1100"/>
      <c r="EI8" s="1100"/>
      <c r="EJ8" s="1100"/>
      <c r="EK8" s="1100"/>
      <c r="EL8" s="1100"/>
      <c r="EM8" s="1100"/>
      <c r="EN8" s="1100"/>
      <c r="EO8" s="1100"/>
      <c r="EP8" s="1100"/>
      <c r="EQ8" s="1100"/>
      <c r="ER8" s="1100"/>
      <c r="ES8" s="1100"/>
      <c r="ET8" s="1100"/>
      <c r="EU8" s="1100"/>
      <c r="EV8" s="1100" t="s">
        <v>3408</v>
      </c>
      <c r="EW8" s="778" t="s">
        <v>2935</v>
      </c>
      <c r="EX8" s="778" t="s">
        <v>2936</v>
      </c>
      <c r="EY8" s="778" t="s">
        <v>2937</v>
      </c>
      <c r="EZ8" s="778" t="s">
        <v>2938</v>
      </c>
      <c r="FA8" s="1100" t="s">
        <v>3171</v>
      </c>
      <c r="FB8" s="1100" t="s">
        <v>3171</v>
      </c>
      <c r="FC8" s="1100" t="s">
        <v>3171</v>
      </c>
      <c r="FD8" s="1100" t="s">
        <v>3171</v>
      </c>
      <c r="FE8" s="1100" t="s">
        <v>3171</v>
      </c>
      <c r="FF8" s="778" t="s">
        <v>639</v>
      </c>
      <c r="FG8" s="778" t="s">
        <v>2935</v>
      </c>
      <c r="FH8" s="778" t="s">
        <v>2936</v>
      </c>
      <c r="FI8" s="778" t="s">
        <v>2937</v>
      </c>
      <c r="FJ8" s="778" t="s">
        <v>2938</v>
      </c>
      <c r="FK8" s="1100" t="s">
        <v>3173</v>
      </c>
      <c r="FL8" s="1100" t="s">
        <v>3173</v>
      </c>
      <c r="FM8" s="1100" t="s">
        <v>3173</v>
      </c>
      <c r="FN8" s="1100" t="s">
        <v>3173</v>
      </c>
      <c r="FO8" s="1100" t="s">
        <v>3173</v>
      </c>
      <c r="FP8" s="1100" t="s">
        <v>2377</v>
      </c>
      <c r="FQ8" s="1100" t="s">
        <v>2377</v>
      </c>
      <c r="FR8" s="1100" t="s">
        <v>2377</v>
      </c>
      <c r="FS8" s="1100" t="s">
        <v>2377</v>
      </c>
      <c r="FT8" s="1100" t="s">
        <v>2377</v>
      </c>
      <c r="FU8" s="1100" t="s">
        <v>2378</v>
      </c>
      <c r="FV8" s="1100" t="s">
        <v>2378</v>
      </c>
      <c r="FW8" s="1100" t="s">
        <v>2378</v>
      </c>
      <c r="FX8" s="1100" t="s">
        <v>2378</v>
      </c>
      <c r="FY8" s="1100" t="s">
        <v>2378</v>
      </c>
      <c r="FZ8" s="1100" t="s">
        <v>2379</v>
      </c>
      <c r="GA8" s="1100" t="s">
        <v>2379</v>
      </c>
      <c r="GB8" s="1100" t="s">
        <v>2379</v>
      </c>
      <c r="GC8" s="1100" t="s">
        <v>2379</v>
      </c>
      <c r="GD8" s="1100" t="s">
        <v>2379</v>
      </c>
      <c r="GE8" s="1100" t="s">
        <v>2380</v>
      </c>
      <c r="GF8" s="1100" t="s">
        <v>2380</v>
      </c>
      <c r="GG8" s="1100" t="s">
        <v>2380</v>
      </c>
      <c r="GH8" s="1100" t="s">
        <v>2380</v>
      </c>
      <c r="GI8" s="1100" t="s">
        <v>2380</v>
      </c>
      <c r="GJ8" s="1100" t="s">
        <v>3407</v>
      </c>
      <c r="GK8" s="1100" t="s">
        <v>3407</v>
      </c>
      <c r="GL8" s="1100" t="s">
        <v>3407</v>
      </c>
      <c r="GM8" s="1100" t="s">
        <v>3407</v>
      </c>
      <c r="GN8" s="1100" t="s">
        <v>3407</v>
      </c>
      <c r="GO8" s="1100"/>
      <c r="GP8" s="1100"/>
      <c r="GQ8" s="1100"/>
      <c r="GR8" s="1100"/>
      <c r="GS8" s="1100"/>
      <c r="GT8" s="1100"/>
      <c r="GU8" s="1100"/>
      <c r="GV8" s="1100"/>
      <c r="GW8" s="1100"/>
      <c r="GX8" s="1100"/>
      <c r="GY8" s="1100"/>
      <c r="GZ8" s="1100"/>
      <c r="HA8" s="1100"/>
      <c r="HB8" s="1100"/>
      <c r="HC8" s="1100"/>
      <c r="HD8" s="1100"/>
      <c r="HE8" s="1100"/>
      <c r="HF8" s="1100"/>
      <c r="HG8" s="1100"/>
      <c r="HH8" s="1100"/>
      <c r="HI8" s="1100"/>
      <c r="HJ8" s="1100"/>
      <c r="HK8" s="1100"/>
      <c r="HL8" s="1100"/>
      <c r="HM8" s="1100"/>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95"/>
      <c r="B9" s="220" t="s">
        <v>3320</v>
      </c>
      <c r="C9" s="846" t="s">
        <v>140</v>
      </c>
      <c r="D9" s="846" t="s">
        <v>142</v>
      </c>
      <c r="E9" s="846" t="s">
        <v>3430</v>
      </c>
      <c r="F9" s="846" t="s">
        <v>1365</v>
      </c>
      <c r="G9" s="846" t="s">
        <v>1366</v>
      </c>
      <c r="H9" s="846" t="s">
        <v>2872</v>
      </c>
      <c r="I9" s="846" t="s">
        <v>980</v>
      </c>
      <c r="J9" s="760" t="s">
        <v>2368</v>
      </c>
      <c r="K9" s="846" t="s">
        <v>3492</v>
      </c>
      <c r="L9" s="846" t="s">
        <v>741</v>
      </c>
      <c r="M9" s="846" t="s">
        <v>3429</v>
      </c>
      <c r="N9" s="846" t="s">
        <v>3320</v>
      </c>
      <c r="O9" s="846" t="s">
        <v>2404</v>
      </c>
      <c r="P9" s="847" t="s">
        <v>255</v>
      </c>
      <c r="Q9" s="847" t="s">
        <v>256</v>
      </c>
      <c r="R9" s="847" t="s">
        <v>3431</v>
      </c>
      <c r="S9" s="847" t="s">
        <v>4058</v>
      </c>
      <c r="T9" s="971" t="s">
        <v>327</v>
      </c>
      <c r="U9" s="971"/>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6"/>
      <c r="BS9" s="1086"/>
      <c r="BT9" s="1086"/>
      <c r="BU9" s="1086"/>
      <c r="BV9" s="1086"/>
      <c r="BW9" s="1086"/>
      <c r="BX9" s="1086"/>
      <c r="BY9" s="1086"/>
      <c r="BZ9" s="1086"/>
      <c r="CA9" s="1086"/>
      <c r="CB9" s="1086"/>
      <c r="CC9" s="1086"/>
      <c r="CD9" s="1100"/>
      <c r="CE9" s="1100"/>
      <c r="CF9" s="1100"/>
      <c r="CG9" s="1100"/>
      <c r="CH9" s="1100"/>
      <c r="CI9" s="1100"/>
      <c r="CJ9" s="1100"/>
      <c r="CK9" s="1100"/>
      <c r="CL9" s="1100"/>
      <c r="CM9" s="1100"/>
      <c r="CN9" s="1100"/>
      <c r="CO9" s="1100"/>
      <c r="CP9" s="1100"/>
      <c r="CQ9" s="1100"/>
      <c r="CR9" s="1100"/>
      <c r="CS9" s="1100"/>
      <c r="CT9" s="1100"/>
      <c r="CU9" s="1100"/>
      <c r="CV9" s="1100"/>
      <c r="CW9" s="1100"/>
      <c r="CX9" s="1100"/>
      <c r="CY9" s="1100"/>
      <c r="CZ9" s="1100"/>
      <c r="DA9" s="1100"/>
      <c r="DB9" s="1100"/>
      <c r="DC9" s="1100"/>
      <c r="DD9" s="1100"/>
      <c r="DE9" s="1100"/>
      <c r="DF9" s="1100"/>
      <c r="DG9" s="1100"/>
      <c r="DH9" s="1100"/>
      <c r="DI9" s="1100"/>
      <c r="DJ9" s="1100"/>
      <c r="DK9" s="1100"/>
      <c r="DL9" s="1100"/>
      <c r="DM9" s="1100"/>
      <c r="DN9" s="1100"/>
      <c r="DO9" s="1100"/>
      <c r="DP9" s="1100"/>
      <c r="DQ9" s="1100"/>
      <c r="DR9" s="1100"/>
      <c r="DS9" s="1100"/>
      <c r="DT9" s="1100"/>
      <c r="DU9" s="1100"/>
      <c r="DV9" s="1100"/>
      <c r="DW9" s="1100"/>
      <c r="DX9" s="1100"/>
      <c r="DY9" s="1100"/>
      <c r="DZ9" s="1100"/>
      <c r="EA9" s="1100"/>
      <c r="EB9" s="1100"/>
      <c r="EC9" s="1100"/>
      <c r="ED9" s="1100"/>
      <c r="EE9" s="1100"/>
      <c r="EF9" s="1100"/>
      <c r="EG9" s="1100"/>
      <c r="EH9" s="1100"/>
      <c r="EI9" s="1100"/>
      <c r="EJ9" s="1100"/>
      <c r="EK9" s="1100"/>
      <c r="EL9" s="1100"/>
      <c r="EM9" s="1100"/>
      <c r="EN9" s="1100"/>
      <c r="EO9" s="1100"/>
      <c r="EP9" s="1100"/>
      <c r="EQ9" s="1100"/>
      <c r="ER9" s="1100"/>
      <c r="ES9" s="1100"/>
      <c r="ET9" s="1100"/>
      <c r="EU9" s="1100"/>
      <c r="EV9" s="1100"/>
      <c r="EW9" s="778" t="s">
        <v>3170</v>
      </c>
      <c r="EX9" s="778" t="s">
        <v>3170</v>
      </c>
      <c r="EY9" s="778" t="s">
        <v>3170</v>
      </c>
      <c r="EZ9" s="778" t="s">
        <v>3170</v>
      </c>
      <c r="FA9" s="1100"/>
      <c r="FB9" s="1100"/>
      <c r="FC9" s="1100"/>
      <c r="FD9" s="1100"/>
      <c r="FE9" s="1100"/>
      <c r="FF9" s="778" t="s">
        <v>3172</v>
      </c>
      <c r="FG9" s="778" t="s">
        <v>3172</v>
      </c>
      <c r="FH9" s="778" t="s">
        <v>3172</v>
      </c>
      <c r="FI9" s="778" t="s">
        <v>3172</v>
      </c>
      <c r="FJ9" s="778" t="s">
        <v>3172</v>
      </c>
      <c r="FK9" s="1100"/>
      <c r="FL9" s="1100"/>
      <c r="FM9" s="1100"/>
      <c r="FN9" s="1100"/>
      <c r="FO9" s="1100"/>
      <c r="FP9" s="1100"/>
      <c r="FQ9" s="1100"/>
      <c r="FR9" s="1100"/>
      <c r="FS9" s="1100"/>
      <c r="FT9" s="1100"/>
      <c r="FU9" s="1100"/>
      <c r="FV9" s="1100"/>
      <c r="FW9" s="1100"/>
      <c r="FX9" s="1100"/>
      <c r="FY9" s="1100"/>
      <c r="FZ9" s="1100"/>
      <c r="GA9" s="1100"/>
      <c r="GB9" s="1100"/>
      <c r="GC9" s="1100"/>
      <c r="GD9" s="1100"/>
      <c r="GE9" s="1100"/>
      <c r="GF9" s="1100"/>
      <c r="GG9" s="1100"/>
      <c r="GH9" s="1100"/>
      <c r="GI9" s="1100"/>
      <c r="GJ9" s="1100"/>
      <c r="GK9" s="1100"/>
      <c r="GL9" s="1100"/>
      <c r="GM9" s="1100"/>
      <c r="GN9" s="1100"/>
      <c r="GO9" s="1100"/>
      <c r="GP9" s="1100"/>
      <c r="GQ9" s="1100"/>
      <c r="GR9" s="1100"/>
      <c r="GS9" s="1100"/>
      <c r="GT9" s="1100"/>
      <c r="GU9" s="1100"/>
      <c r="GV9" s="1100"/>
      <c r="GW9" s="1100"/>
      <c r="GX9" s="1100"/>
      <c r="GY9" s="1100"/>
      <c r="GZ9" s="1100"/>
      <c r="HA9" s="1100"/>
      <c r="HB9" s="1100"/>
      <c r="HC9" s="1100"/>
      <c r="HD9" s="1100"/>
      <c r="HE9" s="1100"/>
      <c r="HF9" s="1100"/>
      <c r="HG9" s="1100"/>
      <c r="HH9" s="1100"/>
      <c r="HI9" s="1100"/>
      <c r="HJ9" s="1100"/>
      <c r="HK9" s="1100"/>
      <c r="HL9" s="1100"/>
      <c r="HM9" s="1100"/>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f>IF(AND(E10&gt;0,OR(B10="",C10="",D10="",F10="",G10="", H10="",M10="",N10="",O10="")),1,"")</f>
        <v>1</v>
      </c>
      <c r="B10" s="1501" t="s">
        <v>1633</v>
      </c>
      <c r="C10" s="1502" t="s">
        <v>772</v>
      </c>
      <c r="D10" s="1503">
        <v>1</v>
      </c>
      <c r="E10" s="1504">
        <v>20</v>
      </c>
      <c r="F10" s="1504">
        <v>375</v>
      </c>
      <c r="G10" s="1504">
        <v>525</v>
      </c>
      <c r="H10" s="1504"/>
      <c r="I10" s="1504">
        <v>138</v>
      </c>
      <c r="J10" s="1505" t="s">
        <v>896</v>
      </c>
      <c r="K10" s="226">
        <f>MAX(0,H10-I10)</f>
        <v>0</v>
      </c>
      <c r="L10" s="226">
        <f t="shared" ref="L10:L47" si="0">MAX(0,E10*K10)</f>
        <v>0</v>
      </c>
      <c r="M10" s="1506" t="s">
        <v>4061</v>
      </c>
      <c r="N10" s="1506" t="s">
        <v>1153</v>
      </c>
      <c r="O10" s="1506" t="s">
        <v>3035</v>
      </c>
      <c r="P10" s="676" t="str">
        <f>IF(H10="","",H10*12/0.3)</f>
        <v/>
      </c>
      <c r="Q10" s="677" t="str">
        <f>IF(H10="","",P10/($P$6*VLOOKUP(C10,'DCA Underwriting Assumptions'!$J$84:$K$89,2,FALSE)))</f>
        <v/>
      </c>
      <c r="R10" s="819"/>
      <c r="S10" s="677"/>
      <c r="T10" s="1448"/>
      <c r="U10" s="1449"/>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f t="shared" ref="AA10:AA47" si="6">IF(AND(C10="Efficiency",B10="50% AMI",NOT(M10="Common")),E10,"")</f>
        <v>20</v>
      </c>
      <c r="AB10" s="759" t="str">
        <f t="shared" ref="AB10:AB47" si="7">IF(AND(C10=1,B10="50% AMI",NOT(M10="Common")),E10,"")</f>
        <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f>IF(OR(AND($C10="Efficiency",NOT($J10=""),NOT($J10="PHA Oper Sub"),NOT($J10=0),$B10="50% AMI",NOT($M10="Common")),AND($C10="Efficiency",NOT($J10=""),NOT($J10=0),NOT($J10="PHA Oper Sub"),$B10="HOME 50% AMI",NOT($M10="Common"))),$E10,"")</f>
        <v>20</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f t="shared" ref="CD10:CD47" si="31">IF(OR(AND(C10="Efficiency",B10="50% AMI",NOT(M10="Common")),AND(C10="Efficiency",B10="HOME 50% AMI",NOT(M10="Common"))),E10*F10,"")</f>
        <v>7500</v>
      </c>
      <c r="CE10" s="759" t="str">
        <f t="shared" ref="CE10:CE47" si="32">IF(OR(AND(C10=1,B10="50% AMI",NOT(M10="Common")),AND(C10=1,B10="HOME 50% AMI",NOT(M10="Common"))),E10*F10,"")</f>
        <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f t="shared" ref="CS10:CS47" si="46">IF(AND(C10="Efficiency",NOT(J10=""),NOT($J10=0),NOT(M10="Common")),E10*F10,"")</f>
        <v>7500</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t="str">
        <f t="shared" ref="DD10:DD47" si="57">IF(AND($C10=1, $O10="New Construction",NOT($B10="Unrestricted"),NOT($B10="NSP 120% AMI"),NOT($B10="N/A-CS"),NOT($M10="Common")),$E10,"")</f>
        <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f t="shared" ref="EG10:EG47" si="86">IF(AND($C10="Efficiency", $O10="Rehabilitation",NOT($B10="Unrestricted"),NOT($B10="NSP 120% AMI"),NOT($B10="N/A-CS"),NOT($M10="Common")),$E10,"")</f>
        <v>20</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f t="shared" ref="EV10:EV47" si="101">IF(AND($C10="Efficiency", NOT(OR($N10="SF Detached",$N10="Mfd Home",$N10="Duplex",$N10="Townhome"))),$E10,"")</f>
        <v>20</v>
      </c>
      <c r="EW10" s="779" t="str">
        <f t="shared" ref="EW10:EW47" si="102">IF(AND($C10=1, NOT(OR($N10="SF Detached",$N10="Mfd Home",$N10="Duplex",$N10="Townhome"))),$E10,"")</f>
        <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f t="shared" ref="FU10:FU47" si="126">IF(AND($C10="Efficiency", $N10="1-Story"),$E10,"")</f>
        <v>20</v>
      </c>
      <c r="FV10" s="779" t="str">
        <f t="shared" ref="FV10:FV47" si="127">IF(AND($C10=1, $N10="1-Story"),$E10,"")</f>
        <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t="str">
        <f t="shared" ref="GA10:GA47" si="132">IF(AND($C10=1, $N10="2-Story"),$E10,"")</f>
        <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f t="shared" ref="A11:A47" si="171">IF(AND(E11&gt;0,OR(B11="",C11="",D11="",F11="",G11="", H11="",M11="",N11="",O11="")),1,"")</f>
        <v>1</v>
      </c>
      <c r="B11" s="1507" t="s">
        <v>1633</v>
      </c>
      <c r="C11" s="1508">
        <v>1</v>
      </c>
      <c r="D11" s="1509">
        <v>1</v>
      </c>
      <c r="E11" s="1510">
        <v>50</v>
      </c>
      <c r="F11" s="1510">
        <v>700</v>
      </c>
      <c r="G11" s="1510">
        <v>605</v>
      </c>
      <c r="H11" s="1510"/>
      <c r="I11" s="1510">
        <v>158</v>
      </c>
      <c r="J11" s="1511" t="s">
        <v>896</v>
      </c>
      <c r="K11" s="227">
        <f t="shared" ref="K11:K27" si="172">MAX(0,H11-I11)</f>
        <v>0</v>
      </c>
      <c r="L11" s="227">
        <f t="shared" si="0"/>
        <v>0</v>
      </c>
      <c r="M11" s="1512" t="s">
        <v>4061</v>
      </c>
      <c r="N11" s="1512" t="s">
        <v>897</v>
      </c>
      <c r="O11" s="1512" t="s">
        <v>3035</v>
      </c>
      <c r="P11" s="676" t="str">
        <f>IF(H11="","",H11*12/0.3)</f>
        <v/>
      </c>
      <c r="Q11" s="677" t="str">
        <f>IF(H11="","",P11/($P$6*VLOOKUP(C11,'DCA Underwriting Assumptions'!$J$84:$K$89,2,FALSE)))</f>
        <v/>
      </c>
      <c r="R11" s="819"/>
      <c r="S11" s="677"/>
      <c r="T11" s="1450"/>
      <c r="U11" s="1451"/>
      <c r="V11" s="759" t="str">
        <f t="shared" si="1"/>
        <v/>
      </c>
      <c r="W11" s="759" t="str">
        <f t="shared" si="2"/>
        <v/>
      </c>
      <c r="X11" s="759" t="str">
        <f t="shared" si="3"/>
        <v/>
      </c>
      <c r="Y11" s="759" t="str">
        <f t="shared" si="4"/>
        <v/>
      </c>
      <c r="Z11" s="759" t="str">
        <f t="shared" si="5"/>
        <v/>
      </c>
      <c r="AA11" s="759" t="str">
        <f t="shared" si="6"/>
        <v/>
      </c>
      <c r="AB11" s="759">
        <f t="shared" si="7"/>
        <v>50</v>
      </c>
      <c r="AC11" s="759" t="str">
        <f t="shared" si="8"/>
        <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f t="shared" ref="AV11:AV47" si="179">IF(OR(AND($C11=1,NOT($J11=""),NOT($J11=0),NOT($J11="PHA Oper Sub"),$B11="50% AMI",NOT($M11="Common")),AND($C11=1,NOT($J11=""),NOT($J11=0),NOT($J11="PHA Oper Sub"),$B11="HOME 50% AMI",NOT($M11="Common"))),$E11,"")</f>
        <v>50</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t="str">
        <f t="shared" si="27"/>
        <v/>
      </c>
      <c r="CA11" s="759" t="str">
        <f t="shared" si="28"/>
        <v/>
      </c>
      <c r="CB11" s="759" t="str">
        <f t="shared" si="29"/>
        <v/>
      </c>
      <c r="CC11" s="759" t="str">
        <f t="shared" si="30"/>
        <v/>
      </c>
      <c r="CD11" s="759" t="str">
        <f t="shared" si="31"/>
        <v/>
      </c>
      <c r="CE11" s="759">
        <f t="shared" si="32"/>
        <v>35000</v>
      </c>
      <c r="CF11" s="759" t="str">
        <f t="shared" si="33"/>
        <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f t="shared" si="47"/>
        <v>35000</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t="str">
        <f t="shared" si="58"/>
        <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f t="shared" si="87"/>
        <v>50</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f t="shared" si="102"/>
        <v>50</v>
      </c>
      <c r="EX11" s="779" t="str">
        <f t="shared" si="103"/>
        <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t="str">
        <f t="shared" si="128"/>
        <v/>
      </c>
      <c r="FX11" s="779" t="str">
        <f t="shared" si="129"/>
        <v/>
      </c>
      <c r="FY11" s="779" t="str">
        <f t="shared" si="130"/>
        <v/>
      </c>
      <c r="FZ11" s="779" t="str">
        <f t="shared" si="131"/>
        <v/>
      </c>
      <c r="GA11" s="779" t="str">
        <f t="shared" si="132"/>
        <v/>
      </c>
      <c r="GB11" s="779" t="str">
        <f t="shared" si="133"/>
        <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f t="shared" si="142"/>
        <v>50</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07" t="s">
        <v>2102</v>
      </c>
      <c r="C12" s="1508"/>
      <c r="D12" s="1509"/>
      <c r="E12" s="1510"/>
      <c r="F12" s="1510"/>
      <c r="G12" s="1510"/>
      <c r="H12" s="1510"/>
      <c r="I12" s="1510"/>
      <c r="J12" s="1511"/>
      <c r="K12" s="227">
        <f t="shared" si="172"/>
        <v>0</v>
      </c>
      <c r="L12" s="227">
        <f t="shared" si="0"/>
        <v>0</v>
      </c>
      <c r="M12" s="1512"/>
      <c r="N12" s="1512"/>
      <c r="O12" s="1512"/>
      <c r="P12" s="676" t="str">
        <f>IF(H12="","",H12*12/0.3)</f>
        <v/>
      </c>
      <c r="Q12" s="677" t="str">
        <f>IF(H12="","",P12/($P$6*VLOOKUP(C12,'DCA Underwriting Assumptions'!$J$84:$K$89,2,FALSE)))</f>
        <v/>
      </c>
      <c r="R12" s="819"/>
      <c r="S12" s="677"/>
      <c r="T12" s="1450"/>
      <c r="U12" s="1451"/>
      <c r="V12" s="759" t="str">
        <f t="shared" si="1"/>
        <v/>
      </c>
      <c r="W12" s="759" t="str">
        <f t="shared" si="2"/>
        <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t="str">
        <f t="shared" si="27"/>
        <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t="str">
        <f t="shared" si="57"/>
        <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t="str">
        <f t="shared" si="102"/>
        <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t="str">
        <f t="shared" si="127"/>
        <v/>
      </c>
      <c r="FW12" s="779" t="str">
        <f t="shared" si="128"/>
        <v/>
      </c>
      <c r="FX12" s="779" t="str">
        <f t="shared" si="129"/>
        <v/>
      </c>
      <c r="FY12" s="779" t="str">
        <f t="shared" si="130"/>
        <v/>
      </c>
      <c r="FZ12" s="779" t="str">
        <f t="shared" si="131"/>
        <v/>
      </c>
      <c r="GA12" s="779" t="str">
        <f t="shared" si="132"/>
        <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07" t="s">
        <v>2102</v>
      </c>
      <c r="C13" s="1508"/>
      <c r="D13" s="1509"/>
      <c r="E13" s="1510"/>
      <c r="F13" s="1510"/>
      <c r="G13" s="1510"/>
      <c r="H13" s="1510"/>
      <c r="I13" s="1510"/>
      <c r="J13" s="1511"/>
      <c r="K13" s="227">
        <f t="shared" si="172"/>
        <v>0</v>
      </c>
      <c r="L13" s="227">
        <f t="shared" si="0"/>
        <v>0</v>
      </c>
      <c r="M13" s="1512"/>
      <c r="N13" s="1512"/>
      <c r="O13" s="1512"/>
      <c r="P13" s="676" t="str">
        <f>IF(H13="","",H13*12/0.3)</f>
        <v/>
      </c>
      <c r="Q13" s="677" t="str">
        <f>IF(H13="","",P13/($P$6*VLOOKUP(C13,'DCA Underwriting Assumptions'!$J$84:$K$89,2,FALSE)))</f>
        <v/>
      </c>
      <c r="R13" s="819"/>
      <c r="S13" s="677"/>
      <c r="T13" s="1450"/>
      <c r="U13" s="1451"/>
      <c r="V13" s="759" t="str">
        <f t="shared" si="1"/>
        <v/>
      </c>
      <c r="W13" s="759" t="str">
        <f t="shared" si="2"/>
        <v/>
      </c>
      <c r="X13" s="759" t="str">
        <f t="shared" si="3"/>
        <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t="str">
        <f t="shared" si="28"/>
        <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t="str">
        <f t="shared" si="58"/>
        <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t="str">
        <f t="shared" si="103"/>
        <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t="str">
        <f t="shared" si="128"/>
        <v/>
      </c>
      <c r="FX13" s="779" t="str">
        <f t="shared" si="129"/>
        <v/>
      </c>
      <c r="FY13" s="779" t="str">
        <f t="shared" si="130"/>
        <v/>
      </c>
      <c r="FZ13" s="779" t="str">
        <f t="shared" si="131"/>
        <v/>
      </c>
      <c r="GA13" s="779" t="str">
        <f t="shared" si="132"/>
        <v/>
      </c>
      <c r="GB13" s="779" t="str">
        <f t="shared" si="133"/>
        <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07" t="s">
        <v>2102</v>
      </c>
      <c r="C14" s="1508"/>
      <c r="D14" s="1509"/>
      <c r="E14" s="1510"/>
      <c r="F14" s="1510"/>
      <c r="G14" s="1510"/>
      <c r="H14" s="1510"/>
      <c r="I14" s="1510"/>
      <c r="J14" s="1511"/>
      <c r="K14" s="227">
        <f t="shared" si="172"/>
        <v>0</v>
      </c>
      <c r="L14" s="227">
        <f t="shared" si="0"/>
        <v>0</v>
      </c>
      <c r="M14" s="1512"/>
      <c r="N14" s="1512"/>
      <c r="O14" s="1512"/>
      <c r="P14" s="676" t="str">
        <f>IF(H14="","",H14*12/0.3)</f>
        <v/>
      </c>
      <c r="Q14" s="677" t="str">
        <f>IF(H14="","",P14/($P$6*VLOOKUP(C14,'DCA Underwriting Assumptions'!$J$84:$K$89,2,FALSE)))</f>
        <v/>
      </c>
      <c r="R14" s="819"/>
      <c r="S14" s="677"/>
      <c r="T14" s="1450"/>
      <c r="U14" s="1451"/>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t="str">
        <f t="shared" si="103"/>
        <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07" t="s">
        <v>2102</v>
      </c>
      <c r="C15" s="1508"/>
      <c r="D15" s="1509"/>
      <c r="E15" s="1510"/>
      <c r="F15" s="1510"/>
      <c r="G15" s="1510"/>
      <c r="H15" s="1510"/>
      <c r="I15" s="1510"/>
      <c r="J15" s="1511"/>
      <c r="K15" s="227">
        <f t="shared" si="172"/>
        <v>0</v>
      </c>
      <c r="L15" s="227">
        <f t="shared" si="0"/>
        <v>0</v>
      </c>
      <c r="M15" s="1512"/>
      <c r="N15" s="1512"/>
      <c r="O15" s="1512"/>
      <c r="P15" s="676" t="str">
        <f t="shared" ref="P15:P47" si="203">IF(H15="","",H15*12/0.3)</f>
        <v/>
      </c>
      <c r="Q15" s="677" t="str">
        <f>IF(H15="","",P15/($P$6*VLOOKUP(C15,'DCA Underwriting Assumptions'!$J$84:$K$89,2,FALSE)))</f>
        <v/>
      </c>
      <c r="R15" s="819"/>
      <c r="S15" s="677"/>
      <c r="T15" s="1450"/>
      <c r="U15" s="1451"/>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07" t="s">
        <v>2102</v>
      </c>
      <c r="C16" s="1508"/>
      <c r="D16" s="1509"/>
      <c r="E16" s="1510"/>
      <c r="F16" s="1510"/>
      <c r="G16" s="1510"/>
      <c r="H16" s="1510"/>
      <c r="I16" s="1510"/>
      <c r="J16" s="1511"/>
      <c r="K16" s="227">
        <f t="shared" si="172"/>
        <v>0</v>
      </c>
      <c r="L16" s="227">
        <f t="shared" si="0"/>
        <v>0</v>
      </c>
      <c r="M16" s="1512"/>
      <c r="N16" s="1512"/>
      <c r="O16" s="1512"/>
      <c r="P16" s="676" t="str">
        <f t="shared" si="203"/>
        <v/>
      </c>
      <c r="Q16" s="677" t="str">
        <f>IF(H16="","",P16/($P$6*VLOOKUP(C16,'DCA Underwriting Assumptions'!$J$84:$K$89,2,FALSE)))</f>
        <v/>
      </c>
      <c r="R16" s="819"/>
      <c r="S16" s="677"/>
      <c r="T16" s="1450"/>
      <c r="U16" s="1451"/>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07" t="s">
        <v>2102</v>
      </c>
      <c r="C17" s="1508"/>
      <c r="D17" s="1509"/>
      <c r="E17" s="1510"/>
      <c r="F17" s="1510"/>
      <c r="G17" s="1510"/>
      <c r="H17" s="1510"/>
      <c r="I17" s="1510"/>
      <c r="J17" s="1511"/>
      <c r="K17" s="227">
        <f t="shared" si="172"/>
        <v>0</v>
      </c>
      <c r="L17" s="227">
        <f t="shared" si="0"/>
        <v>0</v>
      </c>
      <c r="M17" s="1512"/>
      <c r="N17" s="1512"/>
      <c r="O17" s="1512"/>
      <c r="P17" s="676" t="str">
        <f t="shared" si="203"/>
        <v/>
      </c>
      <c r="Q17" s="677" t="str">
        <f>IF(H17="","",P17/($P$6*VLOOKUP(C17,'DCA Underwriting Assumptions'!$J$84:$K$89,2,FALSE)))</f>
        <v/>
      </c>
      <c r="R17" s="819"/>
      <c r="S17" s="677"/>
      <c r="T17" s="1450"/>
      <c r="U17" s="1451"/>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07" t="s">
        <v>2102</v>
      </c>
      <c r="C18" s="1508"/>
      <c r="D18" s="1509"/>
      <c r="E18" s="1510"/>
      <c r="F18" s="1510"/>
      <c r="G18" s="1510"/>
      <c r="H18" s="1510"/>
      <c r="I18" s="1510"/>
      <c r="J18" s="1511"/>
      <c r="K18" s="227">
        <f t="shared" si="172"/>
        <v>0</v>
      </c>
      <c r="L18" s="227">
        <f t="shared" si="0"/>
        <v>0</v>
      </c>
      <c r="M18" s="1512"/>
      <c r="N18" s="1512"/>
      <c r="O18" s="1512"/>
      <c r="P18" s="676" t="str">
        <f t="shared" si="203"/>
        <v/>
      </c>
      <c r="Q18" s="677" t="str">
        <f>IF(H18="","",P18/($P$6*VLOOKUP(C18,'DCA Underwriting Assumptions'!$J$84:$K$89,2,FALSE)))</f>
        <v/>
      </c>
      <c r="R18" s="819"/>
      <c r="S18" s="677"/>
      <c r="T18" s="1450"/>
      <c r="U18" s="1451"/>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07" t="s">
        <v>2102</v>
      </c>
      <c r="C19" s="1508"/>
      <c r="D19" s="1509"/>
      <c r="E19" s="1510"/>
      <c r="F19" s="1510"/>
      <c r="G19" s="1510"/>
      <c r="H19" s="1510"/>
      <c r="I19" s="1510"/>
      <c r="J19" s="1511"/>
      <c r="K19" s="227">
        <f t="shared" si="172"/>
        <v>0</v>
      </c>
      <c r="L19" s="227">
        <f t="shared" si="0"/>
        <v>0</v>
      </c>
      <c r="M19" s="1512"/>
      <c r="N19" s="1512"/>
      <c r="O19" s="1512"/>
      <c r="P19" s="676" t="str">
        <f t="shared" si="203"/>
        <v/>
      </c>
      <c r="Q19" s="677" t="str">
        <f>IF(H19="","",P19/($P$6*VLOOKUP(C19,'DCA Underwriting Assumptions'!$J$84:$K$89,2,FALSE)))</f>
        <v/>
      </c>
      <c r="R19" s="819"/>
      <c r="S19" s="677"/>
      <c r="T19" s="1450"/>
      <c r="U19" s="1451"/>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07" t="s">
        <v>2102</v>
      </c>
      <c r="C20" s="1508"/>
      <c r="D20" s="1509"/>
      <c r="E20" s="1510"/>
      <c r="F20" s="1510"/>
      <c r="G20" s="1510"/>
      <c r="H20" s="1510"/>
      <c r="I20" s="1510"/>
      <c r="J20" s="1511"/>
      <c r="K20" s="227">
        <f t="shared" si="172"/>
        <v>0</v>
      </c>
      <c r="L20" s="227">
        <f t="shared" si="0"/>
        <v>0</v>
      </c>
      <c r="M20" s="1512"/>
      <c r="N20" s="1512"/>
      <c r="O20" s="1512"/>
      <c r="P20" s="676" t="str">
        <f t="shared" si="203"/>
        <v/>
      </c>
      <c r="Q20" s="677" t="str">
        <f>IF(H20="","",P20/($P$6*VLOOKUP(C20,'DCA Underwriting Assumptions'!$J$84:$K$89,2,FALSE)))</f>
        <v/>
      </c>
      <c r="R20" s="819"/>
      <c r="S20" s="677"/>
      <c r="T20" s="1450"/>
      <c r="U20" s="1451"/>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07" t="s">
        <v>2102</v>
      </c>
      <c r="C21" s="1508"/>
      <c r="D21" s="1509"/>
      <c r="E21" s="1510"/>
      <c r="F21" s="1510"/>
      <c r="G21" s="1510"/>
      <c r="H21" s="1510"/>
      <c r="I21" s="1510"/>
      <c r="J21" s="1511"/>
      <c r="K21" s="227">
        <f t="shared" si="172"/>
        <v>0</v>
      </c>
      <c r="L21" s="227">
        <f t="shared" si="0"/>
        <v>0</v>
      </c>
      <c r="M21" s="1512"/>
      <c r="N21" s="1512"/>
      <c r="O21" s="1512"/>
      <c r="P21" s="676" t="str">
        <f t="shared" si="203"/>
        <v/>
      </c>
      <c r="Q21" s="677" t="str">
        <f>IF(H21="","",P21/($P$6*VLOOKUP(C21,'DCA Underwriting Assumptions'!$J$84:$K$89,2,FALSE)))</f>
        <v/>
      </c>
      <c r="R21" s="819"/>
      <c r="S21" s="677"/>
      <c r="T21" s="1450"/>
      <c r="U21" s="1451"/>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07" t="s">
        <v>2102</v>
      </c>
      <c r="C22" s="1508"/>
      <c r="D22" s="1509"/>
      <c r="E22" s="1510"/>
      <c r="F22" s="1510"/>
      <c r="G22" s="1510"/>
      <c r="H22" s="1510"/>
      <c r="I22" s="1510"/>
      <c r="J22" s="1511"/>
      <c r="K22" s="227">
        <f t="shared" si="172"/>
        <v>0</v>
      </c>
      <c r="L22" s="227">
        <f t="shared" si="0"/>
        <v>0</v>
      </c>
      <c r="M22" s="1512"/>
      <c r="N22" s="1512"/>
      <c r="O22" s="1512"/>
      <c r="P22" s="676" t="str">
        <f t="shared" si="203"/>
        <v/>
      </c>
      <c r="Q22" s="677" t="str">
        <f>IF(H22="","",P22/($P$6*VLOOKUP(C22,'DCA Underwriting Assumptions'!$J$84:$K$89,2,FALSE)))</f>
        <v/>
      </c>
      <c r="R22" s="819"/>
      <c r="S22" s="677"/>
      <c r="T22" s="1450"/>
      <c r="U22" s="1451"/>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07" t="s">
        <v>2102</v>
      </c>
      <c r="C23" s="1508"/>
      <c r="D23" s="1509"/>
      <c r="E23" s="1510"/>
      <c r="F23" s="1510"/>
      <c r="G23" s="1510"/>
      <c r="H23" s="1510"/>
      <c r="I23" s="1510"/>
      <c r="J23" s="1511"/>
      <c r="K23" s="227">
        <f t="shared" si="172"/>
        <v>0</v>
      </c>
      <c r="L23" s="227">
        <f t="shared" si="0"/>
        <v>0</v>
      </c>
      <c r="M23" s="1512"/>
      <c r="N23" s="1512"/>
      <c r="O23" s="1512"/>
      <c r="P23" s="676" t="str">
        <f t="shared" si="203"/>
        <v/>
      </c>
      <c r="Q23" s="677" t="str">
        <f>IF(H23="","",P23/($P$6*VLOOKUP(C23,'DCA Underwriting Assumptions'!$J$84:$K$89,2,FALSE)))</f>
        <v/>
      </c>
      <c r="R23" s="819"/>
      <c r="S23" s="677"/>
      <c r="T23" s="1450"/>
      <c r="U23" s="1451"/>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07" t="s">
        <v>2102</v>
      </c>
      <c r="C24" s="1508"/>
      <c r="D24" s="1509"/>
      <c r="E24" s="1510"/>
      <c r="F24" s="1510"/>
      <c r="G24" s="1510"/>
      <c r="H24" s="1510"/>
      <c r="I24" s="1510"/>
      <c r="J24" s="1511"/>
      <c r="K24" s="227">
        <f t="shared" si="172"/>
        <v>0</v>
      </c>
      <c r="L24" s="227">
        <f t="shared" si="0"/>
        <v>0</v>
      </c>
      <c r="M24" s="1512"/>
      <c r="N24" s="1512"/>
      <c r="O24" s="1512"/>
      <c r="P24" s="676" t="str">
        <f t="shared" si="203"/>
        <v/>
      </c>
      <c r="Q24" s="677" t="str">
        <f>IF(H24="","",P24/($P$6*VLOOKUP(C24,'DCA Underwriting Assumptions'!$J$84:$K$89,2,FALSE)))</f>
        <v/>
      </c>
      <c r="R24" s="819"/>
      <c r="S24" s="677"/>
      <c r="T24" s="1450"/>
      <c r="U24" s="1451"/>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07" t="s">
        <v>2102</v>
      </c>
      <c r="C25" s="1508"/>
      <c r="D25" s="1509"/>
      <c r="E25" s="1510"/>
      <c r="F25" s="1510"/>
      <c r="G25" s="1510"/>
      <c r="H25" s="1510"/>
      <c r="I25" s="1510"/>
      <c r="J25" s="1511"/>
      <c r="K25" s="227">
        <f t="shared" si="172"/>
        <v>0</v>
      </c>
      <c r="L25" s="227">
        <f t="shared" si="0"/>
        <v>0</v>
      </c>
      <c r="M25" s="1512"/>
      <c r="N25" s="1512"/>
      <c r="O25" s="1512"/>
      <c r="P25" s="676" t="str">
        <f t="shared" si="203"/>
        <v/>
      </c>
      <c r="Q25" s="677" t="str">
        <f>IF(H25="","",P25/($P$6*VLOOKUP(C25,'DCA Underwriting Assumptions'!$J$84:$K$89,2,FALSE)))</f>
        <v/>
      </c>
      <c r="R25" s="819"/>
      <c r="S25" s="677"/>
      <c r="T25" s="1450"/>
      <c r="U25" s="1451"/>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07" t="s">
        <v>2102</v>
      </c>
      <c r="C26" s="1508"/>
      <c r="D26" s="1509"/>
      <c r="E26" s="1510"/>
      <c r="F26" s="1510"/>
      <c r="G26" s="1510"/>
      <c r="H26" s="1510"/>
      <c r="I26" s="1510"/>
      <c r="J26" s="1511"/>
      <c r="K26" s="227">
        <f t="shared" si="172"/>
        <v>0</v>
      </c>
      <c r="L26" s="227">
        <f t="shared" si="0"/>
        <v>0</v>
      </c>
      <c r="M26" s="1512"/>
      <c r="N26" s="1512"/>
      <c r="O26" s="1512"/>
      <c r="P26" s="676" t="str">
        <f t="shared" si="203"/>
        <v/>
      </c>
      <c r="Q26" s="677" t="str">
        <f>IF(H26="","",P26/($P$6*VLOOKUP(C26,'DCA Underwriting Assumptions'!$J$84:$K$89,2,FALSE)))</f>
        <v/>
      </c>
      <c r="R26" s="819"/>
      <c r="S26" s="677"/>
      <c r="T26" s="1450"/>
      <c r="U26" s="1451"/>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07" t="s">
        <v>2102</v>
      </c>
      <c r="C27" s="1508"/>
      <c r="D27" s="1509"/>
      <c r="E27" s="1510"/>
      <c r="F27" s="1510"/>
      <c r="G27" s="1510"/>
      <c r="H27" s="1510"/>
      <c r="I27" s="1510"/>
      <c r="J27" s="1511"/>
      <c r="K27" s="227">
        <f t="shared" si="172"/>
        <v>0</v>
      </c>
      <c r="L27" s="227">
        <f t="shared" si="0"/>
        <v>0</v>
      </c>
      <c r="M27" s="1512"/>
      <c r="N27" s="1512"/>
      <c r="O27" s="1512"/>
      <c r="P27" s="676" t="str">
        <f t="shared" si="203"/>
        <v/>
      </c>
      <c r="Q27" s="677" t="str">
        <f>IF(H27="","",P27/($P$6*VLOOKUP(C27,'DCA Underwriting Assumptions'!$J$84:$K$89,2,FALSE)))</f>
        <v/>
      </c>
      <c r="R27" s="819"/>
      <c r="S27" s="677"/>
      <c r="T27" s="1450"/>
      <c r="U27" s="1451"/>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07" t="s">
        <v>2102</v>
      </c>
      <c r="C28" s="1508"/>
      <c r="D28" s="1509"/>
      <c r="E28" s="1510"/>
      <c r="F28" s="1510"/>
      <c r="G28" s="1510"/>
      <c r="H28" s="1510"/>
      <c r="I28" s="1510"/>
      <c r="J28" s="1511"/>
      <c r="K28" s="227">
        <f>MAX(0,H28-I28)</f>
        <v>0</v>
      </c>
      <c r="L28" s="227">
        <f t="shared" si="0"/>
        <v>0</v>
      </c>
      <c r="M28" s="1512"/>
      <c r="N28" s="1512"/>
      <c r="O28" s="1512"/>
      <c r="P28" s="676" t="str">
        <f t="shared" si="203"/>
        <v/>
      </c>
      <c r="Q28" s="677" t="str">
        <f>IF(H28="","",P28/($P$6*VLOOKUP(C28,'DCA Underwriting Assumptions'!$J$84:$K$89,2,FALSE)))</f>
        <v/>
      </c>
      <c r="R28" s="819"/>
      <c r="S28" s="677"/>
      <c r="T28" s="1450"/>
      <c r="U28" s="1451"/>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07" t="s">
        <v>2102</v>
      </c>
      <c r="C29" s="1508"/>
      <c r="D29" s="1509"/>
      <c r="E29" s="1510"/>
      <c r="F29" s="1510"/>
      <c r="G29" s="1510"/>
      <c r="H29" s="1510"/>
      <c r="I29" s="1510"/>
      <c r="J29" s="1511"/>
      <c r="K29" s="227">
        <f t="shared" ref="K29:K47" si="204">MAX(0,H29-I29)</f>
        <v>0</v>
      </c>
      <c r="L29" s="227">
        <f t="shared" si="0"/>
        <v>0</v>
      </c>
      <c r="M29" s="1512"/>
      <c r="N29" s="1512"/>
      <c r="O29" s="1512"/>
      <c r="P29" s="676" t="str">
        <f t="shared" si="203"/>
        <v/>
      </c>
      <c r="Q29" s="677" t="str">
        <f>IF(H29="","",P29/($P$6*VLOOKUP(C29,'DCA Underwriting Assumptions'!$J$84:$K$89,2,FALSE)))</f>
        <v/>
      </c>
      <c r="R29" s="819"/>
      <c r="S29" s="677"/>
      <c r="T29" s="1450"/>
      <c r="U29" s="1451"/>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07" t="s">
        <v>2102</v>
      </c>
      <c r="C30" s="1508"/>
      <c r="D30" s="1509"/>
      <c r="E30" s="1510"/>
      <c r="F30" s="1510"/>
      <c r="G30" s="1510"/>
      <c r="H30" s="1510"/>
      <c r="I30" s="1510"/>
      <c r="J30" s="1511"/>
      <c r="K30" s="227">
        <f t="shared" si="204"/>
        <v>0</v>
      </c>
      <c r="L30" s="227">
        <f t="shared" si="0"/>
        <v>0</v>
      </c>
      <c r="M30" s="1512"/>
      <c r="N30" s="1512"/>
      <c r="O30" s="1512"/>
      <c r="P30" s="676" t="str">
        <f t="shared" si="203"/>
        <v/>
      </c>
      <c r="Q30" s="677" t="str">
        <f>IF(H30="","",P30/($P$6*VLOOKUP(C30,'DCA Underwriting Assumptions'!$J$84:$K$89,2,FALSE)))</f>
        <v/>
      </c>
      <c r="R30" s="819"/>
      <c r="S30" s="677"/>
      <c r="T30" s="1450"/>
      <c r="U30" s="1451"/>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07" t="s">
        <v>2102</v>
      </c>
      <c r="C31" s="1508"/>
      <c r="D31" s="1509"/>
      <c r="E31" s="1510"/>
      <c r="F31" s="1510"/>
      <c r="G31" s="1510"/>
      <c r="H31" s="1510"/>
      <c r="I31" s="1510"/>
      <c r="J31" s="1511"/>
      <c r="K31" s="227">
        <f t="shared" si="204"/>
        <v>0</v>
      </c>
      <c r="L31" s="227">
        <f t="shared" si="0"/>
        <v>0</v>
      </c>
      <c r="M31" s="1512"/>
      <c r="N31" s="1512"/>
      <c r="O31" s="1512"/>
      <c r="P31" s="676" t="str">
        <f t="shared" si="203"/>
        <v/>
      </c>
      <c r="Q31" s="677" t="str">
        <f>IF(H31="","",P31/($P$6*VLOOKUP(C31,'DCA Underwriting Assumptions'!$J$84:$K$89,2,FALSE)))</f>
        <v/>
      </c>
      <c r="R31" s="819"/>
      <c r="S31" s="677"/>
      <c r="T31" s="1450"/>
      <c r="U31" s="1451"/>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07" t="s">
        <v>2102</v>
      </c>
      <c r="C32" s="1508"/>
      <c r="D32" s="1509"/>
      <c r="E32" s="1510"/>
      <c r="F32" s="1510"/>
      <c r="G32" s="1510"/>
      <c r="H32" s="1510"/>
      <c r="I32" s="1510"/>
      <c r="J32" s="1511"/>
      <c r="K32" s="227">
        <f t="shared" si="204"/>
        <v>0</v>
      </c>
      <c r="L32" s="227">
        <f t="shared" si="0"/>
        <v>0</v>
      </c>
      <c r="M32" s="1512"/>
      <c r="N32" s="1512"/>
      <c r="O32" s="1512"/>
      <c r="P32" s="676" t="str">
        <f t="shared" si="203"/>
        <v/>
      </c>
      <c r="Q32" s="677" t="str">
        <f>IF(H32="","",P32/($P$6*VLOOKUP(C32,'DCA Underwriting Assumptions'!$J$84:$K$89,2,FALSE)))</f>
        <v/>
      </c>
      <c r="R32" s="819"/>
      <c r="S32" s="677"/>
      <c r="T32" s="1450"/>
      <c r="U32" s="1451"/>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07" t="s">
        <v>2102</v>
      </c>
      <c r="C33" s="1508"/>
      <c r="D33" s="1509"/>
      <c r="E33" s="1510"/>
      <c r="F33" s="1510"/>
      <c r="G33" s="1510"/>
      <c r="H33" s="1510"/>
      <c r="I33" s="1510"/>
      <c r="J33" s="1511"/>
      <c r="K33" s="227">
        <f t="shared" si="204"/>
        <v>0</v>
      </c>
      <c r="L33" s="227">
        <f t="shared" si="0"/>
        <v>0</v>
      </c>
      <c r="M33" s="1512"/>
      <c r="N33" s="1512"/>
      <c r="O33" s="1512"/>
      <c r="P33" s="676" t="str">
        <f t="shared" si="203"/>
        <v/>
      </c>
      <c r="Q33" s="677" t="str">
        <f>IF(H33="","",P33/($P$6*VLOOKUP(C33,'DCA Underwriting Assumptions'!$J$84:$K$89,2,FALSE)))</f>
        <v/>
      </c>
      <c r="R33" s="819"/>
      <c r="S33" s="677"/>
      <c r="T33" s="1450"/>
      <c r="U33" s="1451"/>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07" t="s">
        <v>2102</v>
      </c>
      <c r="C34" s="1508"/>
      <c r="D34" s="1509"/>
      <c r="E34" s="1510"/>
      <c r="F34" s="1510"/>
      <c r="G34" s="1510"/>
      <c r="H34" s="1510"/>
      <c r="I34" s="1510"/>
      <c r="J34" s="1511"/>
      <c r="K34" s="227">
        <f t="shared" si="204"/>
        <v>0</v>
      </c>
      <c r="L34" s="227">
        <f t="shared" si="0"/>
        <v>0</v>
      </c>
      <c r="M34" s="1512"/>
      <c r="N34" s="1512"/>
      <c r="O34" s="1512"/>
      <c r="P34" s="676" t="str">
        <f t="shared" si="203"/>
        <v/>
      </c>
      <c r="Q34" s="677" t="str">
        <f>IF(H34="","",P34/($P$6*VLOOKUP(C34,'DCA Underwriting Assumptions'!$J$84:$K$89,2,FALSE)))</f>
        <v/>
      </c>
      <c r="R34" s="819"/>
      <c r="S34" s="677"/>
      <c r="T34" s="1450"/>
      <c r="U34" s="1451"/>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07" t="s">
        <v>2102</v>
      </c>
      <c r="C35" s="1508"/>
      <c r="D35" s="1509"/>
      <c r="E35" s="1510"/>
      <c r="F35" s="1510"/>
      <c r="G35" s="1510"/>
      <c r="H35" s="1510"/>
      <c r="I35" s="1510"/>
      <c r="J35" s="1511"/>
      <c r="K35" s="227">
        <f t="shared" si="204"/>
        <v>0</v>
      </c>
      <c r="L35" s="227">
        <f t="shared" si="0"/>
        <v>0</v>
      </c>
      <c r="M35" s="1512"/>
      <c r="N35" s="1512"/>
      <c r="O35" s="1512"/>
      <c r="P35" s="676" t="str">
        <f t="shared" si="203"/>
        <v/>
      </c>
      <c r="Q35" s="677" t="str">
        <f>IF(H35="","",P35/($P$6*VLOOKUP(C35,'DCA Underwriting Assumptions'!$J$84:$K$89,2,FALSE)))</f>
        <v/>
      </c>
      <c r="R35" s="819"/>
      <c r="S35" s="677"/>
      <c r="T35" s="1450"/>
      <c r="U35" s="1451"/>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07" t="s">
        <v>2102</v>
      </c>
      <c r="C36" s="1508"/>
      <c r="D36" s="1509"/>
      <c r="E36" s="1510"/>
      <c r="F36" s="1510"/>
      <c r="G36" s="1510"/>
      <c r="H36" s="1510"/>
      <c r="I36" s="1510"/>
      <c r="J36" s="1511"/>
      <c r="K36" s="227">
        <f t="shared" si="204"/>
        <v>0</v>
      </c>
      <c r="L36" s="227">
        <f t="shared" si="0"/>
        <v>0</v>
      </c>
      <c r="M36" s="1512"/>
      <c r="N36" s="1512"/>
      <c r="O36" s="1512"/>
      <c r="P36" s="676" t="str">
        <f t="shared" si="203"/>
        <v/>
      </c>
      <c r="Q36" s="677" t="str">
        <f>IF(H36="","",P36/($P$6*VLOOKUP(C36,'DCA Underwriting Assumptions'!$J$84:$K$89,2,FALSE)))</f>
        <v/>
      </c>
      <c r="R36" s="819"/>
      <c r="S36" s="677"/>
      <c r="T36" s="1450"/>
      <c r="U36" s="1451"/>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07" t="s">
        <v>2102</v>
      </c>
      <c r="C37" s="1508"/>
      <c r="D37" s="1509"/>
      <c r="E37" s="1510"/>
      <c r="F37" s="1510"/>
      <c r="G37" s="1510"/>
      <c r="H37" s="1510"/>
      <c r="I37" s="1510"/>
      <c r="J37" s="1511"/>
      <c r="K37" s="227">
        <f t="shared" si="204"/>
        <v>0</v>
      </c>
      <c r="L37" s="227">
        <f t="shared" si="0"/>
        <v>0</v>
      </c>
      <c r="M37" s="1512"/>
      <c r="N37" s="1512"/>
      <c r="O37" s="1512"/>
      <c r="P37" s="676" t="str">
        <f t="shared" si="203"/>
        <v/>
      </c>
      <c r="Q37" s="677" t="str">
        <f>IF(H37="","",P37/($P$6*VLOOKUP(C37,'DCA Underwriting Assumptions'!$J$84:$K$89,2,FALSE)))</f>
        <v/>
      </c>
      <c r="R37" s="819"/>
      <c r="S37" s="677"/>
      <c r="T37" s="1450"/>
      <c r="U37" s="1451"/>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07" t="s">
        <v>2102</v>
      </c>
      <c r="C38" s="1508"/>
      <c r="D38" s="1509"/>
      <c r="E38" s="1510"/>
      <c r="F38" s="1510"/>
      <c r="G38" s="1510"/>
      <c r="H38" s="1510"/>
      <c r="I38" s="1510"/>
      <c r="J38" s="1511"/>
      <c r="K38" s="227">
        <f>MAX(0,H38-I38)</f>
        <v>0</v>
      </c>
      <c r="L38" s="227">
        <f t="shared" si="0"/>
        <v>0</v>
      </c>
      <c r="M38" s="1512"/>
      <c r="N38" s="1512"/>
      <c r="O38" s="1512"/>
      <c r="P38" s="676" t="str">
        <f t="shared" si="203"/>
        <v/>
      </c>
      <c r="Q38" s="677" t="str">
        <f>IF(H38="","",P38/($P$6*VLOOKUP(C38,'DCA Underwriting Assumptions'!$J$84:$K$89,2,FALSE)))</f>
        <v/>
      </c>
      <c r="R38" s="819"/>
      <c r="S38" s="677"/>
      <c r="T38" s="1450"/>
      <c r="U38" s="1451"/>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07" t="s">
        <v>2102</v>
      </c>
      <c r="C39" s="1508"/>
      <c r="D39" s="1509"/>
      <c r="E39" s="1510"/>
      <c r="F39" s="1510"/>
      <c r="G39" s="1510"/>
      <c r="H39" s="1510"/>
      <c r="I39" s="1510"/>
      <c r="J39" s="1511"/>
      <c r="K39" s="227">
        <f t="shared" ref="K39:K46" si="205">MAX(0,H39-I39)</f>
        <v>0</v>
      </c>
      <c r="L39" s="227">
        <f t="shared" si="0"/>
        <v>0</v>
      </c>
      <c r="M39" s="1512"/>
      <c r="N39" s="1512"/>
      <c r="O39" s="1512"/>
      <c r="P39" s="676" t="str">
        <f t="shared" si="203"/>
        <v/>
      </c>
      <c r="Q39" s="677" t="str">
        <f>IF(H39="","",P39/($P$6*VLOOKUP(C39,'DCA Underwriting Assumptions'!$J$84:$K$89,2,FALSE)))</f>
        <v/>
      </c>
      <c r="R39" s="819"/>
      <c r="S39" s="677"/>
      <c r="T39" s="1450"/>
      <c r="U39" s="1451"/>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07" t="s">
        <v>2102</v>
      </c>
      <c r="C40" s="1508"/>
      <c r="D40" s="1509"/>
      <c r="E40" s="1510"/>
      <c r="F40" s="1510"/>
      <c r="G40" s="1510"/>
      <c r="H40" s="1510"/>
      <c r="I40" s="1510"/>
      <c r="J40" s="1511"/>
      <c r="K40" s="227">
        <f t="shared" si="205"/>
        <v>0</v>
      </c>
      <c r="L40" s="227">
        <f t="shared" si="0"/>
        <v>0</v>
      </c>
      <c r="M40" s="1512"/>
      <c r="N40" s="1512"/>
      <c r="O40" s="1512"/>
      <c r="P40" s="676" t="str">
        <f t="shared" si="203"/>
        <v/>
      </c>
      <c r="Q40" s="677" t="str">
        <f>IF(H40="","",P40/($P$6*VLOOKUP(C40,'DCA Underwriting Assumptions'!$J$84:$K$89,2,FALSE)))</f>
        <v/>
      </c>
      <c r="R40" s="819"/>
      <c r="S40" s="677"/>
      <c r="T40" s="1450"/>
      <c r="U40" s="1451"/>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07" t="s">
        <v>2102</v>
      </c>
      <c r="C41" s="1508"/>
      <c r="D41" s="1509"/>
      <c r="E41" s="1510"/>
      <c r="F41" s="1510"/>
      <c r="G41" s="1510"/>
      <c r="H41" s="1510"/>
      <c r="I41" s="1510"/>
      <c r="J41" s="1511"/>
      <c r="K41" s="227">
        <f t="shared" si="205"/>
        <v>0</v>
      </c>
      <c r="L41" s="227">
        <f t="shared" si="0"/>
        <v>0</v>
      </c>
      <c r="M41" s="1512"/>
      <c r="N41" s="1512"/>
      <c r="O41" s="1512"/>
      <c r="P41" s="676" t="str">
        <f t="shared" si="203"/>
        <v/>
      </c>
      <c r="Q41" s="677" t="str">
        <f>IF(H41="","",P41/($P$6*VLOOKUP(C41,'DCA Underwriting Assumptions'!$J$84:$K$89,2,FALSE)))</f>
        <v/>
      </c>
      <c r="R41" s="819"/>
      <c r="S41" s="677"/>
      <c r="T41" s="1450"/>
      <c r="U41" s="1451"/>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07" t="s">
        <v>2102</v>
      </c>
      <c r="C42" s="1508"/>
      <c r="D42" s="1509"/>
      <c r="E42" s="1510"/>
      <c r="F42" s="1510"/>
      <c r="G42" s="1510"/>
      <c r="H42" s="1510"/>
      <c r="I42" s="1510"/>
      <c r="J42" s="1511"/>
      <c r="K42" s="227">
        <f t="shared" si="205"/>
        <v>0</v>
      </c>
      <c r="L42" s="227">
        <f t="shared" si="0"/>
        <v>0</v>
      </c>
      <c r="M42" s="1512"/>
      <c r="N42" s="1512"/>
      <c r="O42" s="1512"/>
      <c r="P42" s="676" t="str">
        <f t="shared" si="203"/>
        <v/>
      </c>
      <c r="Q42" s="677" t="str">
        <f>IF(H42="","",P42/($P$6*VLOOKUP(C42,'DCA Underwriting Assumptions'!$J$84:$K$89,2,FALSE)))</f>
        <v/>
      </c>
      <c r="R42" s="819"/>
      <c r="S42" s="677"/>
      <c r="T42" s="1450"/>
      <c r="U42" s="1451"/>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07" t="s">
        <v>2102</v>
      </c>
      <c r="C43" s="1508"/>
      <c r="D43" s="1509"/>
      <c r="E43" s="1510"/>
      <c r="F43" s="1510"/>
      <c r="G43" s="1510"/>
      <c r="H43" s="1510"/>
      <c r="I43" s="1510"/>
      <c r="J43" s="1511"/>
      <c r="K43" s="227">
        <f t="shared" si="205"/>
        <v>0</v>
      </c>
      <c r="L43" s="227">
        <f t="shared" si="0"/>
        <v>0</v>
      </c>
      <c r="M43" s="1512"/>
      <c r="N43" s="1512"/>
      <c r="O43" s="1512"/>
      <c r="P43" s="676" t="str">
        <f t="shared" si="203"/>
        <v/>
      </c>
      <c r="Q43" s="677" t="str">
        <f>IF(H43="","",P43/($P$6*VLOOKUP(C43,'DCA Underwriting Assumptions'!$J$84:$K$89,2,FALSE)))</f>
        <v/>
      </c>
      <c r="R43" s="819"/>
      <c r="S43" s="677"/>
      <c r="T43" s="1450"/>
      <c r="U43" s="1451"/>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07" t="s">
        <v>2102</v>
      </c>
      <c r="C44" s="1508"/>
      <c r="D44" s="1509"/>
      <c r="E44" s="1510"/>
      <c r="F44" s="1510"/>
      <c r="G44" s="1510"/>
      <c r="H44" s="1510"/>
      <c r="I44" s="1510"/>
      <c r="J44" s="1511"/>
      <c r="K44" s="227">
        <f t="shared" si="205"/>
        <v>0</v>
      </c>
      <c r="L44" s="227">
        <f t="shared" si="0"/>
        <v>0</v>
      </c>
      <c r="M44" s="1512"/>
      <c r="N44" s="1512"/>
      <c r="O44" s="1512"/>
      <c r="P44" s="676" t="str">
        <f t="shared" si="203"/>
        <v/>
      </c>
      <c r="Q44" s="677" t="str">
        <f>IF(H44="","",P44/($P$6*VLOOKUP(C44,'DCA Underwriting Assumptions'!$J$84:$K$89,2,FALSE)))</f>
        <v/>
      </c>
      <c r="R44" s="819"/>
      <c r="S44" s="677"/>
      <c r="T44" s="1450"/>
      <c r="U44" s="1451"/>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07" t="s">
        <v>2102</v>
      </c>
      <c r="C45" s="1508"/>
      <c r="D45" s="1509"/>
      <c r="E45" s="1510"/>
      <c r="F45" s="1510"/>
      <c r="G45" s="1510"/>
      <c r="H45" s="1510"/>
      <c r="I45" s="1510"/>
      <c r="J45" s="1511"/>
      <c r="K45" s="227">
        <f t="shared" si="205"/>
        <v>0</v>
      </c>
      <c r="L45" s="227">
        <f t="shared" si="0"/>
        <v>0</v>
      </c>
      <c r="M45" s="1512"/>
      <c r="N45" s="1512"/>
      <c r="O45" s="1512"/>
      <c r="P45" s="676" t="str">
        <f t="shared" si="203"/>
        <v/>
      </c>
      <c r="Q45" s="677" t="str">
        <f>IF(H45="","",P45/($P$6*VLOOKUP(C45,'DCA Underwriting Assumptions'!$J$84:$K$89,2,FALSE)))</f>
        <v/>
      </c>
      <c r="R45" s="819"/>
      <c r="S45" s="677"/>
      <c r="T45" s="1450"/>
      <c r="U45" s="1451"/>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07" t="s">
        <v>2102</v>
      </c>
      <c r="C46" s="1508"/>
      <c r="D46" s="1509"/>
      <c r="E46" s="1510"/>
      <c r="F46" s="1510"/>
      <c r="G46" s="1510"/>
      <c r="H46" s="1510"/>
      <c r="I46" s="1510"/>
      <c r="J46" s="1511"/>
      <c r="K46" s="227">
        <f t="shared" si="205"/>
        <v>0</v>
      </c>
      <c r="L46" s="227">
        <f t="shared" si="0"/>
        <v>0</v>
      </c>
      <c r="M46" s="1512"/>
      <c r="N46" s="1512"/>
      <c r="O46" s="1512"/>
      <c r="P46" s="676" t="str">
        <f t="shared" si="203"/>
        <v/>
      </c>
      <c r="Q46" s="677" t="str">
        <f>IF(H46="","",P46/($P$6*VLOOKUP(C46,'DCA Underwriting Assumptions'!$J$84:$K$89,2,FALSE)))</f>
        <v/>
      </c>
      <c r="R46" s="819"/>
      <c r="S46" s="677"/>
      <c r="T46" s="1450"/>
      <c r="U46" s="1451"/>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3" t="s">
        <v>2102</v>
      </c>
      <c r="C47" s="1514"/>
      <c r="D47" s="1515"/>
      <c r="E47" s="1516"/>
      <c r="F47" s="1516"/>
      <c r="G47" s="1516"/>
      <c r="H47" s="1516"/>
      <c r="I47" s="1516"/>
      <c r="J47" s="1517"/>
      <c r="K47" s="228">
        <f t="shared" si="204"/>
        <v>0</v>
      </c>
      <c r="L47" s="228">
        <f t="shared" si="0"/>
        <v>0</v>
      </c>
      <c r="M47" s="1518"/>
      <c r="N47" s="1518"/>
      <c r="O47" s="1518"/>
      <c r="P47" s="676" t="str">
        <f t="shared" si="203"/>
        <v/>
      </c>
      <c r="Q47" s="677" t="str">
        <f>IF(H47="","",P47/($P$6*VLOOKUP(C47,'DCA Underwriting Assumptions'!$J$84:$K$89,2,FALSE)))</f>
        <v/>
      </c>
      <c r="R47" s="819"/>
      <c r="S47" s="677"/>
      <c r="T47" s="1453"/>
      <c r="U47" s="1454"/>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2</v>
      </c>
      <c r="B48" s="95"/>
      <c r="C48" s="2"/>
      <c r="D48" s="17" t="s">
        <v>1064</v>
      </c>
      <c r="E48" s="172">
        <f>SUM(E10:E47)</f>
        <v>70</v>
      </c>
      <c r="F48" s="173">
        <f>(E10*F10+E11*F11+E12*F12+E13*F13+E14*F14+E15*F15+E16*F16+E17*F17+E18*F18+E19*F19+E20*F20+E21*F21+E22*F22+E23*F23+E24*F24+E25*F25+E26*F26+E27*F27+E28*F28+E29*F29+E30*F30+E31*F31+E32*F32+E33*F33+E34*F34+E35*F35+E36*F36+E37*F37+E38*F38+E39*F39+E40*F40+E41*F41+E42*F42+E43*F43+E44*F44+E45*F45+E46*F46+E47*F47)</f>
        <v>42500</v>
      </c>
      <c r="G48" s="164"/>
      <c r="H48" s="165"/>
      <c r="I48" s="165"/>
      <c r="J48" s="165"/>
      <c r="K48" s="15" t="s">
        <v>3326</v>
      </c>
      <c r="L48" s="171">
        <f>SUM(L10:L47)</f>
        <v>0</v>
      </c>
      <c r="M48" s="2"/>
      <c r="N48" s="40"/>
      <c r="O48" s="2"/>
      <c r="P48" s="679"/>
      <c r="Q48" s="679"/>
      <c r="R48" s="679"/>
      <c r="S48" s="679"/>
      <c r="T48" s="678"/>
      <c r="U48" s="680"/>
      <c r="V48" s="781">
        <f t="shared" ref="V48:CK48" si="206">SUM(V10:V47)</f>
        <v>0</v>
      </c>
      <c r="W48" s="781">
        <f t="shared" si="206"/>
        <v>0</v>
      </c>
      <c r="X48" s="781">
        <f t="shared" si="206"/>
        <v>0</v>
      </c>
      <c r="Y48" s="781">
        <f t="shared" si="206"/>
        <v>0</v>
      </c>
      <c r="Z48" s="781">
        <f t="shared" si="206"/>
        <v>0</v>
      </c>
      <c r="AA48" s="781">
        <f t="shared" si="206"/>
        <v>20</v>
      </c>
      <c r="AB48" s="781">
        <f t="shared" si="206"/>
        <v>50</v>
      </c>
      <c r="AC48" s="781">
        <f t="shared" si="206"/>
        <v>0</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20</v>
      </c>
      <c r="AV48" s="781">
        <f t="shared" si="206"/>
        <v>50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0</v>
      </c>
      <c r="BW48" s="781">
        <f t="shared" si="206"/>
        <v>0</v>
      </c>
      <c r="BX48" s="781">
        <f t="shared" si="206"/>
        <v>0</v>
      </c>
      <c r="BY48" s="781">
        <f t="shared" si="206"/>
        <v>0</v>
      </c>
      <c r="BZ48" s="781">
        <f t="shared" si="206"/>
        <v>0</v>
      </c>
      <c r="CA48" s="781">
        <f t="shared" si="206"/>
        <v>0</v>
      </c>
      <c r="CB48" s="781">
        <f t="shared" si="206"/>
        <v>0</v>
      </c>
      <c r="CC48" s="781">
        <f t="shared" si="206"/>
        <v>0</v>
      </c>
      <c r="CD48" s="781">
        <f t="shared" si="206"/>
        <v>7500</v>
      </c>
      <c r="CE48" s="781">
        <f t="shared" si="206"/>
        <v>35000</v>
      </c>
      <c r="CF48" s="781">
        <f t="shared" si="206"/>
        <v>0</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7500</v>
      </c>
      <c r="CT48" s="781">
        <f t="shared" si="208"/>
        <v>35000</v>
      </c>
      <c r="CU48" s="781">
        <f t="shared" si="208"/>
        <v>0</v>
      </c>
      <c r="CV48" s="781">
        <f t="shared" si="208"/>
        <v>0</v>
      </c>
      <c r="CW48" s="781">
        <f t="shared" si="208"/>
        <v>0</v>
      </c>
      <c r="CX48" s="781">
        <f t="shared" si="208"/>
        <v>0</v>
      </c>
      <c r="CY48" s="781">
        <f t="shared" si="208"/>
        <v>0</v>
      </c>
      <c r="CZ48" s="781">
        <f t="shared" si="208"/>
        <v>0</v>
      </c>
      <c r="DA48" s="781">
        <f t="shared" si="208"/>
        <v>0</v>
      </c>
      <c r="DB48" s="781">
        <f t="shared" si="208"/>
        <v>0</v>
      </c>
      <c r="DC48" s="781">
        <f t="shared" si="208"/>
        <v>0</v>
      </c>
      <c r="DD48" s="781">
        <f t="shared" si="208"/>
        <v>0</v>
      </c>
      <c r="DE48" s="781">
        <f t="shared" si="208"/>
        <v>0</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0</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20</v>
      </c>
      <c r="EH48" s="781">
        <f t="shared" si="208"/>
        <v>50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20</v>
      </c>
      <c r="EW48" s="781">
        <f t="shared" si="209"/>
        <v>50</v>
      </c>
      <c r="EX48" s="781">
        <f t="shared" si="209"/>
        <v>0</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20</v>
      </c>
      <c r="FV48" s="781">
        <f t="shared" si="209"/>
        <v>0</v>
      </c>
      <c r="FW48" s="781">
        <f t="shared" si="209"/>
        <v>0</v>
      </c>
      <c r="FX48" s="781">
        <f t="shared" si="209"/>
        <v>0</v>
      </c>
      <c r="FY48" s="781">
        <f t="shared" si="209"/>
        <v>0</v>
      </c>
      <c r="FZ48" s="781">
        <f t="shared" si="209"/>
        <v>0</v>
      </c>
      <c r="GA48" s="781">
        <f t="shared" si="209"/>
        <v>0</v>
      </c>
      <c r="GB48" s="781">
        <f t="shared" si="209"/>
        <v>0</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50</v>
      </c>
      <c r="GL48" s="781">
        <f t="shared" si="209"/>
        <v>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995</v>
      </c>
      <c r="L49" s="171">
        <f>L48*12</f>
        <v>0</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91" t="s">
        <v>3205</v>
      </c>
      <c r="B51" s="1519"/>
      <c r="C51" s="1519"/>
      <c r="D51" s="1519"/>
      <c r="E51" s="1519"/>
      <c r="F51" s="1519"/>
      <c r="G51" s="1519"/>
      <c r="H51" s="1519"/>
      <c r="I51" s="1519"/>
      <c r="J51" s="1519"/>
      <c r="K51" s="1519"/>
      <c r="L51" s="1519"/>
      <c r="M51" s="1519"/>
      <c r="N51" s="1519"/>
      <c r="O51" s="1519"/>
      <c r="P51" s="1519"/>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19"/>
      <c r="B52" s="1519"/>
      <c r="C52" s="1519"/>
      <c r="D52" s="1519"/>
      <c r="E52" s="1519"/>
      <c r="F52" s="1519"/>
      <c r="G52" s="1519"/>
      <c r="H52" s="1519"/>
      <c r="I52" s="1519"/>
      <c r="J52" s="1519"/>
      <c r="K52" s="1519"/>
      <c r="L52" s="1519"/>
      <c r="M52" s="1519"/>
      <c r="N52" s="1519"/>
      <c r="O52" s="1519"/>
      <c r="P52" s="1519"/>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2774</v>
      </c>
      <c r="B53" s="16" t="s">
        <v>736</v>
      </c>
      <c r="O53" s="111"/>
      <c r="Q53" s="1087" t="str">
        <f>IF(SUM(Q56:Q100)&gt;0,"ERROR Between Rent Schedule &amp; Unit Summary:", "")</f>
        <v>ERROR Between Rent Schedule &amp; Unit Summary:</v>
      </c>
      <c r="R53" s="849"/>
      <c r="S53" s="849"/>
      <c r="T53" s="5" t="str">
        <f>B53</f>
        <v>UNIT SUMMARY</v>
      </c>
      <c r="U53" s="645" t="s">
        <v>736</v>
      </c>
      <c r="V53" s="782"/>
      <c r="W53" s="782"/>
      <c r="X53" s="782"/>
      <c r="Y53" s="782"/>
      <c r="Z53" s="782"/>
      <c r="AA53" s="782"/>
      <c r="AB53" s="782"/>
      <c r="AC53" s="782"/>
      <c r="AD53" s="782"/>
      <c r="AE53" s="782"/>
      <c r="AF53" s="782"/>
      <c r="AG53" s="782"/>
      <c r="AH53" s="771"/>
      <c r="GW53" s="783"/>
      <c r="HL53" s="759"/>
    </row>
    <row r="54" spans="1:221" ht="3" customHeight="1">
      <c r="A54" s="16"/>
      <c r="B54" s="16"/>
      <c r="O54" s="111"/>
      <c r="Q54" s="1088"/>
      <c r="R54" s="850"/>
      <c r="S54" s="850"/>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1229</v>
      </c>
      <c r="H55" s="166" t="s">
        <v>772</v>
      </c>
      <c r="I55" s="166" t="s">
        <v>737</v>
      </c>
      <c r="J55" s="166" t="s">
        <v>738</v>
      </c>
      <c r="K55" s="166" t="s">
        <v>739</v>
      </c>
      <c r="L55" s="166" t="s">
        <v>740</v>
      </c>
      <c r="M55" s="166" t="s">
        <v>741</v>
      </c>
      <c r="O55" s="111"/>
      <c r="Q55" s="1088"/>
      <c r="R55" s="850"/>
      <c r="S55" s="850"/>
      <c r="T55" s="971" t="s">
        <v>327</v>
      </c>
      <c r="U55" s="971"/>
      <c r="V55" s="782"/>
      <c r="W55" s="782"/>
      <c r="X55" s="782"/>
      <c r="Y55" s="782"/>
      <c r="Z55" s="782"/>
      <c r="AA55" s="784"/>
      <c r="AB55" s="784"/>
      <c r="AC55" s="784"/>
      <c r="AD55" s="784"/>
      <c r="AE55" s="784"/>
      <c r="AF55" s="784"/>
      <c r="AG55" s="782"/>
      <c r="AH55" s="771"/>
      <c r="GW55" s="783"/>
      <c r="HL55" s="759"/>
    </row>
    <row r="56" spans="1:221" ht="12" customHeight="1">
      <c r="C56" s="2" t="s">
        <v>1231</v>
      </c>
      <c r="D56" s="2"/>
      <c r="E56" s="2"/>
      <c r="F56" s="2"/>
      <c r="G56" s="44" t="s">
        <v>1244</v>
      </c>
      <c r="H56" s="382">
        <f>V48</f>
        <v>0</v>
      </c>
      <c r="I56" s="382">
        <f>W48</f>
        <v>0</v>
      </c>
      <c r="J56" s="382">
        <f>X48</f>
        <v>0</v>
      </c>
      <c r="K56" s="382">
        <f>Y48</f>
        <v>0</v>
      </c>
      <c r="L56" s="382">
        <f>Z48</f>
        <v>0</v>
      </c>
      <c r="M56" s="382">
        <f t="shared" ref="M56:M62" si="211">SUM(H56:L56)</f>
        <v>0</v>
      </c>
      <c r="N56" s="1089" t="s">
        <v>201</v>
      </c>
      <c r="O56" s="1090"/>
      <c r="P56" s="851"/>
      <c r="Q56" s="646">
        <f t="shared" ref="Q56:Q62" si="212">ABS(M56-AF56)</f>
        <v>0</v>
      </c>
      <c r="R56" s="646"/>
      <c r="S56" s="646"/>
      <c r="T56" s="1448"/>
      <c r="U56" s="1449"/>
      <c r="V56" s="785"/>
      <c r="W56" s="785"/>
      <c r="X56" s="785"/>
      <c r="Y56" s="785"/>
      <c r="Z56" s="786"/>
      <c r="AA56" s="787"/>
      <c r="AB56" s="787"/>
      <c r="AC56" s="787"/>
      <c r="AD56" s="787"/>
      <c r="AE56" s="787"/>
      <c r="AF56" s="787"/>
      <c r="AG56" s="786"/>
      <c r="AH56" s="771"/>
      <c r="GW56" s="783"/>
      <c r="HL56" s="759"/>
    </row>
    <row r="57" spans="1:221" ht="12" customHeight="1">
      <c r="A57" s="1092" t="s">
        <v>579</v>
      </c>
      <c r="B57" s="1092"/>
      <c r="C57" s="5"/>
      <c r="D57" s="2"/>
      <c r="E57" s="2"/>
      <c r="F57" s="2"/>
      <c r="G57" s="44" t="s">
        <v>1633</v>
      </c>
      <c r="H57" s="383">
        <f>AA48</f>
        <v>20</v>
      </c>
      <c r="I57" s="383">
        <f>AB48</f>
        <v>50</v>
      </c>
      <c r="J57" s="383">
        <f>AC48</f>
        <v>0</v>
      </c>
      <c r="K57" s="383">
        <f>AD48</f>
        <v>0</v>
      </c>
      <c r="L57" s="383">
        <f>AE48</f>
        <v>0</v>
      </c>
      <c r="M57" s="383">
        <f t="shared" si="211"/>
        <v>70</v>
      </c>
      <c r="N57" s="1089"/>
      <c r="O57" s="1090"/>
      <c r="P57" s="851"/>
      <c r="Q57" s="646">
        <f t="shared" si="212"/>
        <v>70</v>
      </c>
      <c r="R57" s="646"/>
      <c r="S57" s="646"/>
      <c r="T57" s="1450"/>
      <c r="U57" s="1451"/>
      <c r="V57" s="788"/>
      <c r="W57" s="785"/>
      <c r="X57" s="785"/>
      <c r="Y57" s="785"/>
      <c r="Z57" s="786"/>
      <c r="AA57" s="787"/>
      <c r="AB57" s="787"/>
      <c r="AC57" s="787"/>
      <c r="AD57" s="787"/>
      <c r="AE57" s="787"/>
      <c r="AF57" s="787"/>
      <c r="AG57" s="786"/>
      <c r="AH57" s="771"/>
      <c r="GW57" s="783"/>
      <c r="HL57" s="759"/>
    </row>
    <row r="58" spans="1:221" ht="12" customHeight="1">
      <c r="A58" s="1092"/>
      <c r="B58" s="1092"/>
      <c r="C58" s="5"/>
      <c r="D58" s="2"/>
      <c r="E58" s="2"/>
      <c r="F58" s="2"/>
      <c r="G58" s="44" t="s">
        <v>741</v>
      </c>
      <c r="H58" s="384">
        <f>SUM(H56:H57)</f>
        <v>20</v>
      </c>
      <c r="I58" s="384">
        <f>SUM(I56:I57)</f>
        <v>50</v>
      </c>
      <c r="J58" s="384">
        <f>SUM(J56:J57)</f>
        <v>0</v>
      </c>
      <c r="K58" s="384">
        <f>SUM(K56:K57)</f>
        <v>0</v>
      </c>
      <c r="L58" s="384">
        <f>SUM(L56:L57)</f>
        <v>0</v>
      </c>
      <c r="M58" s="384">
        <f t="shared" si="211"/>
        <v>70</v>
      </c>
      <c r="N58" s="387"/>
      <c r="O58" s="111"/>
      <c r="Q58" s="646">
        <f t="shared" si="212"/>
        <v>70</v>
      </c>
      <c r="R58" s="646"/>
      <c r="S58" s="646"/>
      <c r="T58" s="1450"/>
      <c r="U58" s="1451"/>
      <c r="V58" s="788"/>
      <c r="W58" s="785"/>
      <c r="X58" s="785"/>
      <c r="Y58" s="785"/>
      <c r="Z58" s="786"/>
      <c r="AA58" s="787"/>
      <c r="AB58" s="787"/>
      <c r="AC58" s="787"/>
      <c r="AD58" s="787"/>
      <c r="AE58" s="787"/>
      <c r="AF58" s="787"/>
      <c r="AG58" s="786"/>
      <c r="AH58" s="771"/>
      <c r="GW58" s="783"/>
      <c r="HL58" s="759"/>
    </row>
    <row r="59" spans="1:221" ht="12" customHeight="1">
      <c r="A59" s="1092"/>
      <c r="B59" s="1092"/>
      <c r="C59" s="2" t="s">
        <v>399</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50"/>
      <c r="U59" s="1451"/>
      <c r="V59" s="771"/>
      <c r="W59" s="785"/>
      <c r="X59" s="785"/>
      <c r="Y59" s="785"/>
      <c r="Z59" s="786"/>
      <c r="AA59" s="787"/>
      <c r="AB59" s="787"/>
      <c r="AC59" s="787"/>
      <c r="AD59" s="787"/>
      <c r="AE59" s="787"/>
      <c r="AF59" s="787"/>
      <c r="AG59" s="756"/>
      <c r="AH59" s="771"/>
      <c r="GW59" s="783"/>
      <c r="HL59" s="759"/>
    </row>
    <row r="60" spans="1:221" ht="12" customHeight="1">
      <c r="A60" s="1092"/>
      <c r="B60" s="1092"/>
      <c r="C60" s="2" t="s">
        <v>1232</v>
      </c>
      <c r="D60" s="2"/>
      <c r="E60" s="2"/>
      <c r="F60" s="2"/>
      <c r="G60" s="44"/>
      <c r="H60" s="384">
        <f>SUM(H58:H59)</f>
        <v>20</v>
      </c>
      <c r="I60" s="384">
        <f>SUM(I58:I59)</f>
        <v>50</v>
      </c>
      <c r="J60" s="384">
        <f>SUM(J58:J59)</f>
        <v>0</v>
      </c>
      <c r="K60" s="384">
        <f>SUM(K58:K59)</f>
        <v>0</v>
      </c>
      <c r="L60" s="384">
        <f>SUM(L58:L59)</f>
        <v>0</v>
      </c>
      <c r="M60" s="384">
        <f t="shared" si="211"/>
        <v>70</v>
      </c>
      <c r="N60" s="66"/>
      <c r="O60" s="111"/>
      <c r="Q60" s="646">
        <f t="shared" si="212"/>
        <v>70</v>
      </c>
      <c r="R60" s="646"/>
      <c r="S60" s="646"/>
      <c r="T60" s="1450"/>
      <c r="U60" s="1451"/>
      <c r="V60" s="785"/>
      <c r="W60" s="785"/>
      <c r="X60" s="785"/>
      <c r="Y60" s="785"/>
      <c r="Z60" s="786"/>
      <c r="AA60" s="787"/>
      <c r="AB60" s="787"/>
      <c r="AC60" s="787"/>
      <c r="AD60" s="787"/>
      <c r="AE60" s="787"/>
      <c r="AF60" s="787"/>
      <c r="AG60" s="756"/>
      <c r="AH60" s="771"/>
      <c r="GW60" s="783"/>
      <c r="HL60" s="759"/>
    </row>
    <row r="61" spans="1:221" ht="12" customHeight="1">
      <c r="A61" s="1092"/>
      <c r="B61" s="1092"/>
      <c r="C61" s="2" t="s">
        <v>3191</v>
      </c>
      <c r="D61" s="2"/>
      <c r="E61" s="2"/>
      <c r="F61" s="2"/>
      <c r="G61" s="44"/>
      <c r="H61" s="384">
        <f>BT48</f>
        <v>0</v>
      </c>
      <c r="I61" s="384">
        <f>BU48</f>
        <v>0</v>
      </c>
      <c r="J61" s="384">
        <f>BV48</f>
        <v>0</v>
      </c>
      <c r="K61" s="384">
        <f>BW48</f>
        <v>0</v>
      </c>
      <c r="L61" s="384">
        <f>BX48</f>
        <v>0</v>
      </c>
      <c r="M61" s="384">
        <f t="shared" si="211"/>
        <v>0</v>
      </c>
      <c r="N61" s="63" t="s">
        <v>2962</v>
      </c>
      <c r="O61" s="111"/>
      <c r="Q61" s="646">
        <f t="shared" si="212"/>
        <v>0</v>
      </c>
      <c r="R61" s="646"/>
      <c r="S61" s="646"/>
      <c r="T61" s="1450"/>
      <c r="U61" s="1451"/>
      <c r="V61" s="785"/>
      <c r="W61" s="785"/>
      <c r="X61" s="785"/>
      <c r="Y61" s="785"/>
      <c r="Z61" s="786"/>
      <c r="AA61" s="787"/>
      <c r="AB61" s="787"/>
      <c r="AC61" s="787"/>
      <c r="AD61" s="787"/>
      <c r="AE61" s="787"/>
      <c r="AF61" s="787"/>
      <c r="AG61" s="786"/>
      <c r="AH61" s="771"/>
      <c r="GW61" s="783"/>
      <c r="HL61" s="759"/>
    </row>
    <row r="62" spans="1:221" ht="12" customHeight="1">
      <c r="A62" s="1092"/>
      <c r="B62" s="1092"/>
      <c r="C62" s="2" t="s">
        <v>741</v>
      </c>
      <c r="D62" s="2"/>
      <c r="E62" s="2"/>
      <c r="F62" s="2"/>
      <c r="G62" s="44"/>
      <c r="H62" s="384">
        <f>SUM(H60:H61)</f>
        <v>20</v>
      </c>
      <c r="I62" s="384">
        <f>SUM(I60:I61)</f>
        <v>50</v>
      </c>
      <c r="J62" s="384">
        <f>SUM(J60:J61)</f>
        <v>0</v>
      </c>
      <c r="K62" s="384">
        <f>SUM(K60:K61)</f>
        <v>0</v>
      </c>
      <c r="L62" s="384">
        <f>SUM(L60:L61)</f>
        <v>0</v>
      </c>
      <c r="M62" s="384">
        <f t="shared" si="211"/>
        <v>70</v>
      </c>
      <c r="O62" s="111"/>
      <c r="Q62" s="646">
        <f t="shared" si="212"/>
        <v>70</v>
      </c>
      <c r="R62" s="646"/>
      <c r="S62" s="646"/>
      <c r="T62" s="1453"/>
      <c r="U62" s="1454"/>
      <c r="V62" s="785"/>
      <c r="W62" s="785"/>
      <c r="X62" s="785"/>
      <c r="Y62" s="785"/>
      <c r="Z62" s="786"/>
      <c r="AA62" s="787"/>
      <c r="AB62" s="787"/>
      <c r="AC62" s="787"/>
      <c r="AD62" s="787"/>
      <c r="AE62" s="787"/>
      <c r="AF62" s="787"/>
      <c r="AG62" s="782"/>
      <c r="AH62" s="771"/>
      <c r="GW62" s="783"/>
      <c r="HL62" s="759"/>
    </row>
    <row r="63" spans="1:221" ht="12" customHeight="1">
      <c r="A63" s="1092"/>
      <c r="B63" s="1092"/>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92"/>
      <c r="B64" s="1092"/>
      <c r="C64" s="2" t="s">
        <v>948</v>
      </c>
      <c r="D64" s="2"/>
      <c r="E64" s="150"/>
      <c r="F64" s="2"/>
      <c r="G64" s="44" t="s">
        <v>1244</v>
      </c>
      <c r="H64" s="382">
        <f>AZ48</f>
        <v>0</v>
      </c>
      <c r="I64" s="382">
        <f>BA48</f>
        <v>0</v>
      </c>
      <c r="J64" s="382">
        <f>BB48</f>
        <v>0</v>
      </c>
      <c r="K64" s="382">
        <f>BC48</f>
        <v>0</v>
      </c>
      <c r="L64" s="382">
        <f>BD48</f>
        <v>0</v>
      </c>
      <c r="M64" s="382">
        <f>SUM(H64:L64)</f>
        <v>0</v>
      </c>
      <c r="N64" s="63"/>
      <c r="O64" s="111"/>
      <c r="Q64" s="646">
        <f>ABS(M64-AF64)</f>
        <v>0</v>
      </c>
      <c r="R64" s="646"/>
      <c r="S64" s="646"/>
      <c r="T64" s="1448"/>
      <c r="U64" s="1449"/>
      <c r="V64" s="785"/>
      <c r="W64" s="785"/>
      <c r="X64" s="789"/>
      <c r="Y64" s="785"/>
      <c r="Z64" s="786"/>
      <c r="AA64" s="787"/>
      <c r="AB64" s="787"/>
      <c r="AC64" s="787"/>
      <c r="AD64" s="787"/>
      <c r="AE64" s="787"/>
      <c r="AF64" s="787"/>
      <c r="AG64" s="786"/>
      <c r="AH64" s="771"/>
      <c r="GW64" s="783"/>
      <c r="HL64" s="759"/>
    </row>
    <row r="65" spans="1:220" ht="12" customHeight="1">
      <c r="A65" s="1092"/>
      <c r="B65" s="1092"/>
      <c r="C65" s="44" t="s">
        <v>3192</v>
      </c>
      <c r="D65" s="2"/>
      <c r="E65" s="150"/>
      <c r="F65" s="2"/>
      <c r="G65" s="44" t="s">
        <v>1633</v>
      </c>
      <c r="H65" s="383">
        <f>AU48</f>
        <v>20</v>
      </c>
      <c r="I65" s="383">
        <f>AV48</f>
        <v>50</v>
      </c>
      <c r="J65" s="383">
        <f>AW48</f>
        <v>0</v>
      </c>
      <c r="K65" s="383">
        <f>AX48</f>
        <v>0</v>
      </c>
      <c r="L65" s="383">
        <f>AY48</f>
        <v>0</v>
      </c>
      <c r="M65" s="385">
        <f>SUM(H65:L65)</f>
        <v>70</v>
      </c>
      <c r="N65" s="63"/>
      <c r="O65" s="111"/>
      <c r="Q65" s="646">
        <f>ABS(M65-AF65)</f>
        <v>70</v>
      </c>
      <c r="R65" s="646"/>
      <c r="S65" s="646"/>
      <c r="T65" s="1450"/>
      <c r="U65" s="1451"/>
      <c r="V65" s="786"/>
      <c r="W65" s="785"/>
      <c r="X65" s="789"/>
      <c r="Y65" s="785"/>
      <c r="Z65" s="786"/>
      <c r="AA65" s="787"/>
      <c r="AB65" s="787"/>
      <c r="AC65" s="787"/>
      <c r="AD65" s="787"/>
      <c r="AE65" s="787"/>
      <c r="AF65" s="787"/>
      <c r="AG65" s="786"/>
      <c r="AH65" s="771"/>
      <c r="GW65" s="783"/>
      <c r="HL65" s="759"/>
    </row>
    <row r="66" spans="1:220" ht="12" customHeight="1">
      <c r="A66" s="1092"/>
      <c r="B66" s="1092"/>
      <c r="C66" s="5"/>
      <c r="D66" s="2"/>
      <c r="E66" s="150"/>
      <c r="F66" s="2"/>
      <c r="G66" s="44" t="s">
        <v>741</v>
      </c>
      <c r="H66" s="384">
        <f>SUM(H64:H65)</f>
        <v>20</v>
      </c>
      <c r="I66" s="384">
        <f>SUM(I64:I65)</f>
        <v>50</v>
      </c>
      <c r="J66" s="384">
        <f>SUM(J64:J65)</f>
        <v>0</v>
      </c>
      <c r="K66" s="384">
        <f>SUM(K64:K65)</f>
        <v>0</v>
      </c>
      <c r="L66" s="384">
        <f>SUM(L64:L65)</f>
        <v>0</v>
      </c>
      <c r="M66" s="384">
        <f>SUM(H66:L66)</f>
        <v>70</v>
      </c>
      <c r="N66" s="63"/>
      <c r="O66" s="111"/>
      <c r="Q66" s="646">
        <f>ABS(M66-AF66)</f>
        <v>70</v>
      </c>
      <c r="R66" s="646"/>
      <c r="S66" s="646"/>
      <c r="T66" s="1453"/>
      <c r="U66" s="1454"/>
      <c r="V66" s="788"/>
      <c r="W66" s="785"/>
      <c r="X66" s="789"/>
      <c r="Y66" s="785"/>
      <c r="Z66" s="786"/>
      <c r="AA66" s="787"/>
      <c r="AB66" s="787"/>
      <c r="AC66" s="787"/>
      <c r="AD66" s="787"/>
      <c r="AE66" s="787"/>
      <c r="AF66" s="787"/>
      <c r="AG66" s="786"/>
      <c r="AH66" s="771"/>
      <c r="GW66" s="783"/>
      <c r="HL66" s="759"/>
    </row>
    <row r="67" spans="1:220" ht="12" customHeight="1">
      <c r="A67" s="1092"/>
      <c r="B67" s="1092"/>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92"/>
      <c r="B68" s="1092"/>
      <c r="C68" s="2" t="s">
        <v>200</v>
      </c>
      <c r="D68" s="2"/>
      <c r="E68" s="150"/>
      <c r="F68" s="2"/>
      <c r="G68" s="44" t="s">
        <v>1244</v>
      </c>
      <c r="H68" s="382">
        <f>BO48</f>
        <v>0</v>
      </c>
      <c r="I68" s="382">
        <f>BP48</f>
        <v>0</v>
      </c>
      <c r="J68" s="382">
        <f>BQ48</f>
        <v>0</v>
      </c>
      <c r="K68" s="382">
        <f>BR48</f>
        <v>0</v>
      </c>
      <c r="L68" s="382">
        <f>BS48</f>
        <v>0</v>
      </c>
      <c r="M68" s="382">
        <f>SUM(H68:L68)</f>
        <v>0</v>
      </c>
      <c r="N68" s="63"/>
      <c r="O68" s="111"/>
      <c r="Q68" s="646">
        <f>ABS(M68-AF68)</f>
        <v>0</v>
      </c>
      <c r="R68" s="646"/>
      <c r="S68" s="646"/>
      <c r="T68" s="1448"/>
      <c r="U68" s="1449"/>
      <c r="V68" s="771"/>
      <c r="W68" s="785"/>
      <c r="X68" s="789"/>
      <c r="Y68" s="785"/>
      <c r="Z68" s="786"/>
      <c r="AA68" s="787"/>
      <c r="AB68" s="787"/>
      <c r="AC68" s="787"/>
      <c r="AD68" s="787"/>
      <c r="AE68" s="787"/>
      <c r="AF68" s="787"/>
      <c r="AG68" s="786"/>
      <c r="AH68" s="771"/>
      <c r="GW68" s="783"/>
      <c r="HL68" s="759"/>
    </row>
    <row r="69" spans="1:220" ht="12" customHeight="1">
      <c r="A69" s="1092"/>
      <c r="B69" s="1092"/>
      <c r="C69" s="44" t="s">
        <v>3192</v>
      </c>
      <c r="D69" s="2"/>
      <c r="E69" s="150"/>
      <c r="F69" s="2"/>
      <c r="G69" s="44" t="s">
        <v>1633</v>
      </c>
      <c r="H69" s="383">
        <f>BJ48</f>
        <v>0</v>
      </c>
      <c r="I69" s="383">
        <f>BK48</f>
        <v>0</v>
      </c>
      <c r="J69" s="383">
        <f>BL48</f>
        <v>0</v>
      </c>
      <c r="K69" s="383">
        <f>BM48</f>
        <v>0</v>
      </c>
      <c r="L69" s="383">
        <f>BN48</f>
        <v>0</v>
      </c>
      <c r="M69" s="385">
        <f>SUM(H69:L69)</f>
        <v>0</v>
      </c>
      <c r="N69" s="63"/>
      <c r="O69" s="111"/>
      <c r="Q69" s="646">
        <f>ABS(M69-AF69)</f>
        <v>0</v>
      </c>
      <c r="R69" s="646"/>
      <c r="S69" s="646"/>
      <c r="T69" s="1450"/>
      <c r="U69" s="1451"/>
      <c r="V69" s="790"/>
      <c r="W69" s="785"/>
      <c r="X69" s="789"/>
      <c r="Y69" s="785"/>
      <c r="Z69" s="786"/>
      <c r="AA69" s="787"/>
      <c r="AB69" s="787"/>
      <c r="AC69" s="787"/>
      <c r="AD69" s="787"/>
      <c r="AE69" s="787"/>
      <c r="AF69" s="787"/>
      <c r="AG69" s="786"/>
      <c r="AH69" s="771"/>
      <c r="GW69" s="783"/>
      <c r="HL69" s="759"/>
    </row>
    <row r="70" spans="1:220" ht="12" customHeight="1">
      <c r="A70" s="1092"/>
      <c r="B70" s="1092"/>
      <c r="C70" s="5"/>
      <c r="D70" s="2"/>
      <c r="E70" s="150"/>
      <c r="F70" s="2"/>
      <c r="G70" s="44" t="s">
        <v>741</v>
      </c>
      <c r="H70" s="384">
        <f>SUM(H68:H69)</f>
        <v>0</v>
      </c>
      <c r="I70" s="384">
        <f>SUM(I68:I69)</f>
        <v>0</v>
      </c>
      <c r="J70" s="384">
        <f>SUM(J68:J69)</f>
        <v>0</v>
      </c>
      <c r="K70" s="384">
        <f>SUM(K68:K69)</f>
        <v>0</v>
      </c>
      <c r="L70" s="384">
        <f>SUM(L68:L69)</f>
        <v>0</v>
      </c>
      <c r="M70" s="384">
        <f>SUM(H70:L70)</f>
        <v>0</v>
      </c>
      <c r="N70" s="63"/>
      <c r="O70" s="111"/>
      <c r="Q70" s="646">
        <f>ABS(M70-AF70)</f>
        <v>0</v>
      </c>
      <c r="R70" s="646"/>
      <c r="S70" s="646"/>
      <c r="T70" s="1453"/>
      <c r="U70" s="1454"/>
      <c r="V70" s="788"/>
      <c r="W70" s="785"/>
      <c r="X70" s="789"/>
      <c r="Y70" s="785"/>
      <c r="Z70" s="786"/>
      <c r="AA70" s="787"/>
      <c r="AB70" s="787"/>
      <c r="AC70" s="787"/>
      <c r="AD70" s="787"/>
      <c r="AE70" s="787"/>
      <c r="AF70" s="787"/>
      <c r="AG70" s="786"/>
      <c r="AH70" s="771"/>
      <c r="GW70" s="783"/>
      <c r="HL70" s="759"/>
    </row>
    <row r="71" spans="1:220" ht="12" customHeight="1">
      <c r="A71" s="1092"/>
      <c r="B71" s="1092"/>
      <c r="C71" s="2" t="s">
        <v>1549</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92"/>
      <c r="B72" s="1092"/>
      <c r="C72" s="2"/>
      <c r="D72" s="2"/>
      <c r="E72" s="137" t="s">
        <v>3673</v>
      </c>
      <c r="F72" s="2"/>
      <c r="G72" s="44" t="s">
        <v>3375</v>
      </c>
      <c r="H72" s="382">
        <f>DC48</f>
        <v>0</v>
      </c>
      <c r="I72" s="382">
        <f>DD48</f>
        <v>0</v>
      </c>
      <c r="J72" s="382">
        <f>DE48</f>
        <v>0</v>
      </c>
      <c r="K72" s="382">
        <f>DF48</f>
        <v>0</v>
      </c>
      <c r="L72" s="382">
        <f>DG48</f>
        <v>0</v>
      </c>
      <c r="M72" s="382">
        <f t="shared" ref="M72:M82" si="213">SUM(H72:L72)</f>
        <v>0</v>
      </c>
      <c r="N72" s="31"/>
      <c r="O72" s="111"/>
      <c r="Q72" s="646">
        <f t="shared" ref="Q72:Q80" si="214">ABS(M72-AF72)</f>
        <v>0</v>
      </c>
      <c r="R72" s="646"/>
      <c r="S72" s="646"/>
      <c r="T72" s="1448"/>
      <c r="U72" s="1449"/>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92"/>
      <c r="B73" s="1092"/>
      <c r="C73" s="2"/>
      <c r="D73" s="2"/>
      <c r="E73" s="150"/>
      <c r="F73" s="2"/>
      <c r="G73" s="44" t="s">
        <v>399</v>
      </c>
      <c r="H73" s="386">
        <f>DH48</f>
        <v>0</v>
      </c>
      <c r="I73" s="386">
        <f>DI48</f>
        <v>0</v>
      </c>
      <c r="J73" s="386">
        <f>DJ48</f>
        <v>0</v>
      </c>
      <c r="K73" s="386">
        <f>DK48</f>
        <v>0</v>
      </c>
      <c r="L73" s="386">
        <f>DL48</f>
        <v>0</v>
      </c>
      <c r="M73" s="386">
        <f t="shared" si="213"/>
        <v>0</v>
      </c>
      <c r="N73" s="66"/>
      <c r="O73" s="111"/>
      <c r="Q73" s="646">
        <f t="shared" si="214"/>
        <v>0</v>
      </c>
      <c r="R73" s="646"/>
      <c r="S73" s="646"/>
      <c r="T73" s="1450"/>
      <c r="U73" s="1451"/>
      <c r="V73" s="785"/>
      <c r="W73" s="785"/>
      <c r="X73" s="789"/>
      <c r="Y73" s="785"/>
      <c r="Z73" s="786"/>
      <c r="AA73" s="787"/>
      <c r="AB73" s="787"/>
      <c r="AC73" s="787"/>
      <c r="AD73" s="787"/>
      <c r="AE73" s="787"/>
      <c r="AF73" s="787"/>
      <c r="AG73" s="756"/>
      <c r="AH73" s="771"/>
      <c r="GW73" s="783"/>
      <c r="HL73" s="759"/>
    </row>
    <row r="74" spans="1:220" ht="12" customHeight="1">
      <c r="A74" s="1092"/>
      <c r="B74" s="1092"/>
      <c r="C74" s="5"/>
      <c r="D74" s="2"/>
      <c r="E74" s="150"/>
      <c r="F74" s="2"/>
      <c r="G74" s="44" t="s">
        <v>1539</v>
      </c>
      <c r="H74" s="384">
        <f>SUM(H72:H73)+DM48</f>
        <v>0</v>
      </c>
      <c r="I74" s="384">
        <f>SUM(I72:I73)+DN48</f>
        <v>0</v>
      </c>
      <c r="J74" s="384">
        <f>SUM(J72:J73)+DO48</f>
        <v>0</v>
      </c>
      <c r="K74" s="384">
        <f>SUM(K72:K73)+DP48</f>
        <v>0</v>
      </c>
      <c r="L74" s="384">
        <f>SUM(L72:L73)+DQ48</f>
        <v>0</v>
      </c>
      <c r="M74" s="384">
        <f t="shared" si="213"/>
        <v>0</v>
      </c>
      <c r="N74" s="63"/>
      <c r="O74" s="111"/>
      <c r="Q74" s="646">
        <f t="shared" si="214"/>
        <v>0</v>
      </c>
      <c r="R74" s="646"/>
      <c r="S74" s="646"/>
      <c r="T74" s="1450"/>
      <c r="U74" s="1451"/>
      <c r="V74" s="788"/>
      <c r="W74" s="785"/>
      <c r="X74" s="789"/>
      <c r="Y74" s="785"/>
      <c r="Z74" s="790"/>
      <c r="AA74" s="787"/>
      <c r="AB74" s="787"/>
      <c r="AC74" s="787"/>
      <c r="AD74" s="787"/>
      <c r="AE74" s="787"/>
      <c r="AF74" s="787"/>
      <c r="AG74" s="786"/>
      <c r="AH74" s="771"/>
      <c r="GW74" s="783"/>
      <c r="HL74" s="759"/>
    </row>
    <row r="75" spans="1:220" ht="12" customHeight="1">
      <c r="A75" s="1092"/>
      <c r="B75" s="1092"/>
      <c r="C75" s="2"/>
      <c r="D75" s="2"/>
      <c r="E75" s="137" t="s">
        <v>2505</v>
      </c>
      <c r="F75" s="2"/>
      <c r="G75" s="44" t="s">
        <v>3375</v>
      </c>
      <c r="H75" s="382">
        <f>DR48</f>
        <v>0</v>
      </c>
      <c r="I75" s="382">
        <f>DS48</f>
        <v>0</v>
      </c>
      <c r="J75" s="382">
        <f>DT48</f>
        <v>0</v>
      </c>
      <c r="K75" s="382">
        <f>DU48</f>
        <v>0</v>
      </c>
      <c r="L75" s="382">
        <f>DV48</f>
        <v>0</v>
      </c>
      <c r="M75" s="382">
        <f t="shared" si="213"/>
        <v>0</v>
      </c>
      <c r="N75" s="31"/>
      <c r="O75" s="111"/>
      <c r="Q75" s="646">
        <f t="shared" si="214"/>
        <v>0</v>
      </c>
      <c r="R75" s="646"/>
      <c r="S75" s="646"/>
      <c r="T75" s="1450"/>
      <c r="U75" s="1451"/>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399</v>
      </c>
      <c r="H76" s="386">
        <f>DW48</f>
        <v>0</v>
      </c>
      <c r="I76" s="386">
        <f>DX48</f>
        <v>0</v>
      </c>
      <c r="J76" s="386">
        <f>DY48</f>
        <v>0</v>
      </c>
      <c r="K76" s="386">
        <f>DZ48</f>
        <v>0</v>
      </c>
      <c r="L76" s="386">
        <f>EA48</f>
        <v>0</v>
      </c>
      <c r="M76" s="386">
        <f t="shared" si="213"/>
        <v>0</v>
      </c>
      <c r="N76" s="66"/>
      <c r="O76" s="111"/>
      <c r="Q76" s="646">
        <f t="shared" si="214"/>
        <v>0</v>
      </c>
      <c r="R76" s="646"/>
      <c r="S76" s="646"/>
      <c r="T76" s="1450"/>
      <c r="U76" s="1451"/>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1539</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50"/>
      <c r="U77" s="1451"/>
      <c r="V77" s="788"/>
      <c r="W77" s="785"/>
      <c r="X77" s="789"/>
      <c r="Y77" s="785"/>
      <c r="Z77" s="790"/>
      <c r="AA77" s="787"/>
      <c r="AB77" s="787"/>
      <c r="AC77" s="787"/>
      <c r="AD77" s="787"/>
      <c r="AE77" s="787"/>
      <c r="AF77" s="787"/>
      <c r="AG77" s="786"/>
      <c r="AH77" s="771"/>
      <c r="GW77" s="783"/>
      <c r="HL77" s="759"/>
    </row>
    <row r="78" spans="1:220" ht="12" customHeight="1">
      <c r="C78" s="2"/>
      <c r="D78" s="2"/>
      <c r="E78" s="1093" t="s">
        <v>1499</v>
      </c>
      <c r="F78" s="1093"/>
      <c r="G78" s="44" t="s">
        <v>3375</v>
      </c>
      <c r="H78" s="382">
        <f>EG48</f>
        <v>20</v>
      </c>
      <c r="I78" s="382">
        <f>EH48</f>
        <v>50</v>
      </c>
      <c r="J78" s="382">
        <f>EI48</f>
        <v>0</v>
      </c>
      <c r="K78" s="382">
        <f>EJ48</f>
        <v>0</v>
      </c>
      <c r="L78" s="382">
        <f>EK48</f>
        <v>0</v>
      </c>
      <c r="M78" s="382">
        <f t="shared" si="213"/>
        <v>70</v>
      </c>
      <c r="N78" s="31"/>
      <c r="O78" s="111"/>
      <c r="Q78" s="646">
        <f t="shared" si="214"/>
        <v>70</v>
      </c>
      <c r="R78" s="646"/>
      <c r="S78" s="646"/>
      <c r="T78" s="1450"/>
      <c r="U78" s="1451"/>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93"/>
      <c r="F79" s="1093"/>
      <c r="G79" s="44" t="s">
        <v>399</v>
      </c>
      <c r="H79" s="386">
        <f>EL48</f>
        <v>0</v>
      </c>
      <c r="I79" s="386">
        <f>EM48</f>
        <v>0</v>
      </c>
      <c r="J79" s="386">
        <f>EN48</f>
        <v>0</v>
      </c>
      <c r="K79" s="386">
        <f>EO48</f>
        <v>0</v>
      </c>
      <c r="L79" s="386">
        <f>EP48</f>
        <v>0</v>
      </c>
      <c r="M79" s="386">
        <f t="shared" si="213"/>
        <v>0</v>
      </c>
      <c r="N79" s="66"/>
      <c r="O79" s="111"/>
      <c r="Q79" s="646">
        <f t="shared" si="214"/>
        <v>0</v>
      </c>
      <c r="R79" s="646"/>
      <c r="S79" s="646"/>
      <c r="T79" s="1450"/>
      <c r="U79" s="1451"/>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1539</v>
      </c>
      <c r="H80" s="384">
        <f>SUM(H78:H79)+EQ48</f>
        <v>20</v>
      </c>
      <c r="I80" s="384">
        <f>SUM(I78:I79)+ER48</f>
        <v>50</v>
      </c>
      <c r="J80" s="384">
        <f>SUM(J78:J79)+ES48</f>
        <v>0</v>
      </c>
      <c r="K80" s="384">
        <f>SUM(K78:K79)+ET48</f>
        <v>0</v>
      </c>
      <c r="L80" s="384">
        <f>SUM(L78:L79)+EU48</f>
        <v>0</v>
      </c>
      <c r="M80" s="384">
        <f t="shared" si="213"/>
        <v>70</v>
      </c>
      <c r="N80" s="63"/>
      <c r="O80" s="111"/>
      <c r="Q80" s="646">
        <f t="shared" si="214"/>
        <v>70</v>
      </c>
      <c r="R80" s="646"/>
      <c r="S80" s="646"/>
      <c r="T80" s="1450"/>
      <c r="U80" s="1451"/>
      <c r="V80" s="788"/>
      <c r="W80" s="785"/>
      <c r="X80" s="789"/>
      <c r="Y80" s="785"/>
      <c r="Z80" s="790"/>
      <c r="AA80" s="787"/>
      <c r="AB80" s="787"/>
      <c r="AC80" s="787"/>
      <c r="AD80" s="787"/>
      <c r="AE80" s="787"/>
      <c r="AF80" s="787"/>
      <c r="AG80" s="786"/>
      <c r="AH80" s="771"/>
      <c r="GW80" s="783"/>
      <c r="HL80" s="759"/>
    </row>
    <row r="81" spans="1:220" ht="12" customHeight="1">
      <c r="C81" s="2"/>
      <c r="D81" s="2"/>
      <c r="E81" s="150" t="s">
        <v>2385</v>
      </c>
      <c r="F81" s="2"/>
      <c r="G81" s="44"/>
      <c r="H81" s="1520">
        <v>20</v>
      </c>
      <c r="I81" s="1520">
        <v>50</v>
      </c>
      <c r="J81" s="1520"/>
      <c r="K81" s="1520"/>
      <c r="L81" s="1520"/>
      <c r="M81" s="382">
        <f t="shared" si="213"/>
        <v>70</v>
      </c>
      <c r="N81" s="31"/>
      <c r="O81" s="111"/>
      <c r="T81" s="1450"/>
      <c r="U81" s="1451"/>
      <c r="V81" s="785"/>
      <c r="W81" s="785"/>
      <c r="X81" s="785"/>
      <c r="Y81" s="785"/>
      <c r="Z81" s="786"/>
      <c r="AA81" s="787"/>
      <c r="AB81" s="787"/>
      <c r="AC81" s="787"/>
      <c r="AD81" s="787"/>
      <c r="AE81" s="787"/>
      <c r="AF81" s="787"/>
      <c r="AG81" s="756"/>
      <c r="AH81" s="771"/>
      <c r="GW81" s="783"/>
      <c r="HL81" s="759"/>
    </row>
    <row r="82" spans="1:220" ht="12" customHeight="1">
      <c r="C82" s="2"/>
      <c r="D82" s="2"/>
      <c r="E82" s="150" t="s">
        <v>2386</v>
      </c>
      <c r="F82" s="2"/>
      <c r="G82" s="44"/>
      <c r="H82" s="1521">
        <v>20</v>
      </c>
      <c r="I82" s="1521">
        <v>50</v>
      </c>
      <c r="J82" s="1521"/>
      <c r="K82" s="1521"/>
      <c r="L82" s="1521"/>
      <c r="M82" s="386">
        <f t="shared" si="213"/>
        <v>70</v>
      </c>
      <c r="N82" s="66"/>
      <c r="O82" s="111"/>
      <c r="T82" s="1453"/>
      <c r="U82" s="1454"/>
      <c r="V82" s="785"/>
      <c r="W82" s="785"/>
      <c r="X82" s="785"/>
      <c r="Y82" s="785"/>
      <c r="Z82" s="786"/>
      <c r="AA82" s="787"/>
      <c r="AB82" s="787"/>
      <c r="AC82" s="787"/>
      <c r="AD82" s="787"/>
      <c r="AE82" s="787"/>
      <c r="AF82" s="787"/>
      <c r="AG82" s="756"/>
      <c r="AH82" s="771"/>
      <c r="GW82" s="783"/>
      <c r="HL82" s="759"/>
    </row>
    <row r="83" spans="1:220" ht="12" customHeight="1">
      <c r="C83" s="2" t="s">
        <v>1550</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1551</v>
      </c>
      <c r="F84" s="2"/>
      <c r="G84" s="44"/>
      <c r="H84" s="382">
        <f>SUM(H85:H88)</f>
        <v>20</v>
      </c>
      <c r="I84" s="382">
        <f>SUM(I85:I88)</f>
        <v>50</v>
      </c>
      <c r="J84" s="382">
        <f>SUM(J85:J88)</f>
        <v>0</v>
      </c>
      <c r="K84" s="382">
        <f>SUM(K85:K88)</f>
        <v>0</v>
      </c>
      <c r="L84" s="382">
        <f>SUM(L85:L88)</f>
        <v>0</v>
      </c>
      <c r="M84" s="382">
        <f t="shared" ref="M84:M92" si="215">SUM(H84:L84)</f>
        <v>70</v>
      </c>
      <c r="N84" s="31"/>
      <c r="O84" s="111"/>
      <c r="Q84" s="646">
        <f>ABS(M84-AF84)</f>
        <v>70</v>
      </c>
      <c r="R84" s="646"/>
      <c r="S84" s="646"/>
      <c r="T84" s="1448"/>
      <c r="U84" s="1449"/>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1153</v>
      </c>
      <c r="H85" s="385">
        <f>FU48</f>
        <v>20</v>
      </c>
      <c r="I85" s="385">
        <f>FV48</f>
        <v>0</v>
      </c>
      <c r="J85" s="385">
        <f>FW48</f>
        <v>0</v>
      </c>
      <c r="K85" s="385">
        <f>FX48</f>
        <v>0</v>
      </c>
      <c r="L85" s="385">
        <f>FY48</f>
        <v>0</v>
      </c>
      <c r="M85" s="383">
        <f t="shared" si="215"/>
        <v>20</v>
      </c>
      <c r="N85" s="31"/>
      <c r="O85" s="111"/>
      <c r="Q85" s="646"/>
      <c r="R85" s="646"/>
      <c r="S85" s="646"/>
      <c r="T85" s="1450"/>
      <c r="U85" s="1451"/>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1154</v>
      </c>
      <c r="H86" s="385">
        <f>FZ48</f>
        <v>0</v>
      </c>
      <c r="I86" s="385">
        <f>GA48</f>
        <v>0</v>
      </c>
      <c r="J86" s="385">
        <f>GB48</f>
        <v>0</v>
      </c>
      <c r="K86" s="385">
        <f>GC48</f>
        <v>0</v>
      </c>
      <c r="L86" s="385">
        <f>GD48</f>
        <v>0</v>
      </c>
      <c r="M86" s="383">
        <f t="shared" si="215"/>
        <v>0</v>
      </c>
      <c r="N86" s="31"/>
      <c r="O86" s="111"/>
      <c r="Q86" s="646"/>
      <c r="R86" s="646"/>
      <c r="S86" s="646"/>
      <c r="T86" s="1450"/>
      <c r="U86" s="1451"/>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1156</v>
      </c>
      <c r="H87" s="385">
        <f>GE48</f>
        <v>0</v>
      </c>
      <c r="I87" s="385">
        <f>GF48</f>
        <v>0</v>
      </c>
      <c r="J87" s="385">
        <f>GG48</f>
        <v>0</v>
      </c>
      <c r="K87" s="385">
        <f>GH48</f>
        <v>0</v>
      </c>
      <c r="L87" s="385">
        <f>GI48</f>
        <v>0</v>
      </c>
      <c r="M87" s="383">
        <f t="shared" si="215"/>
        <v>0</v>
      </c>
      <c r="N87" s="31"/>
      <c r="O87" s="111"/>
      <c r="Q87" s="646"/>
      <c r="R87" s="646"/>
      <c r="S87" s="646"/>
      <c r="T87" s="1450"/>
      <c r="U87" s="1451"/>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1155</v>
      </c>
      <c r="H88" s="385">
        <f>GJ48</f>
        <v>0</v>
      </c>
      <c r="I88" s="385">
        <f>GK48</f>
        <v>50</v>
      </c>
      <c r="J88" s="385">
        <f>GL48</f>
        <v>0</v>
      </c>
      <c r="K88" s="385">
        <f>GM48</f>
        <v>0</v>
      </c>
      <c r="L88" s="385">
        <f>GN48</f>
        <v>0</v>
      </c>
      <c r="M88" s="385">
        <f t="shared" si="215"/>
        <v>50</v>
      </c>
      <c r="N88" s="31"/>
      <c r="O88" s="111"/>
      <c r="Q88" s="646"/>
      <c r="R88" s="646"/>
      <c r="S88" s="646"/>
      <c r="T88" s="1450"/>
      <c r="U88" s="1451"/>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1552</v>
      </c>
      <c r="F89" s="2"/>
      <c r="G89" s="44"/>
      <c r="H89" s="383">
        <f>FA48</f>
        <v>0</v>
      </c>
      <c r="I89" s="383">
        <f>FB48</f>
        <v>0</v>
      </c>
      <c r="J89" s="383">
        <f>FC48</f>
        <v>0</v>
      </c>
      <c r="K89" s="383">
        <f>FD48</f>
        <v>0</v>
      </c>
      <c r="L89" s="383">
        <f>FE48</f>
        <v>0</v>
      </c>
      <c r="M89" s="383">
        <f t="shared" si="215"/>
        <v>0</v>
      </c>
      <c r="N89" s="66"/>
      <c r="O89" s="111"/>
      <c r="Q89" s="646">
        <f>ABS(M89-AF89)</f>
        <v>0</v>
      </c>
      <c r="R89" s="646"/>
      <c r="S89" s="646"/>
      <c r="T89" s="1450"/>
      <c r="U89" s="1451"/>
      <c r="V89" s="771"/>
      <c r="W89" s="771"/>
      <c r="X89" s="789"/>
      <c r="Y89" s="771"/>
      <c r="Z89" s="786"/>
      <c r="AA89" s="787"/>
      <c r="AB89" s="787"/>
      <c r="AC89" s="787"/>
      <c r="AD89" s="787"/>
      <c r="AE89" s="787"/>
      <c r="AF89" s="787"/>
      <c r="AG89" s="756"/>
      <c r="AH89" s="771"/>
      <c r="GW89" s="783"/>
      <c r="HL89" s="759"/>
    </row>
    <row r="90" spans="1:220" ht="12" customHeight="1">
      <c r="C90" s="2"/>
      <c r="D90" s="2"/>
      <c r="E90" s="137" t="s">
        <v>1553</v>
      </c>
      <c r="F90" s="2"/>
      <c r="G90" s="44"/>
      <c r="H90" s="383">
        <f>FP48</f>
        <v>0</v>
      </c>
      <c r="I90" s="383">
        <f>FQ48</f>
        <v>0</v>
      </c>
      <c r="J90" s="383">
        <f>FR48</f>
        <v>0</v>
      </c>
      <c r="K90" s="383">
        <f>FS48</f>
        <v>0</v>
      </c>
      <c r="L90" s="383">
        <f>FT48</f>
        <v>0</v>
      </c>
      <c r="M90" s="383">
        <f t="shared" si="215"/>
        <v>0</v>
      </c>
      <c r="N90" s="31"/>
      <c r="O90" s="111"/>
      <c r="Q90" s="646">
        <f>ABS(M90-AF90)</f>
        <v>0</v>
      </c>
      <c r="R90" s="646"/>
      <c r="S90" s="646"/>
      <c r="T90" s="1450"/>
      <c r="U90" s="1451"/>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769</v>
      </c>
      <c r="F91" s="2"/>
      <c r="G91" s="44"/>
      <c r="H91" s="383">
        <f>FK48</f>
        <v>0</v>
      </c>
      <c r="I91" s="383">
        <f>FL48</f>
        <v>0</v>
      </c>
      <c r="J91" s="383">
        <f>FM48</f>
        <v>0</v>
      </c>
      <c r="K91" s="383">
        <f>FN48</f>
        <v>0</v>
      </c>
      <c r="L91" s="383">
        <f>FO48</f>
        <v>0</v>
      </c>
      <c r="M91" s="383">
        <f t="shared" si="215"/>
        <v>0</v>
      </c>
      <c r="N91" s="66"/>
      <c r="O91" s="111"/>
      <c r="Q91" s="646">
        <f>ABS(M91-AF91)</f>
        <v>0</v>
      </c>
      <c r="R91" s="646"/>
      <c r="S91" s="646"/>
      <c r="T91" s="1450"/>
      <c r="U91" s="1451"/>
      <c r="V91" s="771"/>
      <c r="W91" s="771"/>
      <c r="X91" s="776"/>
      <c r="Y91" s="771"/>
      <c r="Z91" s="786"/>
      <c r="AA91" s="787"/>
      <c r="AB91" s="787"/>
      <c r="AC91" s="787"/>
      <c r="AD91" s="787"/>
      <c r="AE91" s="787"/>
      <c r="AF91" s="787"/>
      <c r="AG91" s="756"/>
      <c r="AH91" s="771"/>
      <c r="GW91" s="783"/>
      <c r="HL91" s="759"/>
    </row>
    <row r="92" spans="1:220" ht="12" customHeight="1">
      <c r="C92" s="2"/>
      <c r="D92" s="2"/>
      <c r="E92" s="119" t="s">
        <v>770</v>
      </c>
      <c r="F92" s="2"/>
      <c r="G92" s="44"/>
      <c r="H92" s="386">
        <f>FF48</f>
        <v>0</v>
      </c>
      <c r="I92" s="386">
        <f>FG48</f>
        <v>0</v>
      </c>
      <c r="J92" s="386">
        <f>FH48</f>
        <v>0</v>
      </c>
      <c r="K92" s="386">
        <f>FI48</f>
        <v>0</v>
      </c>
      <c r="L92" s="386">
        <f>FJ48</f>
        <v>0</v>
      </c>
      <c r="M92" s="386">
        <f t="shared" si="215"/>
        <v>0</v>
      </c>
      <c r="N92" s="31"/>
      <c r="O92" s="111"/>
      <c r="Q92" s="646">
        <f>ABS(M92-AF92)</f>
        <v>0</v>
      </c>
      <c r="R92" s="646"/>
      <c r="S92" s="646"/>
      <c r="T92" s="1453"/>
      <c r="U92" s="1454"/>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2534</v>
      </c>
      <c r="C93" s="2"/>
      <c r="D93" s="2"/>
      <c r="E93" s="2"/>
      <c r="F93" s="2"/>
      <c r="G93" s="44"/>
      <c r="H93" s="2"/>
      <c r="I93" s="2"/>
      <c r="J93" s="2"/>
      <c r="K93" s="2"/>
      <c r="L93" s="2"/>
      <c r="M93" s="2"/>
      <c r="O93" s="111"/>
      <c r="Q93" s="646"/>
      <c r="R93" s="646"/>
      <c r="S93" s="646"/>
      <c r="T93" s="475" t="str">
        <f>B93</f>
        <v>Unit Square Footage:</v>
      </c>
      <c r="U93" s="645" t="s">
        <v>1230</v>
      </c>
      <c r="V93" s="785"/>
      <c r="W93" s="785"/>
      <c r="X93" s="785"/>
      <c r="Y93" s="785"/>
      <c r="Z93" s="786"/>
      <c r="AA93" s="785"/>
      <c r="AB93" s="785"/>
      <c r="AC93" s="785"/>
      <c r="AD93" s="785"/>
      <c r="AE93" s="785"/>
      <c r="AF93" s="785"/>
      <c r="AG93" s="782"/>
      <c r="AH93" s="771"/>
      <c r="GW93" s="783"/>
      <c r="HL93" s="759"/>
    </row>
    <row r="94" spans="1:220" ht="12" customHeight="1">
      <c r="C94" s="6" t="s">
        <v>2504</v>
      </c>
      <c r="D94" s="2"/>
      <c r="E94" s="2"/>
      <c r="F94" s="2"/>
      <c r="G94" s="44" t="s">
        <v>1244</v>
      </c>
      <c r="H94" s="223">
        <f>BY48</f>
        <v>0</v>
      </c>
      <c r="I94" s="223">
        <f>BZ48</f>
        <v>0</v>
      </c>
      <c r="J94" s="223">
        <f>CA48</f>
        <v>0</v>
      </c>
      <c r="K94" s="223">
        <f>CB48</f>
        <v>0</v>
      </c>
      <c r="L94" s="223">
        <f>CC48</f>
        <v>0</v>
      </c>
      <c r="M94" s="223">
        <f t="shared" ref="M94:M100" si="216">SUM(H94:L94)</f>
        <v>0</v>
      </c>
      <c r="O94" s="111"/>
      <c r="Q94" s="646">
        <f t="shared" ref="Q94:Q100" si="217">ABS(M94-AF94)</f>
        <v>0</v>
      </c>
      <c r="R94" s="646"/>
      <c r="S94" s="646"/>
      <c r="T94" s="1448"/>
      <c r="U94" s="1449"/>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1633</v>
      </c>
      <c r="H95" s="225">
        <f>CD48</f>
        <v>7500</v>
      </c>
      <c r="I95" s="225">
        <f>CE48</f>
        <v>35000</v>
      </c>
      <c r="J95" s="225">
        <f>CF48</f>
        <v>0</v>
      </c>
      <c r="K95" s="225">
        <f>CG48</f>
        <v>0</v>
      </c>
      <c r="L95" s="225">
        <f>CH48</f>
        <v>0</v>
      </c>
      <c r="M95" s="225">
        <f t="shared" si="216"/>
        <v>42500</v>
      </c>
      <c r="N95" s="6"/>
      <c r="O95" s="111"/>
      <c r="Q95" s="646">
        <f t="shared" si="217"/>
        <v>42500</v>
      </c>
      <c r="R95" s="646"/>
      <c r="S95" s="646"/>
      <c r="T95" s="1450"/>
      <c r="U95" s="1451"/>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741</v>
      </c>
      <c r="H96" s="222">
        <f>SUM(H94:H95)</f>
        <v>7500</v>
      </c>
      <c r="I96" s="222">
        <f>SUM(I94:I95)</f>
        <v>35000</v>
      </c>
      <c r="J96" s="222">
        <f>SUM(J94:J95)</f>
        <v>0</v>
      </c>
      <c r="K96" s="222">
        <f>SUM(K94:K95)</f>
        <v>0</v>
      </c>
      <c r="L96" s="222">
        <f>SUM(L94:L95)</f>
        <v>0</v>
      </c>
      <c r="M96" s="222">
        <f t="shared" si="216"/>
        <v>42500</v>
      </c>
      <c r="N96" s="6"/>
      <c r="O96" s="111"/>
      <c r="Q96" s="646">
        <f t="shared" si="217"/>
        <v>42500</v>
      </c>
      <c r="R96" s="646"/>
      <c r="S96" s="646"/>
      <c r="T96" s="1450"/>
      <c r="U96" s="1451"/>
      <c r="V96" s="788"/>
      <c r="W96" s="785"/>
      <c r="X96" s="785"/>
      <c r="Y96" s="785"/>
      <c r="Z96" s="786"/>
      <c r="AA96" s="787"/>
      <c r="AB96" s="787"/>
      <c r="AC96" s="787"/>
      <c r="AD96" s="787"/>
      <c r="AE96" s="787"/>
      <c r="AF96" s="787"/>
      <c r="AG96" s="785"/>
      <c r="AH96" s="771"/>
      <c r="GW96" s="783"/>
      <c r="HL96" s="759"/>
    </row>
    <row r="97" spans="1:222" ht="12" customHeight="1">
      <c r="C97" s="2" t="s">
        <v>399</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50"/>
      <c r="U97" s="1451"/>
      <c r="V97" s="771"/>
      <c r="W97" s="785"/>
      <c r="X97" s="785"/>
      <c r="Y97" s="785"/>
      <c r="Z97" s="785"/>
      <c r="AA97" s="787"/>
      <c r="AB97" s="787"/>
      <c r="AC97" s="787"/>
      <c r="AD97" s="787"/>
      <c r="AE97" s="787"/>
      <c r="AF97" s="787"/>
      <c r="AG97" s="782"/>
      <c r="AH97" s="771"/>
      <c r="GW97" s="783"/>
      <c r="HL97" s="759"/>
    </row>
    <row r="98" spans="1:222" ht="12" customHeight="1">
      <c r="C98" s="6" t="s">
        <v>1232</v>
      </c>
      <c r="D98" s="2"/>
      <c r="E98" s="2"/>
      <c r="F98" s="2"/>
      <c r="G98" s="2"/>
      <c r="H98" s="222">
        <f>SUM(H96:H97)</f>
        <v>7500</v>
      </c>
      <c r="I98" s="222">
        <f>SUM(I96:I97)</f>
        <v>35000</v>
      </c>
      <c r="J98" s="222">
        <f>SUM(J96:J97)</f>
        <v>0</v>
      </c>
      <c r="K98" s="222">
        <f>SUM(K96:K97)</f>
        <v>0</v>
      </c>
      <c r="L98" s="222">
        <f>SUM(L96:L97)</f>
        <v>0</v>
      </c>
      <c r="M98" s="222">
        <f t="shared" si="216"/>
        <v>42500</v>
      </c>
      <c r="O98" s="111"/>
      <c r="Q98" s="646">
        <f t="shared" si="217"/>
        <v>42500</v>
      </c>
      <c r="R98" s="646"/>
      <c r="S98" s="646"/>
      <c r="T98" s="1450"/>
      <c r="U98" s="1451"/>
      <c r="V98" s="785"/>
      <c r="W98" s="785"/>
      <c r="X98" s="785"/>
      <c r="Y98" s="785"/>
      <c r="Z98" s="785"/>
      <c r="AA98" s="787"/>
      <c r="AB98" s="787"/>
      <c r="AC98" s="787"/>
      <c r="AD98" s="787"/>
      <c r="AE98" s="787"/>
      <c r="AF98" s="787"/>
      <c r="AG98" s="782"/>
      <c r="AH98" s="771"/>
      <c r="GW98" s="783"/>
      <c r="HL98" s="759"/>
    </row>
    <row r="99" spans="1:222" ht="12" customHeight="1">
      <c r="C99" s="6" t="s">
        <v>3191</v>
      </c>
      <c r="D99" s="2"/>
      <c r="E99" s="2"/>
      <c r="F99" s="2"/>
      <c r="G99" s="2"/>
      <c r="H99" s="222">
        <f>CX48</f>
        <v>0</v>
      </c>
      <c r="I99" s="222">
        <f>CY48</f>
        <v>0</v>
      </c>
      <c r="J99" s="222">
        <f>CZ48</f>
        <v>0</v>
      </c>
      <c r="K99" s="222">
        <f>DA48</f>
        <v>0</v>
      </c>
      <c r="L99" s="222">
        <f>DB48</f>
        <v>0</v>
      </c>
      <c r="M99" s="222">
        <f t="shared" si="216"/>
        <v>0</v>
      </c>
      <c r="O99" s="111"/>
      <c r="Q99" s="646">
        <f t="shared" si="217"/>
        <v>0</v>
      </c>
      <c r="R99" s="646"/>
      <c r="S99" s="646"/>
      <c r="T99" s="1450"/>
      <c r="U99" s="1451"/>
      <c r="V99" s="785"/>
      <c r="W99" s="785"/>
      <c r="X99" s="785"/>
      <c r="Y99" s="785"/>
      <c r="Z99" s="785"/>
      <c r="AA99" s="787"/>
      <c r="AB99" s="787"/>
      <c r="AC99" s="787"/>
      <c r="AD99" s="787"/>
      <c r="AE99" s="787"/>
      <c r="AF99" s="787"/>
      <c r="AG99" s="782"/>
      <c r="AH99" s="771"/>
      <c r="GW99" s="783"/>
      <c r="HL99" s="759"/>
    </row>
    <row r="100" spans="1:222" ht="12" customHeight="1">
      <c r="C100" s="6" t="s">
        <v>741</v>
      </c>
      <c r="D100" s="2"/>
      <c r="E100" s="2"/>
      <c r="F100" s="2"/>
      <c r="G100" s="2"/>
      <c r="H100" s="222">
        <f>SUM(H98:H99)</f>
        <v>7500</v>
      </c>
      <c r="I100" s="222">
        <f>SUM(I98:I99)</f>
        <v>35000</v>
      </c>
      <c r="J100" s="222">
        <f>SUM(J98:J99)</f>
        <v>0</v>
      </c>
      <c r="K100" s="222">
        <f>SUM(K98:K99)</f>
        <v>0</v>
      </c>
      <c r="L100" s="222">
        <f>SUM(L98:L99)</f>
        <v>0</v>
      </c>
      <c r="M100" s="222">
        <f t="shared" si="216"/>
        <v>42500</v>
      </c>
      <c r="O100" s="111"/>
      <c r="Q100" s="646">
        <f t="shared" si="217"/>
        <v>42500</v>
      </c>
      <c r="R100" s="646"/>
      <c r="S100" s="646"/>
      <c r="T100" s="1453"/>
      <c r="U100" s="1454"/>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2776</v>
      </c>
      <c r="B102" s="16" t="s">
        <v>2068</v>
      </c>
      <c r="P102" s="9"/>
      <c r="Q102" s="647"/>
      <c r="R102" s="647"/>
      <c r="S102" s="647"/>
      <c r="T102" s="16" t="s">
        <v>327</v>
      </c>
      <c r="FY102" s="759"/>
      <c r="GP102" s="778"/>
      <c r="GV102" s="759"/>
      <c r="GW102" s="783"/>
      <c r="HL102" s="759"/>
      <c r="HN102" s="783"/>
    </row>
    <row r="103" spans="1:222" ht="9" customHeight="1">
      <c r="P103" s="647"/>
    </row>
    <row r="104" spans="1:222" ht="12.6" customHeight="1">
      <c r="B104" s="16" t="s">
        <v>1062</v>
      </c>
      <c r="D104" s="150"/>
      <c r="E104" s="186"/>
      <c r="G104" s="1522"/>
      <c r="H104" s="1523"/>
      <c r="I104" s="148" t="s">
        <v>4046</v>
      </c>
      <c r="O104" s="814" t="e">
        <f>G104/L49</f>
        <v>#DIV/0!</v>
      </c>
      <c r="P104" s="562"/>
      <c r="T104" s="5" t="str">
        <f>B104</f>
        <v>Ancillary Income</v>
      </c>
    </row>
    <row r="105" spans="1:222" ht="15" customHeight="1">
      <c r="B105" s="16"/>
      <c r="D105" s="150"/>
      <c r="E105" s="186"/>
      <c r="G105" s="302"/>
      <c r="H105" s="302"/>
      <c r="I105" s="148"/>
      <c r="P105" s="562"/>
    </row>
    <row r="106" spans="1:222" ht="13.9" customHeight="1">
      <c r="B106" s="16" t="s">
        <v>3390</v>
      </c>
      <c r="I106" s="16"/>
      <c r="K106" s="41"/>
      <c r="T106" s="5" t="str">
        <f>B106</f>
        <v>Other Income (OI) by Year:</v>
      </c>
    </row>
    <row r="107" spans="1:222" ht="15" customHeight="1">
      <c r="B107" s="16"/>
      <c r="I107" s="16"/>
      <c r="K107" s="41"/>
    </row>
    <row r="108" spans="1:222" ht="13.9" customHeight="1">
      <c r="B108" s="557" t="s">
        <v>3660</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1063</v>
      </c>
      <c r="G109" s="1524">
        <f>((525*20)+(605*50))*12</f>
        <v>489000</v>
      </c>
      <c r="H109" s="1524">
        <f>(G109)*1.02</f>
        <v>498780</v>
      </c>
      <c r="I109" s="1524">
        <f t="shared" ref="I109:P109" si="218">(H109)*1.02</f>
        <v>508755.60000000003</v>
      </c>
      <c r="J109" s="1524">
        <f t="shared" si="218"/>
        <v>518930.71200000006</v>
      </c>
      <c r="K109" s="1524">
        <f t="shared" si="218"/>
        <v>529309.32624000008</v>
      </c>
      <c r="L109" s="1524">
        <f t="shared" si="218"/>
        <v>539895.51276480011</v>
      </c>
      <c r="M109" s="1524">
        <f t="shared" si="218"/>
        <v>550693.42302009615</v>
      </c>
      <c r="N109" s="1524">
        <f t="shared" si="218"/>
        <v>561707.29148049804</v>
      </c>
      <c r="O109" s="1524">
        <f t="shared" si="218"/>
        <v>572941.43731010798</v>
      </c>
      <c r="P109" s="1524">
        <f t="shared" si="218"/>
        <v>584400.26605631015</v>
      </c>
      <c r="T109" s="1448"/>
      <c r="U109" s="1449"/>
    </row>
    <row r="110" spans="1:222" ht="15" customHeight="1">
      <c r="B110" s="9" t="s">
        <v>2775</v>
      </c>
      <c r="C110" s="1525" t="s">
        <v>901</v>
      </c>
      <c r="D110" s="1526"/>
      <c r="E110" s="1526"/>
      <c r="F110" s="1527"/>
      <c r="G110" s="1528">
        <f>0.0175*G109</f>
        <v>8557.5</v>
      </c>
      <c r="H110" s="1528">
        <f t="shared" ref="H110:P110" si="219">0.0175*H109</f>
        <v>8728.6500000000015</v>
      </c>
      <c r="I110" s="1528">
        <f t="shared" si="219"/>
        <v>8903.2230000000018</v>
      </c>
      <c r="J110" s="1528">
        <f t="shared" si="219"/>
        <v>9081.2874600000014</v>
      </c>
      <c r="K110" s="1528">
        <f t="shared" si="219"/>
        <v>9262.9132092000018</v>
      </c>
      <c r="L110" s="1528">
        <f t="shared" si="219"/>
        <v>9448.1714733840035</v>
      </c>
      <c r="M110" s="1528">
        <f t="shared" si="219"/>
        <v>9637.1349028516834</v>
      </c>
      <c r="N110" s="1528">
        <f t="shared" si="219"/>
        <v>9829.877600908716</v>
      </c>
      <c r="O110" s="1528">
        <f t="shared" si="219"/>
        <v>10026.475152926891</v>
      </c>
      <c r="P110" s="1528">
        <f t="shared" si="219"/>
        <v>10227.004655985429</v>
      </c>
      <c r="T110" s="1450"/>
      <c r="U110" s="1451"/>
    </row>
    <row r="111" spans="1:222" ht="15" customHeight="1">
      <c r="C111" s="119" t="s">
        <v>942</v>
      </c>
      <c r="G111" s="39">
        <f t="shared" ref="G111:P111" si="220">SUM(G109:G110)</f>
        <v>497557.5</v>
      </c>
      <c r="H111" s="39">
        <f t="shared" si="220"/>
        <v>507508.65</v>
      </c>
      <c r="I111" s="39">
        <f t="shared" si="220"/>
        <v>517658.82300000003</v>
      </c>
      <c r="J111" s="39">
        <f t="shared" si="220"/>
        <v>528011.99946000008</v>
      </c>
      <c r="K111" s="39">
        <f t="shared" si="220"/>
        <v>538572.2394492001</v>
      </c>
      <c r="L111" s="39">
        <f t="shared" si="220"/>
        <v>549343.68423818413</v>
      </c>
      <c r="M111" s="39">
        <f t="shared" si="220"/>
        <v>560330.5579229478</v>
      </c>
      <c r="N111" s="39">
        <f t="shared" si="220"/>
        <v>571537.16908140678</v>
      </c>
      <c r="O111" s="39">
        <f t="shared" si="220"/>
        <v>582967.91246303485</v>
      </c>
      <c r="P111" s="39">
        <f t="shared" si="220"/>
        <v>594627.27071229555</v>
      </c>
      <c r="T111" s="1453"/>
      <c r="U111" s="1454"/>
    </row>
    <row r="112" spans="1:222" ht="6.6" customHeight="1">
      <c r="C112" s="119"/>
      <c r="G112" s="25"/>
      <c r="H112" s="25"/>
      <c r="I112" s="25"/>
      <c r="J112" s="25"/>
      <c r="K112" s="25"/>
      <c r="L112" s="25"/>
      <c r="M112" s="25"/>
      <c r="N112" s="25"/>
      <c r="O112" s="25"/>
      <c r="P112" s="25"/>
    </row>
    <row r="113" spans="2:21" ht="15.6" customHeight="1">
      <c r="B113" s="558" t="s">
        <v>868</v>
      </c>
      <c r="G113" s="42"/>
      <c r="P113" s="9"/>
      <c r="T113" s="127" t="str">
        <f>B113</f>
        <v>NOT Included in Mgt Fee:</v>
      </c>
    </row>
    <row r="114" spans="2:21" ht="15" customHeight="1">
      <c r="B114" s="9" t="s">
        <v>735</v>
      </c>
      <c r="G114" s="1524"/>
      <c r="H114" s="1524"/>
      <c r="I114" s="1524"/>
      <c r="J114" s="1524"/>
      <c r="K114" s="1529"/>
      <c r="L114" s="1524"/>
      <c r="M114" s="1524"/>
      <c r="N114" s="1524"/>
      <c r="O114" s="1524"/>
      <c r="P114" s="1524"/>
      <c r="T114" s="1450"/>
      <c r="U114" s="1451"/>
    </row>
    <row r="115" spans="2:21" ht="15" customHeight="1">
      <c r="B115" s="9" t="s">
        <v>2775</v>
      </c>
      <c r="C115" s="1525"/>
      <c r="D115" s="1526"/>
      <c r="E115" s="1526"/>
      <c r="F115" s="1527"/>
      <c r="G115" s="1528"/>
      <c r="H115" s="1528"/>
      <c r="I115" s="1528"/>
      <c r="J115" s="1528"/>
      <c r="K115" s="1530"/>
      <c r="L115" s="1528"/>
      <c r="M115" s="1528"/>
      <c r="N115" s="1528"/>
      <c r="O115" s="1528"/>
      <c r="P115" s="1528"/>
      <c r="T115" s="1450"/>
      <c r="U115" s="1451"/>
    </row>
    <row r="116" spans="2:21" ht="15" customHeight="1">
      <c r="C116" s="119" t="s">
        <v>2030</v>
      </c>
      <c r="G116" s="39">
        <f t="shared" ref="G116:P116" si="221">SUM(G114:G115)</f>
        <v>0</v>
      </c>
      <c r="H116" s="39">
        <f t="shared" si="221"/>
        <v>0</v>
      </c>
      <c r="I116" s="39">
        <f t="shared" si="221"/>
        <v>0</v>
      </c>
      <c r="J116" s="39">
        <f t="shared" si="221"/>
        <v>0</v>
      </c>
      <c r="K116" s="39">
        <f t="shared" si="221"/>
        <v>0</v>
      </c>
      <c r="L116" s="39">
        <f t="shared" si="221"/>
        <v>0</v>
      </c>
      <c r="M116" s="39">
        <f t="shared" si="221"/>
        <v>0</v>
      </c>
      <c r="N116" s="39">
        <f t="shared" si="221"/>
        <v>0</v>
      </c>
      <c r="O116" s="39">
        <f t="shared" si="221"/>
        <v>0</v>
      </c>
      <c r="P116" s="39">
        <f t="shared" si="221"/>
        <v>0</v>
      </c>
      <c r="T116" s="1453"/>
      <c r="U116" s="1454"/>
    </row>
    <row r="117" spans="2:21" ht="42.6" customHeight="1">
      <c r="B117" s="16"/>
      <c r="G117" s="42"/>
      <c r="P117" s="9"/>
      <c r="T117" s="238" t="s">
        <v>3206</v>
      </c>
    </row>
    <row r="118" spans="2:21" ht="13.9" customHeight="1">
      <c r="B118" s="557" t="s">
        <v>3660</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1063</v>
      </c>
      <c r="G119" s="1524">
        <f>(P109)*1.02</f>
        <v>596088.27137743635</v>
      </c>
      <c r="H119" s="1524">
        <f>(G119)*1.02</f>
        <v>608010.03680498514</v>
      </c>
      <c r="I119" s="1524">
        <f t="shared" ref="I119:P119" si="222">(H119)*1.02</f>
        <v>620170.23754108488</v>
      </c>
      <c r="J119" s="1524">
        <f t="shared" si="222"/>
        <v>632573.64229190664</v>
      </c>
      <c r="K119" s="1524">
        <f t="shared" si="222"/>
        <v>645225.11513774481</v>
      </c>
      <c r="L119" s="1524">
        <f t="shared" si="222"/>
        <v>658129.61744049971</v>
      </c>
      <c r="M119" s="1524">
        <f t="shared" si="222"/>
        <v>671292.20978930977</v>
      </c>
      <c r="N119" s="1524">
        <f t="shared" si="222"/>
        <v>684718.05398509593</v>
      </c>
      <c r="O119" s="1524">
        <f t="shared" si="222"/>
        <v>698412.41506479785</v>
      </c>
      <c r="P119" s="1524">
        <f t="shared" si="222"/>
        <v>712380.66336609377</v>
      </c>
      <c r="T119" s="1448"/>
      <c r="U119" s="1449"/>
    </row>
    <row r="120" spans="2:21" ht="15" customHeight="1">
      <c r="B120" s="9" t="s">
        <v>2775</v>
      </c>
      <c r="C120" s="1525" t="s">
        <v>901</v>
      </c>
      <c r="D120" s="1526"/>
      <c r="E120" s="1526"/>
      <c r="F120" s="1527"/>
      <c r="G120" s="1528">
        <f t="shared" ref="G120:P120" si="223">0.0175*G119</f>
        <v>10431.544749105136</v>
      </c>
      <c r="H120" s="1528">
        <f t="shared" si="223"/>
        <v>10640.175644087241</v>
      </c>
      <c r="I120" s="1528">
        <f t="shared" si="223"/>
        <v>10852.979156968986</v>
      </c>
      <c r="J120" s="1528">
        <f t="shared" si="223"/>
        <v>11070.038740108368</v>
      </c>
      <c r="K120" s="1528">
        <f t="shared" si="223"/>
        <v>11291.439514910535</v>
      </c>
      <c r="L120" s="1528">
        <f t="shared" si="223"/>
        <v>11517.268305208747</v>
      </c>
      <c r="M120" s="1528">
        <f t="shared" si="223"/>
        <v>11747.613671312922</v>
      </c>
      <c r="N120" s="1528">
        <f t="shared" si="223"/>
        <v>11982.565944739181</v>
      </c>
      <c r="O120" s="1528">
        <f t="shared" si="223"/>
        <v>12222.217263633964</v>
      </c>
      <c r="P120" s="1528">
        <f t="shared" si="223"/>
        <v>12466.661608906643</v>
      </c>
      <c r="T120" s="1450"/>
      <c r="U120" s="1451"/>
    </row>
    <row r="121" spans="2:21" ht="15" customHeight="1">
      <c r="C121" s="119" t="s">
        <v>942</v>
      </c>
      <c r="G121" s="39">
        <f t="shared" ref="G121:P121" si="224">SUM(G119:G120)</f>
        <v>606519.81612654147</v>
      </c>
      <c r="H121" s="39">
        <f t="shared" si="224"/>
        <v>618650.21244907239</v>
      </c>
      <c r="I121" s="39">
        <f t="shared" si="224"/>
        <v>631023.21669805388</v>
      </c>
      <c r="J121" s="39">
        <f t="shared" si="224"/>
        <v>643643.68103201501</v>
      </c>
      <c r="K121" s="39">
        <f t="shared" si="224"/>
        <v>656516.55465265538</v>
      </c>
      <c r="L121" s="39">
        <f t="shared" si="224"/>
        <v>669646.88574570848</v>
      </c>
      <c r="M121" s="39">
        <f t="shared" si="224"/>
        <v>683039.82346062269</v>
      </c>
      <c r="N121" s="39">
        <f t="shared" si="224"/>
        <v>696700.61992983508</v>
      </c>
      <c r="O121" s="39">
        <f t="shared" si="224"/>
        <v>710634.63232843182</v>
      </c>
      <c r="P121" s="39">
        <f t="shared" si="224"/>
        <v>724847.32497500046</v>
      </c>
      <c r="T121" s="1453"/>
      <c r="U121" s="1454"/>
    </row>
    <row r="122" spans="2:21" ht="6.6" customHeight="1">
      <c r="C122" s="119"/>
      <c r="G122" s="25"/>
      <c r="H122" s="25"/>
      <c r="I122" s="25"/>
      <c r="J122" s="25"/>
      <c r="K122" s="25"/>
      <c r="L122" s="25"/>
      <c r="M122" s="25"/>
      <c r="N122" s="25"/>
      <c r="O122" s="25"/>
      <c r="P122" s="25"/>
    </row>
    <row r="123" spans="2:21" ht="15.6" customHeight="1">
      <c r="B123" s="558" t="s">
        <v>868</v>
      </c>
      <c r="G123" s="42"/>
      <c r="P123" s="9"/>
      <c r="T123" s="127" t="str">
        <f>B123</f>
        <v>NOT Included in Mgt Fee:</v>
      </c>
    </row>
    <row r="124" spans="2:21" ht="15" customHeight="1">
      <c r="B124" s="9" t="s">
        <v>735</v>
      </c>
      <c r="G124" s="1524"/>
      <c r="H124" s="1524"/>
      <c r="I124" s="1524"/>
      <c r="J124" s="1524"/>
      <c r="K124" s="1529"/>
      <c r="L124" s="1524"/>
      <c r="M124" s="1524"/>
      <c r="N124" s="1524"/>
      <c r="O124" s="1524"/>
      <c r="P124" s="1524"/>
      <c r="T124" s="1450"/>
      <c r="U124" s="1451"/>
    </row>
    <row r="125" spans="2:21" ht="15" customHeight="1">
      <c r="B125" s="9" t="s">
        <v>2775</v>
      </c>
      <c r="C125" s="1525"/>
      <c r="D125" s="1526"/>
      <c r="E125" s="1526"/>
      <c r="F125" s="1527"/>
      <c r="G125" s="1528"/>
      <c r="H125" s="1528"/>
      <c r="I125" s="1528"/>
      <c r="J125" s="1528"/>
      <c r="K125" s="1530"/>
      <c r="L125" s="1528"/>
      <c r="M125" s="1528"/>
      <c r="N125" s="1528"/>
      <c r="O125" s="1528"/>
      <c r="P125" s="1528"/>
      <c r="T125" s="1450"/>
      <c r="U125" s="1451"/>
    </row>
    <row r="126" spans="2:21" ht="15" customHeight="1">
      <c r="C126" s="119" t="s">
        <v>2030</v>
      </c>
      <c r="G126" s="39">
        <f t="shared" ref="G126:P126" si="225">SUM(G124:G125)</f>
        <v>0</v>
      </c>
      <c r="H126" s="39">
        <f t="shared" si="225"/>
        <v>0</v>
      </c>
      <c r="I126" s="39">
        <f t="shared" si="225"/>
        <v>0</v>
      </c>
      <c r="J126" s="39">
        <f t="shared" si="225"/>
        <v>0</v>
      </c>
      <c r="K126" s="39">
        <f t="shared" si="225"/>
        <v>0</v>
      </c>
      <c r="L126" s="39">
        <f t="shared" si="225"/>
        <v>0</v>
      </c>
      <c r="M126" s="39">
        <f t="shared" si="225"/>
        <v>0</v>
      </c>
      <c r="N126" s="39">
        <f t="shared" si="225"/>
        <v>0</v>
      </c>
      <c r="O126" s="39">
        <f t="shared" si="225"/>
        <v>0</v>
      </c>
      <c r="P126" s="39">
        <f t="shared" si="225"/>
        <v>0</v>
      </c>
      <c r="T126" s="1453"/>
      <c r="U126" s="1454"/>
    </row>
    <row r="127" spans="2:21" ht="42.6" customHeight="1">
      <c r="B127" s="16"/>
      <c r="G127" s="42"/>
      <c r="P127" s="9"/>
      <c r="T127" s="238" t="s">
        <v>3207</v>
      </c>
    </row>
    <row r="128" spans="2:21" ht="13.9" customHeight="1">
      <c r="B128" s="557" t="s">
        <v>3660</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1063</v>
      </c>
      <c r="G129" s="1524">
        <f>(P119)*1.02</f>
        <v>726628.2766334156</v>
      </c>
      <c r="H129" s="1524">
        <f>(G129)*1.02</f>
        <v>741160.84216608398</v>
      </c>
      <c r="I129" s="1524">
        <f t="shared" ref="I129:P129" si="226">(H129)*1.02</f>
        <v>755984.05900940567</v>
      </c>
      <c r="J129" s="1524">
        <f t="shared" si="226"/>
        <v>771103.74018959375</v>
      </c>
      <c r="K129" s="1524">
        <f t="shared" si="226"/>
        <v>786525.81499338569</v>
      </c>
      <c r="L129" s="1524">
        <f t="shared" si="226"/>
        <v>802256.33129325346</v>
      </c>
      <c r="M129" s="1524">
        <f t="shared" si="226"/>
        <v>818301.45791911858</v>
      </c>
      <c r="N129" s="1524">
        <f t="shared" si="226"/>
        <v>834667.48707750102</v>
      </c>
      <c r="O129" s="1524">
        <f t="shared" si="226"/>
        <v>851360.83681905107</v>
      </c>
      <c r="P129" s="1524">
        <f t="shared" si="226"/>
        <v>868388.05355543212</v>
      </c>
      <c r="T129" s="1448"/>
      <c r="U129" s="1449"/>
    </row>
    <row r="130" spans="1:255" ht="15" customHeight="1">
      <c r="B130" s="9" t="s">
        <v>2775</v>
      </c>
      <c r="C130" s="1525" t="s">
        <v>901</v>
      </c>
      <c r="D130" s="1526"/>
      <c r="E130" s="1526"/>
      <c r="F130" s="1527"/>
      <c r="G130" s="1528">
        <f t="shared" ref="G130:P130" si="227">0.0175*G129</f>
        <v>12715.994841084774</v>
      </c>
      <c r="H130" s="1528">
        <f t="shared" si="227"/>
        <v>12970.31473790647</v>
      </c>
      <c r="I130" s="1528">
        <f t="shared" si="227"/>
        <v>13229.7210326646</v>
      </c>
      <c r="J130" s="1528">
        <f t="shared" si="227"/>
        <v>13494.315453317891</v>
      </c>
      <c r="K130" s="1528">
        <f t="shared" si="227"/>
        <v>13764.201762384251</v>
      </c>
      <c r="L130" s="1528">
        <f t="shared" si="227"/>
        <v>14039.485797631936</v>
      </c>
      <c r="M130" s="1528">
        <f t="shared" si="227"/>
        <v>14320.275513584576</v>
      </c>
      <c r="N130" s="1528">
        <f t="shared" si="227"/>
        <v>14606.681023856268</v>
      </c>
      <c r="O130" s="1528">
        <f t="shared" si="227"/>
        <v>14898.814644333395</v>
      </c>
      <c r="P130" s="1528">
        <f t="shared" si="227"/>
        <v>15196.790937220063</v>
      </c>
      <c r="T130" s="1450"/>
      <c r="U130" s="1451"/>
    </row>
    <row r="131" spans="1:255" ht="15" customHeight="1">
      <c r="C131" s="119" t="s">
        <v>942</v>
      </c>
      <c r="G131" s="39">
        <f t="shared" ref="G131:P131" si="228">SUM(G129:G130)</f>
        <v>739344.27147450042</v>
      </c>
      <c r="H131" s="39">
        <f t="shared" si="228"/>
        <v>754131.15690399043</v>
      </c>
      <c r="I131" s="39">
        <f t="shared" si="228"/>
        <v>769213.78004207031</v>
      </c>
      <c r="J131" s="39">
        <f t="shared" si="228"/>
        <v>784598.0556429117</v>
      </c>
      <c r="K131" s="39">
        <f t="shared" si="228"/>
        <v>800290.01675576996</v>
      </c>
      <c r="L131" s="39">
        <f t="shared" si="228"/>
        <v>816295.81709088536</v>
      </c>
      <c r="M131" s="39">
        <f t="shared" si="228"/>
        <v>832621.73343270319</v>
      </c>
      <c r="N131" s="39">
        <f t="shared" si="228"/>
        <v>849274.1681013573</v>
      </c>
      <c r="O131" s="39">
        <f t="shared" si="228"/>
        <v>866259.65146338451</v>
      </c>
      <c r="P131" s="39">
        <f t="shared" si="228"/>
        <v>883584.84449265222</v>
      </c>
      <c r="T131" s="1453"/>
      <c r="U131" s="1454"/>
    </row>
    <row r="132" spans="1:255" ht="6.6" customHeight="1">
      <c r="C132" s="119"/>
      <c r="G132" s="25"/>
      <c r="H132" s="25"/>
      <c r="I132" s="25"/>
      <c r="J132" s="25"/>
      <c r="K132" s="25"/>
      <c r="L132" s="25"/>
      <c r="M132" s="25"/>
      <c r="N132" s="25"/>
      <c r="O132" s="25"/>
      <c r="P132" s="25"/>
    </row>
    <row r="133" spans="1:255" ht="15" customHeight="1">
      <c r="B133" s="558" t="s">
        <v>868</v>
      </c>
      <c r="G133" s="42"/>
      <c r="P133" s="9"/>
      <c r="T133" s="127" t="str">
        <f>B133</f>
        <v>NOT Included in Mgt Fee:</v>
      </c>
    </row>
    <row r="134" spans="1:255" ht="15" customHeight="1">
      <c r="B134" s="9" t="s">
        <v>735</v>
      </c>
      <c r="G134" s="1524"/>
      <c r="H134" s="1524"/>
      <c r="I134" s="1524"/>
      <c r="J134" s="1524"/>
      <c r="K134" s="1529"/>
      <c r="L134" s="1524"/>
      <c r="M134" s="1524"/>
      <c r="N134" s="1524"/>
      <c r="O134" s="1524"/>
      <c r="P134" s="1524"/>
      <c r="T134" s="1450"/>
      <c r="U134" s="1451"/>
    </row>
    <row r="135" spans="1:255" ht="15" customHeight="1">
      <c r="B135" s="9" t="s">
        <v>2775</v>
      </c>
      <c r="C135" s="1525"/>
      <c r="D135" s="1526"/>
      <c r="E135" s="1526"/>
      <c r="F135" s="1527"/>
      <c r="G135" s="1528"/>
      <c r="H135" s="1528"/>
      <c r="I135" s="1528"/>
      <c r="J135" s="1528"/>
      <c r="K135" s="1530"/>
      <c r="L135" s="1528"/>
      <c r="M135" s="1528"/>
      <c r="N135" s="1528"/>
      <c r="O135" s="1528"/>
      <c r="P135" s="1528"/>
      <c r="T135" s="1450"/>
      <c r="U135" s="1451"/>
    </row>
    <row r="136" spans="1:255" ht="15" customHeight="1">
      <c r="C136" s="119" t="s">
        <v>2030</v>
      </c>
      <c r="G136" s="39">
        <f t="shared" ref="G136:P136" si="229">SUM(G134:G135)</f>
        <v>0</v>
      </c>
      <c r="H136" s="39">
        <f t="shared" si="229"/>
        <v>0</v>
      </c>
      <c r="I136" s="39">
        <f t="shared" si="229"/>
        <v>0</v>
      </c>
      <c r="J136" s="39">
        <f t="shared" si="229"/>
        <v>0</v>
      </c>
      <c r="K136" s="39">
        <f t="shared" si="229"/>
        <v>0</v>
      </c>
      <c r="L136" s="39">
        <f t="shared" si="229"/>
        <v>0</v>
      </c>
      <c r="M136" s="39">
        <f t="shared" si="229"/>
        <v>0</v>
      </c>
      <c r="N136" s="39">
        <f t="shared" si="229"/>
        <v>0</v>
      </c>
      <c r="O136" s="39">
        <f t="shared" si="229"/>
        <v>0</v>
      </c>
      <c r="P136" s="39">
        <f t="shared" si="229"/>
        <v>0</v>
      </c>
      <c r="T136" s="1453"/>
      <c r="U136" s="1454"/>
    </row>
    <row r="137" spans="1:255" ht="9.6" customHeight="1">
      <c r="B137" s="16"/>
      <c r="F137" s="42"/>
      <c r="G137" s="42"/>
      <c r="J137" s="19"/>
      <c r="P137" s="9"/>
    </row>
    <row r="138" spans="1:255" s="120" customFormat="1" ht="11.25" customHeight="1">
      <c r="A138" s="5" t="s">
        <v>2124</v>
      </c>
      <c r="B138" s="823" t="s">
        <v>1065</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101" t="s">
        <v>327</v>
      </c>
      <c r="U139" s="1101"/>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3314</v>
      </c>
      <c r="C140" s="2"/>
      <c r="D140" s="2"/>
      <c r="E140" s="2"/>
      <c r="F140" s="31"/>
      <c r="G140" s="31"/>
      <c r="H140" s="2"/>
      <c r="I140" s="11" t="s">
        <v>1450</v>
      </c>
      <c r="J140" s="2"/>
      <c r="K140" s="2"/>
      <c r="L140" s="2"/>
      <c r="M140" s="2"/>
      <c r="N140" s="11" t="s">
        <v>1449</v>
      </c>
      <c r="O140" s="2"/>
      <c r="P140" s="2"/>
      <c r="T140" s="1448"/>
      <c r="U140" s="1449"/>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4102</v>
      </c>
      <c r="C141" s="2"/>
      <c r="D141" s="2"/>
      <c r="E141" s="2"/>
      <c r="F141" s="1531">
        <v>35100</v>
      </c>
      <c r="G141" s="1532"/>
      <c r="H141" s="2"/>
      <c r="I141" s="2" t="s">
        <v>1451</v>
      </c>
      <c r="J141" s="2"/>
      <c r="K141" s="1531"/>
      <c r="L141" s="1532"/>
      <c r="M141" s="2"/>
      <c r="N141" s="2" t="s">
        <v>943</v>
      </c>
      <c r="O141" s="2"/>
      <c r="P141" s="1533"/>
      <c r="T141" s="1450"/>
      <c r="U141" s="1451"/>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1440</v>
      </c>
      <c r="C142" s="2"/>
      <c r="D142" s="2"/>
      <c r="E142" s="2"/>
      <c r="F142" s="1531">
        <v>40950</v>
      </c>
      <c r="G142" s="1532"/>
      <c r="H142" s="2"/>
      <c r="I142" s="2" t="s">
        <v>1452</v>
      </c>
      <c r="J142" s="2"/>
      <c r="K142" s="1531">
        <v>2400</v>
      </c>
      <c r="L142" s="1532"/>
      <c r="M142" s="2"/>
      <c r="N142" s="2" t="s">
        <v>114</v>
      </c>
      <c r="O142" s="2"/>
      <c r="P142" s="1533">
        <v>18500</v>
      </c>
      <c r="T142" s="1450"/>
      <c r="U142" s="1451"/>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3260</v>
      </c>
      <c r="C143" s="2"/>
      <c r="D143" s="2"/>
      <c r="E143" s="2"/>
      <c r="F143" s="1531"/>
      <c r="G143" s="1532"/>
      <c r="H143" s="2"/>
      <c r="I143" s="2"/>
      <c r="J143" s="170" t="s">
        <v>2029</v>
      </c>
      <c r="K143" s="1082">
        <f>SUM(K141:L142)</f>
        <v>2400</v>
      </c>
      <c r="L143" s="1083"/>
      <c r="M143" s="2"/>
      <c r="N143" s="1534"/>
      <c r="O143" s="1535"/>
      <c r="P143" s="1536"/>
      <c r="T143" s="1450"/>
      <c r="U143" s="1451"/>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7" t="s">
        <v>1563</v>
      </c>
      <c r="C144" s="1538"/>
      <c r="D144" s="1538"/>
      <c r="E144" s="1539"/>
      <c r="F144" s="1540"/>
      <c r="G144" s="1541"/>
      <c r="H144" s="2"/>
      <c r="I144" s="2"/>
      <c r="J144" s="2"/>
      <c r="K144" s="2"/>
      <c r="L144" s="2"/>
      <c r="M144" s="2"/>
      <c r="N144" s="13" t="s">
        <v>2029</v>
      </c>
      <c r="O144" s="2"/>
      <c r="P144" s="636">
        <f>SUM(P141:P143)</f>
        <v>18500</v>
      </c>
      <c r="T144" s="1450"/>
      <c r="U144" s="1451"/>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2029</v>
      </c>
      <c r="D145" s="2"/>
      <c r="E145" s="2"/>
      <c r="F145" s="1082">
        <f>SUM(F141:G144)</f>
        <v>76050</v>
      </c>
      <c r="G145" s="1083"/>
      <c r="H145" s="2"/>
      <c r="I145" s="2"/>
      <c r="J145" s="14"/>
      <c r="K145" s="2"/>
      <c r="L145" s="2"/>
      <c r="M145" s="2"/>
      <c r="N145" s="2"/>
      <c r="O145" s="2"/>
      <c r="P145" s="2"/>
      <c r="T145" s="1450"/>
      <c r="U145" s="1451"/>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50"/>
      <c r="U146" s="1451"/>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3315</v>
      </c>
      <c r="C147" s="2"/>
      <c r="D147" s="10"/>
      <c r="E147" s="2"/>
      <c r="F147" s="2"/>
      <c r="G147" s="2"/>
      <c r="H147" s="2"/>
      <c r="I147" s="11" t="s">
        <v>3316</v>
      </c>
      <c r="J147" s="2"/>
      <c r="K147" s="2"/>
      <c r="L147" s="2"/>
      <c r="M147" s="2"/>
      <c r="N147" s="11" t="s">
        <v>1453</v>
      </c>
      <c r="O147" s="2"/>
      <c r="P147" s="635">
        <f>IF(OR('Part VII-Pro Forma'!$B$20 = "Choose Mgt Fee",'Part VII-Pro Forma'!$B$20 = "Choose One!"), 0,- 'Part VII-Pro Forma'!$B$20)</f>
        <v>24878</v>
      </c>
      <c r="T147" s="1450"/>
      <c r="U147" s="1451"/>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1445</v>
      </c>
      <c r="C148" s="2"/>
      <c r="D148" s="10"/>
      <c r="E148" s="2"/>
      <c r="F148" s="1531">
        <v>1000</v>
      </c>
      <c r="G148" s="1532"/>
      <c r="H148" s="2"/>
      <c r="I148" s="2" t="s">
        <v>1702</v>
      </c>
      <c r="J148" s="2"/>
      <c r="K148" s="1542">
        <v>2400</v>
      </c>
      <c r="L148" s="1543"/>
      <c r="M148" s="2"/>
      <c r="N148" s="598">
        <f>+P147/(M62*0.93)</f>
        <v>382.15053763440858</v>
      </c>
      <c r="O148" s="30" t="s">
        <v>3120</v>
      </c>
      <c r="P148" s="2"/>
      <c r="T148" s="1450"/>
      <c r="U148" s="1451"/>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1446</v>
      </c>
      <c r="C149" s="2"/>
      <c r="D149" s="10"/>
      <c r="E149" s="2"/>
      <c r="F149" s="1531">
        <v>3600</v>
      </c>
      <c r="G149" s="1532"/>
      <c r="H149" s="2"/>
      <c r="I149" s="2" t="s">
        <v>2407</v>
      </c>
      <c r="J149" s="2"/>
      <c r="K149" s="1544">
        <v>12000</v>
      </c>
      <c r="L149" s="1545"/>
      <c r="M149" s="2"/>
      <c r="N149" s="598">
        <f>+P147/(M62*0.93)/12</f>
        <v>31.845878136200714</v>
      </c>
      <c r="O149" s="30" t="s">
        <v>3121</v>
      </c>
      <c r="P149" s="2"/>
      <c r="T149" s="1450"/>
      <c r="U149" s="1451"/>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1447</v>
      </c>
      <c r="C150" s="2"/>
      <c r="D150" s="10"/>
      <c r="E150" s="2"/>
      <c r="F150" s="1531"/>
      <c r="G150" s="1532"/>
      <c r="H150" s="2"/>
      <c r="I150" s="2" t="s">
        <v>1703</v>
      </c>
      <c r="J150" s="2"/>
      <c r="K150" s="1544"/>
      <c r="L150" s="1545"/>
      <c r="M150" s="2"/>
      <c r="N150" s="2"/>
      <c r="O150" s="2"/>
      <c r="P150" s="2"/>
      <c r="T150" s="1450"/>
      <c r="U150" s="1451"/>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3090</v>
      </c>
      <c r="C151" s="2"/>
      <c r="D151" s="10"/>
      <c r="E151" s="2"/>
      <c r="F151" s="1531"/>
      <c r="G151" s="1532"/>
      <c r="H151" s="2"/>
      <c r="I151" s="1534" t="s">
        <v>1563</v>
      </c>
      <c r="J151" s="1535"/>
      <c r="K151" s="1542"/>
      <c r="L151" s="1543"/>
      <c r="M151" s="2"/>
      <c r="N151" s="1084" t="s">
        <v>3784</v>
      </c>
      <c r="O151" s="1085"/>
      <c r="P151" s="1085"/>
      <c r="T151" s="1450"/>
      <c r="U151" s="1451"/>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1700</v>
      </c>
      <c r="C152" s="2"/>
      <c r="D152" s="10"/>
      <c r="E152" s="2"/>
      <c r="F152" s="1531">
        <v>2000</v>
      </c>
      <c r="G152" s="1532"/>
      <c r="H152" s="2"/>
      <c r="I152" s="11"/>
      <c r="J152" s="13" t="s">
        <v>2029</v>
      </c>
      <c r="K152" s="1080">
        <f>SUM(K148:K151)</f>
        <v>14400</v>
      </c>
      <c r="L152" s="1081"/>
      <c r="M152" s="2"/>
      <c r="N152" s="1085"/>
      <c r="O152" s="1085"/>
      <c r="P152" s="1085"/>
      <c r="T152" s="1453"/>
      <c r="U152" s="1454"/>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7" t="s">
        <v>1563</v>
      </c>
      <c r="C153" s="1538"/>
      <c r="D153" s="1538"/>
      <c r="E153" s="1539"/>
      <c r="F153" s="1540"/>
      <c r="G153" s="1541"/>
      <c r="H153" s="2"/>
      <c r="I153" s="2"/>
      <c r="J153" s="14"/>
      <c r="K153" s="2"/>
      <c r="L153" s="2"/>
      <c r="M153" s="2"/>
      <c r="N153" s="2"/>
      <c r="O153" s="2"/>
      <c r="P153" s="2"/>
      <c r="T153" s="1448"/>
      <c r="U153" s="1449"/>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2029</v>
      </c>
      <c r="D154" s="2"/>
      <c r="E154" s="2"/>
      <c r="F154" s="1082">
        <f>SUM(F148:G153)</f>
        <v>6600</v>
      </c>
      <c r="G154" s="1083"/>
      <c r="H154" s="2"/>
      <c r="I154" s="2"/>
      <c r="J154" s="14"/>
      <c r="K154" s="2"/>
      <c r="L154" s="2"/>
      <c r="M154" s="2"/>
      <c r="N154" s="2"/>
      <c r="O154" s="2"/>
      <c r="P154" s="2"/>
      <c r="T154" s="1450"/>
      <c r="U154" s="1451"/>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50"/>
      <c r="U155" s="1451"/>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3317</v>
      </c>
      <c r="C156" s="2"/>
      <c r="D156" s="10"/>
      <c r="E156" s="2"/>
      <c r="F156" s="2"/>
      <c r="G156" s="2"/>
      <c r="H156" s="2"/>
      <c r="I156" s="11" t="s">
        <v>1448</v>
      </c>
      <c r="J156" s="825" t="s">
        <v>2828</v>
      </c>
      <c r="K156" s="2"/>
      <c r="L156" s="2"/>
      <c r="M156" s="2"/>
      <c r="N156" s="11" t="s">
        <v>2557</v>
      </c>
      <c r="O156" s="6"/>
      <c r="P156" s="6"/>
      <c r="T156" s="1450"/>
      <c r="U156" s="1451"/>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1704</v>
      </c>
      <c r="C157" s="2"/>
      <c r="D157" s="10"/>
      <c r="E157" s="2"/>
      <c r="F157" s="1546"/>
      <c r="G157" s="1547"/>
      <c r="H157" s="2"/>
      <c r="I157" s="2" t="s">
        <v>1441</v>
      </c>
      <c r="J157" s="633">
        <f>K157/12/$M$62</f>
        <v>135.71428571428572</v>
      </c>
      <c r="K157" s="1544">
        <v>114000</v>
      </c>
      <c r="L157" s="1545"/>
      <c r="M157" s="2"/>
      <c r="N157" s="366">
        <f>+$P$157/$M$62</f>
        <v>5032.971428571429</v>
      </c>
      <c r="O157" s="30" t="s">
        <v>1479</v>
      </c>
      <c r="P157" s="634">
        <f>F145+F154+F165+K143+K152+K162+P144+P147</f>
        <v>352308</v>
      </c>
      <c r="T157" s="1450"/>
      <c r="U157" s="1451"/>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1705</v>
      </c>
      <c r="C158" s="2"/>
      <c r="D158" s="10"/>
      <c r="E158" s="2"/>
      <c r="F158" s="1546">
        <v>30300</v>
      </c>
      <c r="G158" s="1547"/>
      <c r="H158" s="2"/>
      <c r="I158" s="2" t="s">
        <v>1442</v>
      </c>
      <c r="J158" s="633">
        <f>K158/12/$M$62</f>
        <v>0</v>
      </c>
      <c r="K158" s="1544"/>
      <c r="L158" s="1545"/>
      <c r="M158" s="2"/>
      <c r="N158" s="2"/>
      <c r="O158" s="2"/>
      <c r="P158" s="2"/>
      <c r="T158" s="1450"/>
      <c r="U158" s="1451"/>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1706</v>
      </c>
      <c r="C159" s="2"/>
      <c r="D159" s="10"/>
      <c r="E159" s="2"/>
      <c r="F159" s="1546">
        <v>7200</v>
      </c>
      <c r="G159" s="1547"/>
      <c r="H159" s="2"/>
      <c r="I159" s="2" t="s">
        <v>2827</v>
      </c>
      <c r="J159" s="633">
        <f>K159/12/$M$62</f>
        <v>42.857142857142854</v>
      </c>
      <c r="K159" s="1544">
        <v>36000</v>
      </c>
      <c r="L159" s="1545"/>
      <c r="M159" s="2"/>
      <c r="N159" s="2"/>
      <c r="O159" s="2"/>
      <c r="P159" s="2"/>
      <c r="T159" s="1450"/>
      <c r="U159" s="1451"/>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1047</v>
      </c>
      <c r="C160" s="2"/>
      <c r="D160" s="10"/>
      <c r="E160" s="2"/>
      <c r="F160" s="1531">
        <v>1920</v>
      </c>
      <c r="G160" s="1532"/>
      <c r="H160" s="2"/>
      <c r="I160" s="2" t="s">
        <v>1444</v>
      </c>
      <c r="J160" s="2"/>
      <c r="K160" s="1544">
        <f>(23*70*12)/2</f>
        <v>9660</v>
      </c>
      <c r="L160" s="1545"/>
      <c r="M160" s="2"/>
      <c r="N160" s="11" t="s">
        <v>3266</v>
      </c>
      <c r="O160" s="11"/>
      <c r="P160" s="635">
        <f>P161*M62</f>
        <v>29400</v>
      </c>
      <c r="T160" s="1450"/>
      <c r="U160" s="1451"/>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1048</v>
      </c>
      <c r="C161" s="2"/>
      <c r="D161" s="10"/>
      <c r="E161" s="2"/>
      <c r="F161" s="1531">
        <v>3600</v>
      </c>
      <c r="G161" s="1532"/>
      <c r="H161" s="2"/>
      <c r="I161" s="1534" t="s">
        <v>360</v>
      </c>
      <c r="J161" s="1535"/>
      <c r="K161" s="1542">
        <v>1800</v>
      </c>
      <c r="L161" s="1543"/>
      <c r="M161" s="2"/>
      <c r="N161" s="30" t="s">
        <v>605</v>
      </c>
      <c r="O161" s="2"/>
      <c r="P161" s="1548">
        <v>420</v>
      </c>
      <c r="T161" s="1450"/>
      <c r="U161" s="1451"/>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1049</v>
      </c>
      <c r="C162" s="2"/>
      <c r="D162" s="10"/>
      <c r="E162" s="2"/>
      <c r="F162" s="1531">
        <v>5000</v>
      </c>
      <c r="G162" s="1532"/>
      <c r="H162" s="2"/>
      <c r="I162" s="2"/>
      <c r="J162" s="13" t="s">
        <v>2029</v>
      </c>
      <c r="K162" s="1080">
        <f>SUM(K157:K161)</f>
        <v>161460</v>
      </c>
      <c r="L162" s="1081"/>
      <c r="M162" s="2"/>
      <c r="N162" s="2"/>
      <c r="O162" s="2"/>
      <c r="T162" s="1450"/>
      <c r="U162" s="1451"/>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176</v>
      </c>
      <c r="C163" s="2"/>
      <c r="D163" s="10"/>
      <c r="E163" s="2"/>
      <c r="F163" s="1531"/>
      <c r="G163" s="1532"/>
      <c r="H163" s="2"/>
      <c r="I163" s="2"/>
      <c r="J163" s="14"/>
      <c r="K163" s="2"/>
      <c r="L163" s="2"/>
      <c r="M163" s="2"/>
      <c r="N163" s="2"/>
      <c r="O163" s="2"/>
      <c r="T163" s="1450"/>
      <c r="U163" s="1451"/>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7" t="s">
        <v>1563</v>
      </c>
      <c r="C164" s="1538"/>
      <c r="D164" s="1538"/>
      <c r="E164" s="1539"/>
      <c r="F164" s="1540"/>
      <c r="G164" s="1541"/>
      <c r="H164" s="2"/>
      <c r="I164" s="2"/>
      <c r="J164" s="14"/>
      <c r="K164" s="2"/>
      <c r="L164" s="2"/>
      <c r="M164" s="2"/>
      <c r="N164" s="11" t="s">
        <v>2558</v>
      </c>
      <c r="O164" s="11"/>
      <c r="P164" s="11"/>
      <c r="T164" s="1450"/>
      <c r="U164" s="1451"/>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2029</v>
      </c>
      <c r="D165" s="2"/>
      <c r="E165" s="2"/>
      <c r="F165" s="1078">
        <f>SUM(F157:G164)</f>
        <v>48020</v>
      </c>
      <c r="G165" s="1079"/>
      <c r="H165" s="2"/>
      <c r="I165" s="2"/>
      <c r="J165" s="14"/>
      <c r="K165" s="2"/>
      <c r="L165" s="2"/>
      <c r="M165" s="2"/>
      <c r="N165" s="2"/>
      <c r="O165" s="2"/>
      <c r="P165" s="634">
        <f>P157+P160</f>
        <v>381708</v>
      </c>
      <c r="T165" s="1453"/>
      <c r="U165" s="1454"/>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2126</v>
      </c>
      <c r="B167" s="16" t="s">
        <v>781</v>
      </c>
      <c r="K167" s="16" t="s">
        <v>731</v>
      </c>
      <c r="L167" s="16" t="s">
        <v>327</v>
      </c>
    </row>
    <row r="168" spans="1:255" ht="75" customHeight="1">
      <c r="A168" s="1352" t="s">
        <v>103</v>
      </c>
      <c r="B168" s="1353"/>
      <c r="C168" s="1353"/>
      <c r="D168" s="1353"/>
      <c r="E168" s="1353"/>
      <c r="F168" s="1353"/>
      <c r="G168" s="1353"/>
      <c r="H168" s="1353"/>
      <c r="I168" s="1353"/>
      <c r="J168" s="1354"/>
      <c r="K168" s="1355"/>
      <c r="L168" s="1356"/>
      <c r="M168" s="1356"/>
      <c r="N168" s="1356"/>
      <c r="O168" s="1356"/>
      <c r="P168" s="1357"/>
      <c r="T168" s="965" t="s">
        <v>4049</v>
      </c>
      <c r="U168" s="965"/>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ES4:ES9"/>
    <mergeCell ref="ER4:ER9"/>
    <mergeCell ref="EM4:EM9"/>
    <mergeCell ref="EL4:EL9"/>
    <mergeCell ref="EQ4:EQ9"/>
    <mergeCell ref="EO4:EO9"/>
    <mergeCell ref="FR8:FR9"/>
    <mergeCell ref="EV8:EV9"/>
    <mergeCell ref="FO8:FO9"/>
    <mergeCell ref="FE8:FE9"/>
    <mergeCell ref="FN8:FN9"/>
    <mergeCell ref="EE4:EE9"/>
    <mergeCell ref="EI4:EI9"/>
    <mergeCell ref="DV4:DV9"/>
    <mergeCell ref="DU4:DU9"/>
    <mergeCell ref="EJ4:EJ9"/>
    <mergeCell ref="FP8:FP9"/>
    <mergeCell ref="FC8:FC9"/>
    <mergeCell ref="FM8:FM9"/>
    <mergeCell ref="ET4:ET9"/>
    <mergeCell ref="FA8:FA9"/>
    <mergeCell ref="FL8:FL9"/>
    <mergeCell ref="FK8:FK9"/>
    <mergeCell ref="EH4:EH9"/>
    <mergeCell ref="DX4:DX9"/>
    <mergeCell ref="ED4:ED9"/>
    <mergeCell ref="FD8:FD9"/>
    <mergeCell ref="EU4:EU9"/>
    <mergeCell ref="FB8:FB9"/>
    <mergeCell ref="FQ8:FQ9"/>
    <mergeCell ref="AV4:AV9"/>
    <mergeCell ref="BB4:BB9"/>
    <mergeCell ref="BA4:BA9"/>
    <mergeCell ref="BL4:BL9"/>
    <mergeCell ref="DW4:DW9"/>
    <mergeCell ref="DE4:DE9"/>
    <mergeCell ref="DT4:DT9"/>
    <mergeCell ref="BQ4:BQ9"/>
    <mergeCell ref="BW4:BW9"/>
    <mergeCell ref="CI4:CI9"/>
    <mergeCell ref="CJ4:CJ9"/>
    <mergeCell ref="BT4:BT9"/>
    <mergeCell ref="BX4:BX9"/>
    <mergeCell ref="CF4:CF9"/>
    <mergeCell ref="CB4:CB9"/>
    <mergeCell ref="BU4:BU9"/>
    <mergeCell ref="DH4:DH9"/>
    <mergeCell ref="DD4:DD9"/>
    <mergeCell ref="DC4:DC9"/>
    <mergeCell ref="CH4:CH9"/>
    <mergeCell ref="BN4:BN9"/>
    <mergeCell ref="CL4:CL9"/>
    <mergeCell ref="BY4:BY9"/>
    <mergeCell ref="DK4:DK9"/>
    <mergeCell ref="T168:U168"/>
    <mergeCell ref="T55:U55"/>
    <mergeCell ref="T139:U139"/>
    <mergeCell ref="T68:U70"/>
    <mergeCell ref="T64:U66"/>
    <mergeCell ref="T56:U62"/>
    <mergeCell ref="T153:U165"/>
    <mergeCell ref="T129:U131"/>
    <mergeCell ref="T72:U82"/>
    <mergeCell ref="T140:U152"/>
    <mergeCell ref="T134:U136"/>
    <mergeCell ref="T119:U121"/>
    <mergeCell ref="T84:U92"/>
    <mergeCell ref="T114:U116"/>
    <mergeCell ref="T109:U111"/>
    <mergeCell ref="GP4:GP9"/>
    <mergeCell ref="GO4:GO9"/>
    <mergeCell ref="GY4:GY9"/>
    <mergeCell ref="GJ8:GJ9"/>
    <mergeCell ref="GM8:GM9"/>
    <mergeCell ref="GN8:GN9"/>
    <mergeCell ref="GS4:GS9"/>
    <mergeCell ref="FT8:FT9"/>
    <mergeCell ref="FS8:FS9"/>
    <mergeCell ref="GH8:GH9"/>
    <mergeCell ref="GD8:GD9"/>
    <mergeCell ref="FY8:FY9"/>
    <mergeCell ref="FV8:FV9"/>
    <mergeCell ref="GF8:GF9"/>
    <mergeCell ref="GB8:GB9"/>
    <mergeCell ref="FZ8:FZ9"/>
    <mergeCell ref="FW8:FW9"/>
    <mergeCell ref="FX8:FX9"/>
    <mergeCell ref="FU8:FU9"/>
    <mergeCell ref="GA8:GA9"/>
    <mergeCell ref="GC8:GC9"/>
    <mergeCell ref="GE8:GE9"/>
    <mergeCell ref="GG8:GG9"/>
    <mergeCell ref="HM4:HM9"/>
    <mergeCell ref="HG4:HG9"/>
    <mergeCell ref="HH4:HH9"/>
    <mergeCell ref="HI4:HI9"/>
    <mergeCell ref="HJ4:HJ9"/>
    <mergeCell ref="HL4:HL9"/>
    <mergeCell ref="HK4:HK9"/>
    <mergeCell ref="HF4:HF9"/>
    <mergeCell ref="GI8:GI9"/>
    <mergeCell ref="HA4:HA9"/>
    <mergeCell ref="HE4:HE9"/>
    <mergeCell ref="HB4:HB9"/>
    <mergeCell ref="HC4:HC9"/>
    <mergeCell ref="HD4:HD9"/>
    <mergeCell ref="GZ4:GZ9"/>
    <mergeCell ref="GR4:GR9"/>
    <mergeCell ref="GL8:GL9"/>
    <mergeCell ref="GK8:GK9"/>
    <mergeCell ref="GV4:GV9"/>
    <mergeCell ref="GT4:GT9"/>
    <mergeCell ref="GQ4:GQ9"/>
    <mergeCell ref="GU4:GU9"/>
    <mergeCell ref="GW4:GW9"/>
    <mergeCell ref="GX4:GX9"/>
    <mergeCell ref="EF4:EF9"/>
    <mergeCell ref="EP4:EP9"/>
    <mergeCell ref="CM4:CM9"/>
    <mergeCell ref="EN4:EN9"/>
    <mergeCell ref="CO4:CO9"/>
    <mergeCell ref="DQ4:DQ9"/>
    <mergeCell ref="DM4:DM9"/>
    <mergeCell ref="CP4:CP9"/>
    <mergeCell ref="DZ4:DZ9"/>
    <mergeCell ref="DN4:DN9"/>
    <mergeCell ref="DB4:DB9"/>
    <mergeCell ref="DF4:DF9"/>
    <mergeCell ref="DO4:DO9"/>
    <mergeCell ref="DI4:DI9"/>
    <mergeCell ref="EK4:EK9"/>
    <mergeCell ref="CV4:CV9"/>
    <mergeCell ref="CN4:CN9"/>
    <mergeCell ref="DS4:DS9"/>
    <mergeCell ref="DY4:DY9"/>
    <mergeCell ref="EG4:EG9"/>
    <mergeCell ref="EC4:EC9"/>
    <mergeCell ref="DP4:DP9"/>
    <mergeCell ref="CQ4:CQ9"/>
    <mergeCell ref="CS4:CS9"/>
    <mergeCell ref="CU4:CU9"/>
    <mergeCell ref="DJ4:DJ9"/>
    <mergeCell ref="CZ4:CZ9"/>
    <mergeCell ref="DA4:DA9"/>
    <mergeCell ref="CR4:CR9"/>
    <mergeCell ref="CE4:CE9"/>
    <mergeCell ref="BI4:BI9"/>
    <mergeCell ref="CG4:CG9"/>
    <mergeCell ref="CC4:CC9"/>
    <mergeCell ref="CD4:CD9"/>
    <mergeCell ref="CK4:CK9"/>
    <mergeCell ref="DG4:DG9"/>
    <mergeCell ref="EB4:EB9"/>
    <mergeCell ref="DR4:DR9"/>
    <mergeCell ref="CY4:CY9"/>
    <mergeCell ref="CX4:CX9"/>
    <mergeCell ref="CT4:CT9"/>
    <mergeCell ref="CW4:CW9"/>
    <mergeCell ref="DL4:DL9"/>
    <mergeCell ref="EA4:EA9"/>
    <mergeCell ref="A1:P1"/>
    <mergeCell ref="K8:L8"/>
    <mergeCell ref="A7:A9"/>
    <mergeCell ref="V4:V9"/>
    <mergeCell ref="N6:O6"/>
    <mergeCell ref="P8:Q8"/>
    <mergeCell ref="T1:U1"/>
    <mergeCell ref="R6:S6"/>
    <mergeCell ref="T9:U9"/>
    <mergeCell ref="AW4:AW9"/>
    <mergeCell ref="AX4:AX9"/>
    <mergeCell ref="BG4:BG9"/>
    <mergeCell ref="CA4:CA9"/>
    <mergeCell ref="BD4:BD9"/>
    <mergeCell ref="BE4:BE9"/>
    <mergeCell ref="BS4:BS9"/>
    <mergeCell ref="BZ4:BZ9"/>
    <mergeCell ref="BP4:BP9"/>
    <mergeCell ref="AY4:AY9"/>
    <mergeCell ref="BR4:BR9"/>
    <mergeCell ref="BC4:BC9"/>
    <mergeCell ref="BK4:BK9"/>
    <mergeCell ref="BV4:BV9"/>
    <mergeCell ref="BM4:BM9"/>
    <mergeCell ref="BH4:BH9"/>
    <mergeCell ref="BF4:BF9"/>
    <mergeCell ref="BO4:BO9"/>
    <mergeCell ref="BJ4:BJ9"/>
    <mergeCell ref="AZ4:AZ9"/>
    <mergeCell ref="AR4:AR9"/>
    <mergeCell ref="AP4:AP9"/>
    <mergeCell ref="AU4:AU9"/>
    <mergeCell ref="AT4:AT9"/>
    <mergeCell ref="AS4:AS9"/>
    <mergeCell ref="AJ4:AJ9"/>
    <mergeCell ref="Z4:Z9"/>
    <mergeCell ref="X4:X9"/>
    <mergeCell ref="Y4:Y9"/>
    <mergeCell ref="AA4:AA9"/>
    <mergeCell ref="AF4:AF9"/>
    <mergeCell ref="AG4:AG9"/>
    <mergeCell ref="AQ4:AQ9"/>
    <mergeCell ref="AC4:AC9"/>
    <mergeCell ref="AD4:AD9"/>
    <mergeCell ref="AH4:AH9"/>
    <mergeCell ref="AO4:AO9"/>
    <mergeCell ref="AI4:AI9"/>
    <mergeCell ref="AK4:AK9"/>
    <mergeCell ref="AN4:AN9"/>
    <mergeCell ref="AM4:AM9"/>
    <mergeCell ref="AE4:AE9"/>
    <mergeCell ref="AB4:AB9"/>
    <mergeCell ref="AL4:AL9"/>
    <mergeCell ref="B144:E144"/>
    <mergeCell ref="K142:L142"/>
    <mergeCell ref="K143:L143"/>
    <mergeCell ref="F142:G142"/>
    <mergeCell ref="T10:U47"/>
    <mergeCell ref="W4:W9"/>
    <mergeCell ref="Q53:Q55"/>
    <mergeCell ref="T124:U126"/>
    <mergeCell ref="N56:O57"/>
    <mergeCell ref="T94:U100"/>
    <mergeCell ref="A51:P52"/>
    <mergeCell ref="C130:F130"/>
    <mergeCell ref="G104:H104"/>
    <mergeCell ref="A57:B75"/>
    <mergeCell ref="C120:F120"/>
    <mergeCell ref="E78:F79"/>
    <mergeCell ref="C115:F115"/>
    <mergeCell ref="C125:F125"/>
    <mergeCell ref="C110:F110"/>
    <mergeCell ref="N143:O143"/>
    <mergeCell ref="C135:F135"/>
    <mergeCell ref="K149:L149"/>
    <mergeCell ref="K151:L151"/>
    <mergeCell ref="K150:L150"/>
    <mergeCell ref="N151:P152"/>
    <mergeCell ref="K152:L152"/>
    <mergeCell ref="K141:L141"/>
    <mergeCell ref="K148:L148"/>
    <mergeCell ref="F141:G141"/>
    <mergeCell ref="F145:G145"/>
    <mergeCell ref="F144:G144"/>
    <mergeCell ref="F148:G148"/>
    <mergeCell ref="F143:G143"/>
    <mergeCell ref="F150:G150"/>
    <mergeCell ref="F149:G149"/>
    <mergeCell ref="F152:G152"/>
    <mergeCell ref="F151:G151"/>
    <mergeCell ref="I151:J151"/>
    <mergeCell ref="F163:G163"/>
    <mergeCell ref="K159:L159"/>
    <mergeCell ref="B153:E153"/>
    <mergeCell ref="F157:G157"/>
    <mergeCell ref="F158:G158"/>
    <mergeCell ref="F159:G159"/>
    <mergeCell ref="F154:G154"/>
    <mergeCell ref="I161:J161"/>
    <mergeCell ref="K161:L161"/>
    <mergeCell ref="F161:G161"/>
    <mergeCell ref="K168:P168"/>
    <mergeCell ref="F162:G162"/>
    <mergeCell ref="A168:J168"/>
    <mergeCell ref="B164:E164"/>
    <mergeCell ref="F165:G165"/>
    <mergeCell ref="F164:G164"/>
    <mergeCell ref="K162:L162"/>
    <mergeCell ref="F153:G153"/>
    <mergeCell ref="K158:L158"/>
    <mergeCell ref="F160:G160"/>
    <mergeCell ref="K160:L160"/>
    <mergeCell ref="K157:L157"/>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2" t="str">
        <f>CONCATENATE("PART SEVEN - OPERATING PRO FORMA","  -  ",'Part I-Project Information'!$O$4," ",'Part I-Project Information'!$F$22,", ",'Part I-Project Information'!F24,", ",'Part I-Project Information'!J25," County")</f>
        <v>PART SEVEN - OPERATING PRO FORMA  -  2012-052 Freedom's Path I, Augusta, Richmond County</v>
      </c>
      <c r="B1" s="1103"/>
      <c r="C1" s="1103"/>
      <c r="D1" s="1103"/>
      <c r="E1" s="1103"/>
      <c r="F1" s="1103"/>
      <c r="G1" s="1103"/>
      <c r="H1" s="1103"/>
      <c r="I1" s="1103"/>
      <c r="J1" s="1103"/>
      <c r="K1" s="1104"/>
      <c r="L1" s="11"/>
      <c r="M1" s="1105" t="str">
        <f>A1</f>
        <v>PART SEVEN - OPERATING PRO FORMA  -  2012-052 Freedom's Path I, Augusta, Richmond County</v>
      </c>
      <c r="N1" s="1105"/>
      <c r="O1" s="11"/>
    </row>
    <row r="2" spans="1:15" ht="13.5" customHeight="1">
      <c r="M2" s="1106" t="s">
        <v>327</v>
      </c>
      <c r="N2" s="1106"/>
    </row>
    <row r="3" spans="1:15" ht="13.5">
      <c r="A3" s="16" t="s">
        <v>1602</v>
      </c>
      <c r="D3" s="16" t="s">
        <v>1592</v>
      </c>
      <c r="E3" s="303"/>
      <c r="F3" s="403" t="s">
        <v>262</v>
      </c>
      <c r="M3" s="16" t="str">
        <f>A3</f>
        <v>I.  OPERATING ASSUMPTIONS</v>
      </c>
      <c r="N3" s="35"/>
    </row>
    <row r="4" spans="1:15" ht="2.4500000000000002" customHeight="1">
      <c r="A4" s="19"/>
      <c r="B4" s="19"/>
      <c r="C4" s="19"/>
      <c r="H4" s="19"/>
      <c r="I4" s="19"/>
    </row>
    <row r="5" spans="1:15" ht="13.5" customHeight="1">
      <c r="A5" s="19" t="s">
        <v>4094</v>
      </c>
      <c r="B5" s="106">
        <v>0.02</v>
      </c>
      <c r="C5" s="19"/>
      <c r="D5" s="19" t="s">
        <v>964</v>
      </c>
      <c r="F5" s="19"/>
      <c r="G5" s="1549">
        <v>5000</v>
      </c>
      <c r="H5" s="129" t="s">
        <v>2218</v>
      </c>
      <c r="K5" s="134">
        <f>IF(($B$14+$B$15+$B$16+$B$17)=0,"",-B28/($B$14+$B$15+$B$16+$B$17))</f>
        <v>1.0049089803691031E-2</v>
      </c>
      <c r="M5" s="1448"/>
      <c r="N5" s="1449"/>
    </row>
    <row r="6" spans="1:15">
      <c r="A6" s="19" t="s">
        <v>4095</v>
      </c>
      <c r="B6" s="106">
        <v>0.03</v>
      </c>
      <c r="C6" s="19"/>
      <c r="D6" s="19" t="s">
        <v>965</v>
      </c>
      <c r="F6" s="19"/>
      <c r="G6" s="1549"/>
      <c r="H6" s="129" t="s">
        <v>2857</v>
      </c>
      <c r="K6" s="134" t="e">
        <f>IF(($B$14+$B$15+$B$16+$B$17)=0,"",-#REF!/($B$14+$B$15+$B$16+$B$17))</f>
        <v>#REF!</v>
      </c>
      <c r="M6" s="1450"/>
      <c r="N6" s="1451"/>
    </row>
    <row r="7" spans="1:15">
      <c r="A7" s="19" t="s">
        <v>4097</v>
      </c>
      <c r="B7" s="106">
        <v>0.03</v>
      </c>
      <c r="C7" s="19"/>
      <c r="D7" s="108" t="s">
        <v>2267</v>
      </c>
      <c r="G7" s="110"/>
      <c r="H7" s="129" t="s">
        <v>2858</v>
      </c>
      <c r="K7" s="134">
        <f>IF(($B$14+$B$15+$B$16+$B$17)=0,"",-B20/($B$14+$B$15+$B$16+$B$17))</f>
        <v>5.0000251227245093E-2</v>
      </c>
      <c r="M7" s="1450"/>
      <c r="N7" s="1451"/>
    </row>
    <row r="8" spans="1:15" ht="13.15" customHeight="1">
      <c r="A8" s="19" t="s">
        <v>4096</v>
      </c>
      <c r="B8" s="1550">
        <v>7.0000000000000007E-2</v>
      </c>
      <c r="C8" s="19"/>
      <c r="D8" s="107" t="s">
        <v>3184</v>
      </c>
      <c r="G8" s="1551" t="s">
        <v>4061</v>
      </c>
      <c r="H8" s="232" t="s">
        <v>3389</v>
      </c>
      <c r="K8" s="1552"/>
      <c r="M8" s="1450"/>
      <c r="N8" s="1451"/>
    </row>
    <row r="9" spans="1:15">
      <c r="A9" s="19" t="s">
        <v>1497</v>
      </c>
      <c r="B9" s="106">
        <v>0.02</v>
      </c>
      <c r="D9" s="107" t="s">
        <v>3727</v>
      </c>
      <c r="G9" s="1551" t="s">
        <v>4060</v>
      </c>
      <c r="H9" s="232" t="s">
        <v>2833</v>
      </c>
      <c r="K9" s="1553">
        <v>0.05</v>
      </c>
      <c r="M9" s="1453"/>
      <c r="N9" s="1454"/>
    </row>
    <row r="10" spans="1:15" ht="13.5" customHeight="1"/>
    <row r="11" spans="1:15">
      <c r="A11" s="16" t="s">
        <v>1603</v>
      </c>
      <c r="M11" s="16" t="str">
        <f>A11</f>
        <v>II.  OPERATING PRO FORMA</v>
      </c>
    </row>
    <row r="12" spans="1:15" ht="2.4500000000000002" customHeight="1"/>
    <row r="13" spans="1:15" ht="14.45" customHeight="1">
      <c r="A13" s="16" t="s">
        <v>3152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1" t="s">
        <v>3208</v>
      </c>
      <c r="N13" s="971"/>
    </row>
    <row r="14" spans="1:15" ht="13.15" customHeight="1">
      <c r="A14" s="21" t="s">
        <v>2895</v>
      </c>
      <c r="B14" s="22">
        <f>'Part VI-Revenues &amp; Expenses'!L49</f>
        <v>0</v>
      </c>
      <c r="C14" s="22">
        <f t="shared" ref="C14:K14" si="1">$B$14*(1+$B$5)^(C13-1)</f>
        <v>0</v>
      </c>
      <c r="D14" s="22">
        <f t="shared" si="1"/>
        <v>0</v>
      </c>
      <c r="E14" s="22">
        <f t="shared" si="1"/>
        <v>0</v>
      </c>
      <c r="F14" s="22">
        <f t="shared" si="1"/>
        <v>0</v>
      </c>
      <c r="G14" s="22">
        <f t="shared" si="1"/>
        <v>0</v>
      </c>
      <c r="H14" s="22">
        <f t="shared" si="1"/>
        <v>0</v>
      </c>
      <c r="I14" s="22">
        <f t="shared" si="1"/>
        <v>0</v>
      </c>
      <c r="J14" s="22">
        <f t="shared" si="1"/>
        <v>0</v>
      </c>
      <c r="K14" s="23">
        <f t="shared" si="1"/>
        <v>0</v>
      </c>
      <c r="M14" s="1448"/>
      <c r="N14" s="1449"/>
    </row>
    <row r="15" spans="1:15" ht="13.15" customHeight="1">
      <c r="A15" s="24" t="s">
        <v>1062</v>
      </c>
      <c r="B15" s="25">
        <f>MIN(B14*B9,'Part VI-Revenues &amp; Expenses'!G104)</f>
        <v>0</v>
      </c>
      <c r="C15" s="25">
        <f t="shared" ref="C15:K15" si="2">$B$15*(1+$B$5)^(C13-1)</f>
        <v>0</v>
      </c>
      <c r="D15" s="25">
        <f t="shared" si="2"/>
        <v>0</v>
      </c>
      <c r="E15" s="25">
        <f t="shared" si="2"/>
        <v>0</v>
      </c>
      <c r="F15" s="25">
        <f t="shared" si="2"/>
        <v>0</v>
      </c>
      <c r="G15" s="25">
        <f t="shared" si="2"/>
        <v>0</v>
      </c>
      <c r="H15" s="25">
        <f t="shared" si="2"/>
        <v>0</v>
      </c>
      <c r="I15" s="25">
        <f t="shared" si="2"/>
        <v>0</v>
      </c>
      <c r="J15" s="25">
        <f t="shared" si="2"/>
        <v>0</v>
      </c>
      <c r="K15" s="26">
        <f t="shared" si="2"/>
        <v>0</v>
      </c>
      <c r="M15" s="1450"/>
      <c r="N15" s="1451"/>
    </row>
    <row r="16" spans="1:15" ht="13.15" customHeight="1">
      <c r="A16" s="24" t="s">
        <v>2896</v>
      </c>
      <c r="B16" s="25">
        <f t="shared" ref="B16:K16" si="3">-(B14+B15)*$B$8</f>
        <v>0</v>
      </c>
      <c r="C16" s="25">
        <f t="shared" si="3"/>
        <v>0</v>
      </c>
      <c r="D16" s="25">
        <f t="shared" si="3"/>
        <v>0</v>
      </c>
      <c r="E16" s="25">
        <f t="shared" si="3"/>
        <v>0</v>
      </c>
      <c r="F16" s="25">
        <f t="shared" si="3"/>
        <v>0</v>
      </c>
      <c r="G16" s="25">
        <f t="shared" si="3"/>
        <v>0</v>
      </c>
      <c r="H16" s="25">
        <f t="shared" si="3"/>
        <v>0</v>
      </c>
      <c r="I16" s="25">
        <f t="shared" si="3"/>
        <v>0</v>
      </c>
      <c r="J16" s="25">
        <f t="shared" si="3"/>
        <v>0</v>
      </c>
      <c r="K16" s="26">
        <f t="shared" si="3"/>
        <v>0</v>
      </c>
      <c r="M16" s="1450"/>
      <c r="N16" s="1451"/>
    </row>
    <row r="17" spans="1:14" ht="13.15" customHeight="1">
      <c r="A17" s="24" t="s">
        <v>1564</v>
      </c>
      <c r="B17" s="25">
        <f>+'Part VI-Revenues &amp; Expenses'!G111</f>
        <v>497557.5</v>
      </c>
      <c r="C17" s="25">
        <f>+'Part VI-Revenues &amp; Expenses'!H111</f>
        <v>507508.65</v>
      </c>
      <c r="D17" s="25">
        <f>+'Part VI-Revenues &amp; Expenses'!I111</f>
        <v>517658.82300000003</v>
      </c>
      <c r="E17" s="25">
        <f>+'Part VI-Revenues &amp; Expenses'!J111</f>
        <v>528011.99946000008</v>
      </c>
      <c r="F17" s="25">
        <f>+'Part VI-Revenues &amp; Expenses'!K111</f>
        <v>538572.2394492001</v>
      </c>
      <c r="G17" s="25">
        <f>+'Part VI-Revenues &amp; Expenses'!L111</f>
        <v>549343.68423818413</v>
      </c>
      <c r="H17" s="25">
        <f>+'Part VI-Revenues &amp; Expenses'!M111</f>
        <v>560330.5579229478</v>
      </c>
      <c r="I17" s="25">
        <f>+'Part VI-Revenues &amp; Expenses'!N111</f>
        <v>571537.16908140678</v>
      </c>
      <c r="J17" s="25">
        <f>+'Part VI-Revenues &amp; Expenses'!O111</f>
        <v>582967.91246303485</v>
      </c>
      <c r="K17" s="26">
        <f>+'Part VI-Revenues &amp; Expenses'!P111</f>
        <v>594627.27071229555</v>
      </c>
      <c r="M17" s="1450"/>
      <c r="N17" s="1451"/>
    </row>
    <row r="18" spans="1:14" ht="13.15" customHeight="1">
      <c r="A18" s="24" t="s">
        <v>1565</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50"/>
      <c r="N18" s="1451"/>
    </row>
    <row r="19" spans="1:14" ht="13.15" customHeight="1">
      <c r="A19" s="24" t="s">
        <v>837</v>
      </c>
      <c r="B19" s="25">
        <f>-('Part VI-Revenues &amp; Expenses'!P157-'Part VI-Revenues &amp; Expenses'!P147)</f>
        <v>-327430</v>
      </c>
      <c r="C19" s="25">
        <f t="shared" ref="C19:K19" si="4">$B$19*(1+$B$6)^(C13-1)</f>
        <v>-337252.9</v>
      </c>
      <c r="D19" s="25">
        <f t="shared" si="4"/>
        <v>-347370.48699999996</v>
      </c>
      <c r="E19" s="25">
        <f t="shared" si="4"/>
        <v>-357791.60161000001</v>
      </c>
      <c r="F19" s="25">
        <f t="shared" si="4"/>
        <v>-368525.34965829999</v>
      </c>
      <c r="G19" s="25">
        <f t="shared" si="4"/>
        <v>-379581.11014804896</v>
      </c>
      <c r="H19" s="25">
        <f t="shared" si="4"/>
        <v>-390968.54345249047</v>
      </c>
      <c r="I19" s="25">
        <f t="shared" si="4"/>
        <v>-402697.59975606517</v>
      </c>
      <c r="J19" s="25">
        <f t="shared" si="4"/>
        <v>-414778.52774874709</v>
      </c>
      <c r="K19" s="26">
        <f t="shared" si="4"/>
        <v>-427221.88358120952</v>
      </c>
      <c r="M19" s="1450"/>
      <c r="N19" s="1451"/>
    </row>
    <row r="20" spans="1:14" ht="13.15" customHeight="1">
      <c r="A20" s="24" t="s">
        <v>1202</v>
      </c>
      <c r="B20" s="25">
        <f>IF(AND('Part VII-Pro Forma'!$G$8="Yes",'Part VII-Pro Forma'!$G$9="Yes"),"Choose One!",IF('Part VII-Pro Forma'!$G$8="Yes",ROUND((-$K$8*(1+'Part VII-Pro Forma'!$B$6)^('Part VII-Pro Forma'!B13-1)),),IF('Part VII-Pro Forma'!$G$9="Yes",ROUND((-(SUM(B14:B17)*'Part VII-Pro Forma'!$K$9)),),"Choose mgt fee")))</f>
        <v>-24878</v>
      </c>
      <c r="C20" s="25">
        <f>IF(AND('Part VII-Pro Forma'!$G$8="Yes",'Part VII-Pro Forma'!$G$9="Yes"),"Choose One!",IF('Part VII-Pro Forma'!$G$8="Yes",ROUND((-$K$8*(1+'Part VII-Pro Forma'!$B$6)^('Part VII-Pro Forma'!C13-1)),),IF('Part VII-Pro Forma'!$G$9="Yes",ROUND((-(SUM(C14:C17)*'Part VII-Pro Forma'!$K$9)),),"Choose mgt fee")))</f>
        <v>-25375</v>
      </c>
      <c r="D20" s="25">
        <f>IF(AND('Part VII-Pro Forma'!$G$8="Yes",'Part VII-Pro Forma'!$G$9="Yes"),"Choose One!",IF('Part VII-Pro Forma'!$G$8="Yes",ROUND((-$K$8*(1+'Part VII-Pro Forma'!$B$6)^('Part VII-Pro Forma'!D13-1)),),IF('Part VII-Pro Forma'!$G$9="Yes",ROUND((-(SUM(D14:D17)*'Part VII-Pro Forma'!$K$9)),),"Choose mgt fee")))</f>
        <v>-25883</v>
      </c>
      <c r="E20" s="25">
        <f>IF(AND('Part VII-Pro Forma'!$G$8="Yes",'Part VII-Pro Forma'!$G$9="Yes"),"Choose One!",IF('Part VII-Pro Forma'!$G$8="Yes",ROUND((-$K$8*(1+'Part VII-Pro Forma'!$B$6)^('Part VII-Pro Forma'!E13-1)),),IF('Part VII-Pro Forma'!$G$9="Yes",ROUND((-(SUM(E14:E17)*'Part VII-Pro Forma'!$K$9)),),"Choose mgt fee")))</f>
        <v>-26401</v>
      </c>
      <c r="F20" s="25">
        <f>IF(AND('Part VII-Pro Forma'!$G$8="Yes",'Part VII-Pro Forma'!$G$9="Yes"),"Choose One!",IF('Part VII-Pro Forma'!$G$8="Yes",ROUND((-$K$8*(1+'Part VII-Pro Forma'!$B$6)^('Part VII-Pro Forma'!F13-1)),),IF('Part VII-Pro Forma'!$G$9="Yes",ROUND((-(SUM(F14:F17)*'Part VII-Pro Forma'!$K$9)),),"Choose mgt fee")))</f>
        <v>-26929</v>
      </c>
      <c r="G20" s="25">
        <f>IF(AND('Part VII-Pro Forma'!$G$8="Yes",'Part VII-Pro Forma'!$G$9="Yes"),"Choose One!",IF('Part VII-Pro Forma'!$G$8="Yes",ROUND((-$K$8*(1+'Part VII-Pro Forma'!$B$6)^('Part VII-Pro Forma'!G13-1)),),IF('Part VII-Pro Forma'!$G$9="Yes",ROUND((-(SUM(G14:G17)*'Part VII-Pro Forma'!$K$9)),),"Choose mgt fee")))</f>
        <v>-27467</v>
      </c>
      <c r="H20" s="25">
        <f>IF(AND('Part VII-Pro Forma'!$G$8="Yes",'Part VII-Pro Forma'!$G$9="Yes"),"Choose One!",IF('Part VII-Pro Forma'!$G$8="Yes",ROUND((-$K$8*(1+'Part VII-Pro Forma'!$B$6)^('Part VII-Pro Forma'!H13-1)),),IF('Part VII-Pro Forma'!$G$9="Yes",ROUND((-(SUM(H14:H17)*'Part VII-Pro Forma'!$K$9)),),"Choose mgt fee")))</f>
        <v>-28017</v>
      </c>
      <c r="I20" s="25">
        <f>IF(AND('Part VII-Pro Forma'!$G$8="Yes",'Part VII-Pro Forma'!$G$9="Yes"),"Choose One!",IF('Part VII-Pro Forma'!$G$8="Yes",ROUND((-$K$8*(1+'Part VII-Pro Forma'!$B$6)^('Part VII-Pro Forma'!I13-1)),),IF('Part VII-Pro Forma'!$G$9="Yes",ROUND((-(SUM(I14:I17)*'Part VII-Pro Forma'!$K$9)),),"Choose mgt fee")))</f>
        <v>-28577</v>
      </c>
      <c r="J20" s="25">
        <f>IF(AND('Part VII-Pro Forma'!$G$8="Yes",'Part VII-Pro Forma'!$G$9="Yes"),"Choose One!",IF('Part VII-Pro Forma'!$G$8="Yes",ROUND((-$K$8*(1+'Part VII-Pro Forma'!$B$6)^('Part VII-Pro Forma'!J13-1)),),IF('Part VII-Pro Forma'!$G$9="Yes",ROUND((-(SUM(J14:J17)*'Part VII-Pro Forma'!$K$9)),),"Choose mgt fee")))</f>
        <v>-29148</v>
      </c>
      <c r="K20" s="25">
        <f>IF(AND('Part VII-Pro Forma'!$G$8="Yes",'Part VII-Pro Forma'!$G$9="Yes"),"Choose One!",IF('Part VII-Pro Forma'!$G$8="Yes",ROUND((-$K$8*(1+'Part VII-Pro Forma'!$B$6)^('Part VII-Pro Forma'!K13-1)),),IF('Part VII-Pro Forma'!$G$9="Yes",ROUND((-(SUM(K14:K17)*'Part VII-Pro Forma'!$K$9)),),"Choose mgt fee")))</f>
        <v>-29731</v>
      </c>
      <c r="M20" s="1450"/>
      <c r="N20" s="1451"/>
    </row>
    <row r="21" spans="1:14" ht="13.15" customHeight="1">
      <c r="A21" s="24" t="s">
        <v>1297</v>
      </c>
      <c r="B21" s="25">
        <f>-('Part VI-Revenues &amp; Expenses'!P160)</f>
        <v>-29400</v>
      </c>
      <c r="C21" s="25">
        <f t="shared" ref="C21:K21" si="5">$B$21*(1+$B$7)^(C13-1)</f>
        <v>-30282</v>
      </c>
      <c r="D21" s="25">
        <f t="shared" si="5"/>
        <v>-31190.46</v>
      </c>
      <c r="E21" s="25">
        <f t="shared" si="5"/>
        <v>-32126.1738</v>
      </c>
      <c r="F21" s="25">
        <f t="shared" si="5"/>
        <v>-33089.959014</v>
      </c>
      <c r="G21" s="25">
        <f t="shared" si="5"/>
        <v>-34082.657784419993</v>
      </c>
      <c r="H21" s="25">
        <f t="shared" si="5"/>
        <v>-35105.1375179526</v>
      </c>
      <c r="I21" s="25">
        <f t="shared" si="5"/>
        <v>-36158.291643491175</v>
      </c>
      <c r="J21" s="25">
        <f t="shared" si="5"/>
        <v>-37243.040392795905</v>
      </c>
      <c r="K21" s="26">
        <f t="shared" si="5"/>
        <v>-38360.331604579784</v>
      </c>
      <c r="M21" s="1450"/>
      <c r="N21" s="1451"/>
    </row>
    <row r="22" spans="1:14" ht="13.15" customHeight="1">
      <c r="A22" s="24" t="s">
        <v>1298</v>
      </c>
      <c r="B22" s="25">
        <f t="shared" ref="B22:K22" si="6">SUM(B14:B21)</f>
        <v>115849.5</v>
      </c>
      <c r="C22" s="25">
        <f t="shared" si="6"/>
        <v>114598.75</v>
      </c>
      <c r="D22" s="25">
        <f t="shared" si="6"/>
        <v>113214.87600000008</v>
      </c>
      <c r="E22" s="25">
        <f t="shared" si="6"/>
        <v>111693.22405000006</v>
      </c>
      <c r="F22" s="25">
        <f t="shared" si="6"/>
        <v>110027.93077690012</v>
      </c>
      <c r="G22" s="25">
        <f t="shared" si="6"/>
        <v>108212.91630571517</v>
      </c>
      <c r="H22" s="25">
        <f t="shared" si="6"/>
        <v>106239.87695250474</v>
      </c>
      <c r="I22" s="25">
        <f t="shared" si="6"/>
        <v>104104.27768185044</v>
      </c>
      <c r="J22" s="25">
        <f t="shared" si="6"/>
        <v>101798.34432149187</v>
      </c>
      <c r="K22" s="26">
        <f t="shared" si="6"/>
        <v>99314.055526506243</v>
      </c>
      <c r="M22" s="1450"/>
      <c r="N22" s="1451"/>
    </row>
    <row r="23" spans="1:14" ht="13.15" customHeight="1">
      <c r="A23" s="681" t="s">
        <v>1686</v>
      </c>
      <c r="B23" s="1554">
        <f>IF('Part III A-Sources of Funds'!$M$32="", 0,-'Part III A-Sources of Funds'!$M$32)</f>
        <v>0</v>
      </c>
      <c r="C23" s="1554">
        <f>IF('Part III A-Sources of Funds'!$M$32="", 0,-'Part III A-Sources of Funds'!$M$32)</f>
        <v>0</v>
      </c>
      <c r="D23" s="1554">
        <f>IF('Part III A-Sources of Funds'!$M$32="", 0,-'Part III A-Sources of Funds'!$M$32)</f>
        <v>0</v>
      </c>
      <c r="E23" s="1554">
        <f>IF('Part III A-Sources of Funds'!$M$32="", 0,-'Part III A-Sources of Funds'!$M$32)</f>
        <v>0</v>
      </c>
      <c r="F23" s="1554">
        <f>IF('Part III A-Sources of Funds'!$M$32="", 0,-'Part III A-Sources of Funds'!$M$32)</f>
        <v>0</v>
      </c>
      <c r="G23" s="1554">
        <f>IF('Part III A-Sources of Funds'!$M$32="", 0,-'Part III A-Sources of Funds'!$M$32)</f>
        <v>0</v>
      </c>
      <c r="H23" s="1554">
        <f>IF('Part III A-Sources of Funds'!$M$32="", 0,-'Part III A-Sources of Funds'!$M$32)</f>
        <v>0</v>
      </c>
      <c r="I23" s="1554">
        <f>IF('Part III A-Sources of Funds'!$M$32="", 0,-'Part III A-Sources of Funds'!$M$32)</f>
        <v>0</v>
      </c>
      <c r="J23" s="1554">
        <f>IF('Part III A-Sources of Funds'!$M$32="", 0,-'Part III A-Sources of Funds'!$M$32)</f>
        <v>0</v>
      </c>
      <c r="K23" s="1554">
        <f>IF('Part III A-Sources of Funds'!$M$32="", 0,-'Part III A-Sources of Funds'!$M$32)</f>
        <v>0</v>
      </c>
      <c r="M23" s="1450"/>
      <c r="N23" s="1451"/>
    </row>
    <row r="24" spans="1:14" ht="13.15" customHeight="1">
      <c r="A24" s="681" t="s">
        <v>1687</v>
      </c>
      <c r="B24" s="1555">
        <f>IF('Part III A-Sources of Funds'!$M$33="", 0,-'Part III A-Sources of Funds'!$M$33)</f>
        <v>0</v>
      </c>
      <c r="C24" s="1555">
        <f>IF('Part III A-Sources of Funds'!$M$33="", 0,-'Part III A-Sources of Funds'!$M$33)</f>
        <v>0</v>
      </c>
      <c r="D24" s="1555">
        <f>IF('Part III A-Sources of Funds'!$M$33="", 0,-'Part III A-Sources of Funds'!$M$33)</f>
        <v>0</v>
      </c>
      <c r="E24" s="1555">
        <f>IF('Part III A-Sources of Funds'!$M$33="", 0,-'Part III A-Sources of Funds'!$M$33)</f>
        <v>0</v>
      </c>
      <c r="F24" s="1555">
        <f>IF('Part III A-Sources of Funds'!$M$33="", 0,-'Part III A-Sources of Funds'!$M$33)</f>
        <v>0</v>
      </c>
      <c r="G24" s="1555">
        <f>IF('Part III A-Sources of Funds'!$M$33="", 0,-'Part III A-Sources of Funds'!$M$33)</f>
        <v>0</v>
      </c>
      <c r="H24" s="1555">
        <f>IF('Part III A-Sources of Funds'!$M$33="", 0,-'Part III A-Sources of Funds'!$M$33)</f>
        <v>0</v>
      </c>
      <c r="I24" s="1555">
        <f>IF('Part III A-Sources of Funds'!$M$33="", 0,-'Part III A-Sources of Funds'!$M$33)</f>
        <v>0</v>
      </c>
      <c r="J24" s="1555">
        <f>IF('Part III A-Sources of Funds'!$M$33="", 0,-'Part III A-Sources of Funds'!$M$33)</f>
        <v>0</v>
      </c>
      <c r="K24" s="1555">
        <f>IF('Part III A-Sources of Funds'!$M$33="", 0,-'Part III A-Sources of Funds'!$M$33)</f>
        <v>0</v>
      </c>
      <c r="M24" s="1450"/>
      <c r="N24" s="1451"/>
    </row>
    <row r="25" spans="1:14" ht="13.15" customHeight="1">
      <c r="A25" s="681" t="s">
        <v>1688</v>
      </c>
      <c r="B25" s="1555">
        <f>IF('Part III A-Sources of Funds'!$M$34="", 0,-'Part III A-Sources of Funds'!$M$34)</f>
        <v>0</v>
      </c>
      <c r="C25" s="1555">
        <f>IF('Part III A-Sources of Funds'!$M$34="", 0,-'Part III A-Sources of Funds'!$M$34)</f>
        <v>0</v>
      </c>
      <c r="D25" s="1555">
        <f>IF('Part III A-Sources of Funds'!$M$34="", 0,-'Part III A-Sources of Funds'!$M$34)</f>
        <v>0</v>
      </c>
      <c r="E25" s="1555">
        <f>IF('Part III A-Sources of Funds'!$M$34="", 0,-'Part III A-Sources of Funds'!$M$34)</f>
        <v>0</v>
      </c>
      <c r="F25" s="1555">
        <f>IF('Part III A-Sources of Funds'!$M$34="", 0,-'Part III A-Sources of Funds'!$M$34)</f>
        <v>0</v>
      </c>
      <c r="G25" s="1555">
        <f>IF('Part III A-Sources of Funds'!$M$34="", 0,-'Part III A-Sources of Funds'!$M$34)</f>
        <v>0</v>
      </c>
      <c r="H25" s="1555">
        <f>IF('Part III A-Sources of Funds'!$M$34="", 0,-'Part III A-Sources of Funds'!$M$34)</f>
        <v>0</v>
      </c>
      <c r="I25" s="1555">
        <f>IF('Part III A-Sources of Funds'!$M$34="", 0,-'Part III A-Sources of Funds'!$M$34)</f>
        <v>0</v>
      </c>
      <c r="J25" s="1555">
        <f>IF('Part III A-Sources of Funds'!$M$34="", 0,-'Part III A-Sources of Funds'!$M$34)</f>
        <v>0</v>
      </c>
      <c r="K25" s="1555">
        <f>IF('Part III A-Sources of Funds'!$M$34="", 0,-'Part III A-Sources of Funds'!$M$34)</f>
        <v>0</v>
      </c>
      <c r="M25" s="1450"/>
      <c r="N25" s="1451"/>
    </row>
    <row r="26" spans="1:14" ht="13.15" customHeight="1">
      <c r="A26" s="24" t="s">
        <v>961</v>
      </c>
      <c r="B26" s="1555">
        <f>IF('Part III A-Sources of Funds'!$M$35="", 0,-'Part III A-Sources of Funds'!$M$35)</f>
        <v>0</v>
      </c>
      <c r="C26" s="1555">
        <f>IF('Part III A-Sources of Funds'!$M$35="", 0,-'Part III A-Sources of Funds'!$M$35)</f>
        <v>0</v>
      </c>
      <c r="D26" s="1555">
        <f>IF('Part III A-Sources of Funds'!$M$35="", 0,-'Part III A-Sources of Funds'!$M$35)</f>
        <v>0</v>
      </c>
      <c r="E26" s="1555">
        <f>IF('Part III A-Sources of Funds'!$M$35="", 0,-'Part III A-Sources of Funds'!$M$35)</f>
        <v>0</v>
      </c>
      <c r="F26" s="1555">
        <f>IF('Part III A-Sources of Funds'!$M$35="", 0,-'Part III A-Sources of Funds'!$M$35)</f>
        <v>0</v>
      </c>
      <c r="G26" s="1555">
        <f>IF('Part III A-Sources of Funds'!$M$35="", 0,-'Part III A-Sources of Funds'!$M$35)</f>
        <v>0</v>
      </c>
      <c r="H26" s="1555">
        <f>IF('Part III A-Sources of Funds'!$M$35="", 0,-'Part III A-Sources of Funds'!$M$35)</f>
        <v>0</v>
      </c>
      <c r="I26" s="1555">
        <f>IF('Part III A-Sources of Funds'!$M$35="", 0,-'Part III A-Sources of Funds'!$M$35)</f>
        <v>0</v>
      </c>
      <c r="J26" s="1555">
        <f>IF('Part III A-Sources of Funds'!$M$35="", 0,-'Part III A-Sources of Funds'!$M$35)</f>
        <v>0</v>
      </c>
      <c r="K26" s="1555">
        <f>IF('Part III A-Sources of Funds'!$M$35="", 0,-'Part III A-Sources of Funds'!$M$35)</f>
        <v>0</v>
      </c>
      <c r="M26" s="1450"/>
      <c r="N26" s="1451"/>
    </row>
    <row r="27" spans="1:14" ht="13.15" customHeight="1">
      <c r="A27" s="24" t="s">
        <v>83</v>
      </c>
      <c r="B27" s="1556"/>
      <c r="C27" s="1556"/>
      <c r="D27" s="1556"/>
      <c r="E27" s="1556"/>
      <c r="F27" s="1556"/>
      <c r="G27" s="1556"/>
      <c r="H27" s="1556"/>
      <c r="I27" s="1556"/>
      <c r="J27" s="1556"/>
      <c r="K27" s="1556"/>
      <c r="M27" s="1450"/>
      <c r="N27" s="1451"/>
    </row>
    <row r="28" spans="1:14" ht="13.15" customHeight="1">
      <c r="A28" s="24" t="s">
        <v>1260</v>
      </c>
      <c r="B28" s="1555">
        <f>-$G$5</f>
        <v>-5000</v>
      </c>
      <c r="C28" s="1555">
        <f t="shared" ref="C28:K28" si="7">+B28</f>
        <v>-5000</v>
      </c>
      <c r="D28" s="1555">
        <f t="shared" si="7"/>
        <v>-5000</v>
      </c>
      <c r="E28" s="1555">
        <f t="shared" si="7"/>
        <v>-5000</v>
      </c>
      <c r="F28" s="1555">
        <f t="shared" si="7"/>
        <v>-5000</v>
      </c>
      <c r="G28" s="1555">
        <f t="shared" si="7"/>
        <v>-5000</v>
      </c>
      <c r="H28" s="1555">
        <f t="shared" si="7"/>
        <v>-5000</v>
      </c>
      <c r="I28" s="1555">
        <f t="shared" si="7"/>
        <v>-5000</v>
      </c>
      <c r="J28" s="1555">
        <f t="shared" si="7"/>
        <v>-5000</v>
      </c>
      <c r="K28" s="1555">
        <f t="shared" si="7"/>
        <v>-5000</v>
      </c>
      <c r="M28" s="1450"/>
      <c r="N28" s="1451"/>
    </row>
    <row r="29" spans="1:14" ht="13.15" customHeight="1">
      <c r="A29" s="24" t="s">
        <v>1299</v>
      </c>
      <c r="B29" s="1557">
        <f>IF('Part III A-Sources of Funds'!$M$37="", 0,-'Part III A-Sources of Funds'!$M$37)</f>
        <v>-757</v>
      </c>
      <c r="C29" s="1557"/>
      <c r="D29" s="1557"/>
      <c r="E29" s="1557"/>
      <c r="F29" s="1557"/>
      <c r="G29" s="1557"/>
      <c r="H29" s="1557"/>
      <c r="I29" s="1557"/>
      <c r="J29" s="1557"/>
      <c r="K29" s="1557"/>
      <c r="M29" s="1450"/>
      <c r="N29" s="1451"/>
    </row>
    <row r="30" spans="1:14" ht="13.15" customHeight="1">
      <c r="A30" s="24" t="s">
        <v>1261</v>
      </c>
      <c r="B30" s="25">
        <f t="shared" ref="B30:K30" si="8">SUM(B22:B29)</f>
        <v>110092.5</v>
      </c>
      <c r="C30" s="25">
        <f t="shared" si="8"/>
        <v>109598.75</v>
      </c>
      <c r="D30" s="25">
        <f t="shared" si="8"/>
        <v>108214.87600000008</v>
      </c>
      <c r="E30" s="25">
        <f t="shared" si="8"/>
        <v>106693.22405000006</v>
      </c>
      <c r="F30" s="25">
        <f t="shared" si="8"/>
        <v>105027.93077690012</v>
      </c>
      <c r="G30" s="25">
        <f t="shared" si="8"/>
        <v>103212.91630571517</v>
      </c>
      <c r="H30" s="25">
        <f t="shared" si="8"/>
        <v>101239.87695250474</v>
      </c>
      <c r="I30" s="25">
        <f t="shared" si="8"/>
        <v>99104.277681850435</v>
      </c>
      <c r="J30" s="25">
        <f t="shared" si="8"/>
        <v>96798.344321491866</v>
      </c>
      <c r="K30" s="26">
        <f t="shared" si="8"/>
        <v>94314.055526506243</v>
      </c>
      <c r="M30" s="1450"/>
      <c r="N30" s="1451"/>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50"/>
      <c r="N31" s="1451"/>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0"/>
      <c r="N32" s="1451"/>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0"/>
      <c r="N33" s="1451"/>
    </row>
    <row r="34" spans="1:14" ht="13.15" customHeight="1">
      <c r="A34" s="24" t="s">
        <v>962</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0"/>
      <c r="N34" s="1451"/>
    </row>
    <row r="35" spans="1:14" ht="13.15" customHeight="1">
      <c r="A35" s="24" t="s">
        <v>92</v>
      </c>
      <c r="B35" s="380">
        <f>IF(OR(B20="Choose mgt fee",B20="Choose One!"),"",(B14+B15+B16+B17+B18) / -(B19+B20+B21))</f>
        <v>1.3035029394196611</v>
      </c>
      <c r="C35" s="380">
        <f t="shared" ref="C35:K35" si="13">IF(OR(C20="Choose mgt fee",C20="Choose One!"),"",(C14+C15+C16+C17+C18) / -(C19+C20+C21))</f>
        <v>1.2916667408991223</v>
      </c>
      <c r="D35" s="380">
        <f t="shared" si="13"/>
        <v>1.2799272355039104</v>
      </c>
      <c r="E35" s="380">
        <f t="shared" si="13"/>
        <v>1.2682877416229958</v>
      </c>
      <c r="F35" s="380">
        <f t="shared" si="13"/>
        <v>1.2567480854378501</v>
      </c>
      <c r="G35" s="380">
        <f t="shared" si="13"/>
        <v>1.2453080224099922</v>
      </c>
      <c r="H35" s="380">
        <f t="shared" si="13"/>
        <v>1.2339618085212807</v>
      </c>
      <c r="I35" s="380">
        <f t="shared" si="13"/>
        <v>1.2227149171513121</v>
      </c>
      <c r="J35" s="380">
        <f t="shared" si="13"/>
        <v>1.2115643861574106</v>
      </c>
      <c r="K35" s="381">
        <f t="shared" si="13"/>
        <v>1.2005075828418068</v>
      </c>
      <c r="M35" s="1450"/>
      <c r="N35" s="1451"/>
    </row>
    <row r="36" spans="1:14" ht="13.15" customHeight="1">
      <c r="A36" s="681" t="s">
        <v>3200</v>
      </c>
      <c r="B36" s="1554" t="str">
        <f>IF('Part III A-Sources of Funds'!$H$32="","",-FV('Part III A-Sources of Funds'!$J$32/12,12,B23/12,'Part III A-Sources of Funds'!$H$32))</f>
        <v/>
      </c>
      <c r="C36" s="1554" t="str">
        <f>IF('Part III A-Sources of Funds'!$H$32="","",-FV('Part III A-Sources of Funds'!$J$32/12,12,C23/12,B36))</f>
        <v/>
      </c>
      <c r="D36" s="1554" t="str">
        <f>IF('Part III A-Sources of Funds'!$H$32="","",-FV('Part III A-Sources of Funds'!$J$32/12,12,D23/12,C36))</f>
        <v/>
      </c>
      <c r="E36" s="1554" t="str">
        <f>IF('Part III A-Sources of Funds'!$H$32="","",-FV('Part III A-Sources of Funds'!$J$32/12,12,E23/12,D36))</f>
        <v/>
      </c>
      <c r="F36" s="1554" t="str">
        <f>IF('Part III A-Sources of Funds'!$H$32="","",-FV('Part III A-Sources of Funds'!$J$32/12,12,F23/12,E36))</f>
        <v/>
      </c>
      <c r="G36" s="1554" t="str">
        <f>IF('Part III A-Sources of Funds'!$H$32="","",-FV('Part III A-Sources of Funds'!$J$32/12,12,G23/12,F36))</f>
        <v/>
      </c>
      <c r="H36" s="1554" t="str">
        <f>IF('Part III A-Sources of Funds'!$H$32="","",-FV('Part III A-Sources of Funds'!$J$32/12,12,H23/12,G36))</f>
        <v/>
      </c>
      <c r="I36" s="1554" t="str">
        <f>IF('Part III A-Sources of Funds'!$H$32="","",-FV('Part III A-Sources of Funds'!$J$32/12,12,I23/12,H36))</f>
        <v/>
      </c>
      <c r="J36" s="1554" t="str">
        <f>IF('Part III A-Sources of Funds'!$H$32="","",-FV('Part III A-Sources of Funds'!$J$32/12,12,J23/12,I36))</f>
        <v/>
      </c>
      <c r="K36" s="1554" t="str">
        <f>IF('Part III A-Sources of Funds'!$H$32="","",-FV('Part III A-Sources of Funds'!$J$32/12,12,K23/12,J36))</f>
        <v/>
      </c>
      <c r="M36" s="1450"/>
      <c r="N36" s="1451"/>
    </row>
    <row r="37" spans="1:14" ht="13.15" customHeight="1">
      <c r="A37" s="681" t="s">
        <v>3201</v>
      </c>
      <c r="B37" s="1555" t="str">
        <f>IF('Part III A-Sources of Funds'!$H$33="","",-FV('Part III A-Sources of Funds'!$J$33/12,12,B24/12,'Part III A-Sources of Funds'!$H$33))</f>
        <v/>
      </c>
      <c r="C37" s="1555" t="str">
        <f>IF('Part III A-Sources of Funds'!$H$33="","",-FV('Part III A-Sources of Funds'!$J$33/12,12,C24/12,B37))</f>
        <v/>
      </c>
      <c r="D37" s="1555" t="str">
        <f>IF('Part III A-Sources of Funds'!$H$33="","",-FV('Part III A-Sources of Funds'!$J$33/12,12,D24/12,C37))</f>
        <v/>
      </c>
      <c r="E37" s="1555" t="str">
        <f>IF('Part III A-Sources of Funds'!$H$33="","",-FV('Part III A-Sources of Funds'!$J$33/12,12,E24/12,D37))</f>
        <v/>
      </c>
      <c r="F37" s="1555" t="str">
        <f>IF('Part III A-Sources of Funds'!$H$33="","",-FV('Part III A-Sources of Funds'!$J$33/12,12,F24/12,E37))</f>
        <v/>
      </c>
      <c r="G37" s="1555" t="str">
        <f>IF('Part III A-Sources of Funds'!$H$33="","",-FV('Part III A-Sources of Funds'!$J$33/12,12,G24/12,F37))</f>
        <v/>
      </c>
      <c r="H37" s="1555" t="str">
        <f>IF('Part III A-Sources of Funds'!$H$33="","",-FV('Part III A-Sources of Funds'!$J$33/12,12,H24/12,G37))</f>
        <v/>
      </c>
      <c r="I37" s="1555" t="str">
        <f>IF('Part III A-Sources of Funds'!$H$33="","",-FV('Part III A-Sources of Funds'!$J$33/12,12,I24/12,H37))</f>
        <v/>
      </c>
      <c r="J37" s="1555" t="str">
        <f>IF('Part III A-Sources of Funds'!$H$33="","",-FV('Part III A-Sources of Funds'!$J$33/12,12,J24/12,I37))</f>
        <v/>
      </c>
      <c r="K37" s="1555" t="str">
        <f>IF('Part III A-Sources of Funds'!$H$33="","",-FV('Part III A-Sources of Funds'!$J$33/12,12,K24/12,J37))</f>
        <v/>
      </c>
      <c r="M37" s="1450"/>
      <c r="N37" s="1451"/>
    </row>
    <row r="38" spans="1:14" ht="13.15" customHeight="1">
      <c r="A38" s="681" t="s">
        <v>3202</v>
      </c>
      <c r="B38" s="1555" t="str">
        <f>IF('Part III A-Sources of Funds'!$H$34="","",-FV('Part III A-Sources of Funds'!$J$34/12,12,B25/12,'Part III A-Sources of Funds'!$H$34))</f>
        <v/>
      </c>
      <c r="C38" s="1555" t="str">
        <f>IF('Part III A-Sources of Funds'!$H$34="","",-FV('Part III A-Sources of Funds'!$J$34/12,12,C25/12,B38))</f>
        <v/>
      </c>
      <c r="D38" s="1555" t="str">
        <f>IF('Part III A-Sources of Funds'!$H$34="","",-FV('Part III A-Sources of Funds'!$J$34/12,12,D25/12,C38))</f>
        <v/>
      </c>
      <c r="E38" s="1555" t="str">
        <f>IF('Part III A-Sources of Funds'!$H$34="","",-FV('Part III A-Sources of Funds'!$J$34/12,12,E25/12,D38))</f>
        <v/>
      </c>
      <c r="F38" s="1555" t="str">
        <f>IF('Part III A-Sources of Funds'!$H$34="","",-FV('Part III A-Sources of Funds'!$J$34/12,12,F25/12,E38))</f>
        <v/>
      </c>
      <c r="G38" s="1555" t="str">
        <f>IF('Part III A-Sources of Funds'!$H$34="","",-FV('Part III A-Sources of Funds'!$J$34/12,12,G25/12,F38))</f>
        <v/>
      </c>
      <c r="H38" s="1555" t="str">
        <f>IF('Part III A-Sources of Funds'!$H$34="","",-FV('Part III A-Sources of Funds'!$J$34/12,12,H25/12,G38))</f>
        <v/>
      </c>
      <c r="I38" s="1555" t="str">
        <f>IF('Part III A-Sources of Funds'!$H$34="","",-FV('Part III A-Sources of Funds'!$J$34/12,12,I25/12,H38))</f>
        <v/>
      </c>
      <c r="J38" s="1555" t="str">
        <f>IF('Part III A-Sources of Funds'!$H$34="","",-FV('Part III A-Sources of Funds'!$J$34/12,12,J25/12,I38))</f>
        <v/>
      </c>
      <c r="K38" s="1555" t="str">
        <f>IF('Part III A-Sources of Funds'!$H$34="","",-FV('Part III A-Sources of Funds'!$J$34/12,12,K25/12,J38))</f>
        <v/>
      </c>
      <c r="M38" s="1450"/>
      <c r="N38" s="1451"/>
    </row>
    <row r="39" spans="1:14" ht="13.15" customHeight="1">
      <c r="A39" s="24" t="s">
        <v>963</v>
      </c>
      <c r="B39" s="1555" t="str">
        <f>IF('Part III A-Sources of Funds'!$H$35="","",-FV('Part III A-Sources of Funds'!$J$35/12,12,B24/12,'Part III A-Sources of Funds'!$H$35))</f>
        <v/>
      </c>
      <c r="C39" s="1555" t="str">
        <f>IF('Part III A-Sources of Funds'!$H$35="","",-FV('Part III A-Sources of Funds'!$J$35/12,12,C26/12,B39))</f>
        <v/>
      </c>
      <c r="D39" s="1555" t="str">
        <f>IF('Part III A-Sources of Funds'!$H$35="","",-FV('Part III A-Sources of Funds'!$J$35/12,12,D26/12,C39))</f>
        <v/>
      </c>
      <c r="E39" s="1555" t="str">
        <f>IF('Part III A-Sources of Funds'!$H$35="","",-FV('Part III A-Sources of Funds'!$J$35/12,12,E26/12,D39))</f>
        <v/>
      </c>
      <c r="F39" s="1555" t="str">
        <f>IF('Part III A-Sources of Funds'!$H$35="","",-FV('Part III A-Sources of Funds'!$J$35/12,12,F26/12,E39))</f>
        <v/>
      </c>
      <c r="G39" s="1555" t="str">
        <f>IF('Part III A-Sources of Funds'!$H$35="","",-FV('Part III A-Sources of Funds'!$J$35/12,12,G26/12,F39))</f>
        <v/>
      </c>
      <c r="H39" s="1555" t="str">
        <f>IF('Part III A-Sources of Funds'!$H$35="","",-FV('Part III A-Sources of Funds'!$J$35/12,12,H26/12,G39))</f>
        <v/>
      </c>
      <c r="I39" s="1555" t="str">
        <f>IF('Part III A-Sources of Funds'!$H$35="","",-FV('Part III A-Sources of Funds'!$J$35/12,12,I26/12,H39))</f>
        <v/>
      </c>
      <c r="J39" s="1555" t="str">
        <f>IF('Part III A-Sources of Funds'!$H$35="","",-FV('Part III A-Sources of Funds'!$J$35/12,12,J26/12,I39))</f>
        <v/>
      </c>
      <c r="K39" s="1555" t="str">
        <f>IF('Part III A-Sources of Funds'!$H$35="","",-FV('Part III A-Sources of Funds'!$J$35/12,12,K26/12,J39))</f>
        <v/>
      </c>
      <c r="M39" s="1450"/>
      <c r="N39" s="1451"/>
    </row>
    <row r="40" spans="1:14" ht="13.15" customHeight="1">
      <c r="A40" s="681" t="s">
        <v>3203</v>
      </c>
      <c r="B40" s="1555">
        <f>'Part III A-Sources of Funds'!$H$36</f>
        <v>2106000</v>
      </c>
      <c r="C40" s="1555">
        <f>B40</f>
        <v>2106000</v>
      </c>
      <c r="D40" s="1555">
        <f t="shared" ref="D40:K40" si="14">C40</f>
        <v>2106000</v>
      </c>
      <c r="E40" s="1555">
        <f t="shared" si="14"/>
        <v>2106000</v>
      </c>
      <c r="F40" s="1555">
        <f t="shared" si="14"/>
        <v>2106000</v>
      </c>
      <c r="G40" s="1555">
        <f t="shared" si="14"/>
        <v>2106000</v>
      </c>
      <c r="H40" s="1555">
        <f t="shared" si="14"/>
        <v>2106000</v>
      </c>
      <c r="I40" s="1555">
        <f t="shared" si="14"/>
        <v>2106000</v>
      </c>
      <c r="J40" s="1555">
        <f t="shared" si="14"/>
        <v>2106000</v>
      </c>
      <c r="K40" s="1555">
        <f t="shared" si="14"/>
        <v>2106000</v>
      </c>
      <c r="M40" s="1450"/>
      <c r="N40" s="1451"/>
    </row>
    <row r="41" spans="1:14" ht="13.15" customHeight="1">
      <c r="A41" s="29" t="s">
        <v>1334</v>
      </c>
      <c r="B41" s="1557">
        <f>IF('Part III A-Sources of Funds'!$H$37="","",-FV('Part III A-Sources of Funds'!$J$37/12,12,B29/12,'Part III A-Sources of Funds'!$H$37))</f>
        <v>0</v>
      </c>
      <c r="C41" s="1557">
        <f>IF('Part III A-Sources of Funds'!$H$37="","",-FV('Part III A-Sources of Funds'!$J$37/12,12,C29/12,B41))</f>
        <v>0</v>
      </c>
      <c r="D41" s="1557">
        <f>IF('Part III A-Sources of Funds'!$H$37="","",-FV('Part III A-Sources of Funds'!$J$37/12,12,D29/12,C41))</f>
        <v>0</v>
      </c>
      <c r="E41" s="1557">
        <f>IF('Part III A-Sources of Funds'!$H$37="","",-FV('Part III A-Sources of Funds'!$J$37/12,12,E29/12,D41))</f>
        <v>0</v>
      </c>
      <c r="F41" s="1557">
        <f>IF('Part III A-Sources of Funds'!$H$37="","",-FV('Part III A-Sources of Funds'!$J$37/12,12,F29/12,E41))</f>
        <v>0</v>
      </c>
      <c r="G41" s="1557">
        <f>IF('Part III A-Sources of Funds'!$H$37="","",-FV('Part III A-Sources of Funds'!$J$37/12,12,G29/12,F41))</f>
        <v>0</v>
      </c>
      <c r="H41" s="1557">
        <f>IF('Part III A-Sources of Funds'!$H$37="","",-FV('Part III A-Sources of Funds'!$J$37/12,12,H29/12,G41))</f>
        <v>0</v>
      </c>
      <c r="I41" s="1557">
        <f>IF('Part III A-Sources of Funds'!$H$37="","",-FV('Part III A-Sources of Funds'!$J$37/12,12,I29/12,H41))</f>
        <v>0</v>
      </c>
      <c r="J41" s="1557">
        <f>IF('Part III A-Sources of Funds'!$H$37="","",-FV('Part III A-Sources of Funds'!$J$37/12,12,J29/12,I41))</f>
        <v>0</v>
      </c>
      <c r="K41" s="1557">
        <f>IF('Part III A-Sources of Funds'!$H$37="","",-FV('Part III A-Sources of Funds'!$J$37/12,12,K29/12,J41))</f>
        <v>0</v>
      </c>
      <c r="M41" s="1453"/>
      <c r="N41" s="1454"/>
    </row>
    <row r="42" spans="1:14" ht="4.1500000000000004" customHeight="1">
      <c r="B42" s="20"/>
      <c r="C42" s="20"/>
      <c r="D42" s="20"/>
      <c r="E42" s="20"/>
      <c r="F42" s="20"/>
      <c r="G42" s="20"/>
      <c r="H42" s="20"/>
      <c r="I42" s="20"/>
      <c r="J42" s="20"/>
      <c r="K42" s="20"/>
    </row>
    <row r="43" spans="1:14" ht="14.45" customHeight="1">
      <c r="A43" s="16" t="s">
        <v>3152</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1" t="s">
        <v>3206</v>
      </c>
      <c r="N43" s="971"/>
    </row>
    <row r="44" spans="1:14" ht="13.15" customHeight="1">
      <c r="A44" s="21" t="s">
        <v>2895</v>
      </c>
      <c r="B44" s="22">
        <f t="shared" ref="B44:K44" si="16">$B$14*(1+$B$5)^(B43-1)</f>
        <v>0</v>
      </c>
      <c r="C44" s="22">
        <f t="shared" si="16"/>
        <v>0</v>
      </c>
      <c r="D44" s="22">
        <f t="shared" si="16"/>
        <v>0</v>
      </c>
      <c r="E44" s="22">
        <f t="shared" si="16"/>
        <v>0</v>
      </c>
      <c r="F44" s="22">
        <f t="shared" si="16"/>
        <v>0</v>
      </c>
      <c r="G44" s="22">
        <f t="shared" si="16"/>
        <v>0</v>
      </c>
      <c r="H44" s="22">
        <f t="shared" si="16"/>
        <v>0</v>
      </c>
      <c r="I44" s="22">
        <f t="shared" si="16"/>
        <v>0</v>
      </c>
      <c r="J44" s="22">
        <f t="shared" si="16"/>
        <v>0</v>
      </c>
      <c r="K44" s="23">
        <f t="shared" si="16"/>
        <v>0</v>
      </c>
      <c r="M44" s="1448"/>
      <c r="N44" s="1449"/>
    </row>
    <row r="45" spans="1:14" ht="13.15" customHeight="1">
      <c r="A45" s="24" t="s">
        <v>1062</v>
      </c>
      <c r="B45" s="25">
        <f t="shared" ref="B45:K45" si="17">$B$15*(1+$B$5)^(B43-1)</f>
        <v>0</v>
      </c>
      <c r="C45" s="25">
        <f t="shared" si="17"/>
        <v>0</v>
      </c>
      <c r="D45" s="25">
        <f t="shared" si="17"/>
        <v>0</v>
      </c>
      <c r="E45" s="25">
        <f t="shared" si="17"/>
        <v>0</v>
      </c>
      <c r="F45" s="25">
        <f t="shared" si="17"/>
        <v>0</v>
      </c>
      <c r="G45" s="25">
        <f t="shared" si="17"/>
        <v>0</v>
      </c>
      <c r="H45" s="25">
        <f t="shared" si="17"/>
        <v>0</v>
      </c>
      <c r="I45" s="25">
        <f t="shared" si="17"/>
        <v>0</v>
      </c>
      <c r="J45" s="25">
        <f t="shared" si="17"/>
        <v>0</v>
      </c>
      <c r="K45" s="26">
        <f t="shared" si="17"/>
        <v>0</v>
      </c>
      <c r="M45" s="1450"/>
      <c r="N45" s="1451"/>
    </row>
    <row r="46" spans="1:14" ht="13.15" customHeight="1">
      <c r="A46" s="24" t="s">
        <v>2896</v>
      </c>
      <c r="B46" s="25">
        <f t="shared" ref="B46:K46" si="18">-(B44+B45)*$B$8</f>
        <v>0</v>
      </c>
      <c r="C46" s="25">
        <f t="shared" si="18"/>
        <v>0</v>
      </c>
      <c r="D46" s="25">
        <f t="shared" si="18"/>
        <v>0</v>
      </c>
      <c r="E46" s="25">
        <f t="shared" si="18"/>
        <v>0</v>
      </c>
      <c r="F46" s="25">
        <f t="shared" si="18"/>
        <v>0</v>
      </c>
      <c r="G46" s="25">
        <f t="shared" si="18"/>
        <v>0</v>
      </c>
      <c r="H46" s="25">
        <f t="shared" si="18"/>
        <v>0</v>
      </c>
      <c r="I46" s="25">
        <f t="shared" si="18"/>
        <v>0</v>
      </c>
      <c r="J46" s="25">
        <f t="shared" si="18"/>
        <v>0</v>
      </c>
      <c r="K46" s="26">
        <f t="shared" si="18"/>
        <v>0</v>
      </c>
      <c r="M46" s="1450"/>
      <c r="N46" s="1451"/>
    </row>
    <row r="47" spans="1:14" ht="13.15" customHeight="1">
      <c r="A47" s="24" t="s">
        <v>1564</v>
      </c>
      <c r="B47" s="25">
        <f>+'Part VI-Revenues &amp; Expenses'!G121</f>
        <v>606519.81612654147</v>
      </c>
      <c r="C47" s="25">
        <f>+'Part VI-Revenues &amp; Expenses'!H121</f>
        <v>618650.21244907239</v>
      </c>
      <c r="D47" s="25">
        <f>+'Part VI-Revenues &amp; Expenses'!I121</f>
        <v>631023.21669805388</v>
      </c>
      <c r="E47" s="25">
        <f>+'Part VI-Revenues &amp; Expenses'!J121</f>
        <v>643643.68103201501</v>
      </c>
      <c r="F47" s="25">
        <f>+'Part VI-Revenues &amp; Expenses'!K121</f>
        <v>656516.55465265538</v>
      </c>
      <c r="G47" s="25">
        <f>+'Part VI-Revenues &amp; Expenses'!L121</f>
        <v>669646.88574570848</v>
      </c>
      <c r="H47" s="25">
        <f>+'Part VI-Revenues &amp; Expenses'!M121</f>
        <v>683039.82346062269</v>
      </c>
      <c r="I47" s="25">
        <f>+'Part VI-Revenues &amp; Expenses'!N121</f>
        <v>696700.61992983508</v>
      </c>
      <c r="J47" s="25">
        <f>+'Part VI-Revenues &amp; Expenses'!O121</f>
        <v>710634.63232843182</v>
      </c>
      <c r="K47" s="26">
        <f>+'Part VI-Revenues &amp; Expenses'!P121</f>
        <v>724847.32497500046</v>
      </c>
      <c r="M47" s="1450"/>
      <c r="N47" s="1451"/>
    </row>
    <row r="48" spans="1:14" ht="13.15" customHeight="1">
      <c r="A48" s="24" t="s">
        <v>1565</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50"/>
      <c r="N48" s="1451"/>
    </row>
    <row r="49" spans="1:14" ht="13.15" customHeight="1">
      <c r="A49" s="24" t="s">
        <v>837</v>
      </c>
      <c r="B49" s="25">
        <f t="shared" ref="B49:K49" si="19">$B$19*(1+$B$6)^(B43-1)</f>
        <v>-440038.54008864582</v>
      </c>
      <c r="C49" s="25">
        <f t="shared" si="19"/>
        <v>-453239.69629130518</v>
      </c>
      <c r="D49" s="25">
        <f t="shared" si="19"/>
        <v>-466836.88718004426</v>
      </c>
      <c r="E49" s="25">
        <f t="shared" si="19"/>
        <v>-480841.9937954456</v>
      </c>
      <c r="F49" s="25">
        <f t="shared" si="19"/>
        <v>-495267.25360930897</v>
      </c>
      <c r="G49" s="25">
        <f t="shared" si="19"/>
        <v>-510125.27121758828</v>
      </c>
      <c r="H49" s="25">
        <f t="shared" si="19"/>
        <v>-525429.02935411583</v>
      </c>
      <c r="I49" s="25">
        <f t="shared" si="19"/>
        <v>-541191.9002347393</v>
      </c>
      <c r="J49" s="25">
        <f t="shared" si="19"/>
        <v>-557427.65724178148</v>
      </c>
      <c r="K49" s="26">
        <f t="shared" si="19"/>
        <v>-574150.48695903493</v>
      </c>
      <c r="M49" s="1450"/>
      <c r="N49" s="1451"/>
    </row>
    <row r="50" spans="1:14" ht="13.15" customHeight="1">
      <c r="A50" s="24" t="s">
        <v>1202</v>
      </c>
      <c r="B50" s="25">
        <f>IF(AND('Part VII-Pro Forma'!$G$8="Yes",'Part VII-Pro Forma'!$G$9="Yes"),"Choose One!",IF('Part VII-Pro Forma'!$G$8="Yes",ROUND((-$K$8*(1+'Part VII-Pro Forma'!$B$6)^('Part VII-Pro Forma'!B43-1)),),IF('Part VII-Pro Forma'!$G$9="Yes",ROUND((-(SUM(B44:B47)*'Part VII-Pro Forma'!$K$9)),),"Choose mgt fee")))</f>
        <v>-30326</v>
      </c>
      <c r="C50" s="25">
        <f>IF(AND('Part VII-Pro Forma'!$G$8="Yes",'Part VII-Pro Forma'!$G$9="Yes"),"Choose One!",IF('Part VII-Pro Forma'!$G$8="Yes",ROUND((-$K$8*(1+'Part VII-Pro Forma'!$B$6)^('Part VII-Pro Forma'!C43-1)),),IF('Part VII-Pro Forma'!$G$9="Yes",ROUND((-(SUM(C44:C47)*'Part VII-Pro Forma'!$K$9)),),"Choose mgt fee")))</f>
        <v>-30933</v>
      </c>
      <c r="D50" s="25">
        <f>IF(AND('Part VII-Pro Forma'!$G$8="Yes",'Part VII-Pro Forma'!$G$9="Yes"),"Choose One!",IF('Part VII-Pro Forma'!$G$8="Yes",ROUND((-$K$8*(1+'Part VII-Pro Forma'!$B$6)^('Part VII-Pro Forma'!D43-1)),),IF('Part VII-Pro Forma'!$G$9="Yes",ROUND((-(SUM(D44:D47)*'Part VII-Pro Forma'!$K$9)),),"Choose mgt fee")))</f>
        <v>-31551</v>
      </c>
      <c r="E50" s="25">
        <f>IF(AND('Part VII-Pro Forma'!$G$8="Yes",'Part VII-Pro Forma'!$G$9="Yes"),"Choose One!",IF('Part VII-Pro Forma'!$G$8="Yes",ROUND((-$K$8*(1+'Part VII-Pro Forma'!$B$6)^('Part VII-Pro Forma'!E43-1)),),IF('Part VII-Pro Forma'!$G$9="Yes",ROUND((-(SUM(E44:E47)*'Part VII-Pro Forma'!$K$9)),),"Choose mgt fee")))</f>
        <v>-32182</v>
      </c>
      <c r="F50" s="25">
        <f>IF(AND('Part VII-Pro Forma'!$G$8="Yes",'Part VII-Pro Forma'!$G$9="Yes"),"Choose One!",IF('Part VII-Pro Forma'!$G$8="Yes",ROUND((-$K$8*(1+'Part VII-Pro Forma'!$B$6)^('Part VII-Pro Forma'!F43-1)),),IF('Part VII-Pro Forma'!$G$9="Yes",ROUND((-(SUM(F44:F47)*'Part VII-Pro Forma'!$K$9)),),"Choose mgt fee")))</f>
        <v>-32826</v>
      </c>
      <c r="G50" s="25">
        <f>IF(AND('Part VII-Pro Forma'!$G$8="Yes",'Part VII-Pro Forma'!$G$9="Yes"),"Choose One!",IF('Part VII-Pro Forma'!$G$8="Yes",ROUND((-$K$8*(1+'Part VII-Pro Forma'!$B$6)^('Part VII-Pro Forma'!G43-1)),),IF('Part VII-Pro Forma'!$G$9="Yes",ROUND((-(SUM(G44:G47)*'Part VII-Pro Forma'!$K$9)),),"Choose mgt fee")))</f>
        <v>-33482</v>
      </c>
      <c r="H50" s="25">
        <f>IF(AND('Part VII-Pro Forma'!$G$8="Yes",'Part VII-Pro Forma'!$G$9="Yes"),"Choose One!",IF('Part VII-Pro Forma'!$G$8="Yes",ROUND((-$K$8*(1+'Part VII-Pro Forma'!$B$6)^('Part VII-Pro Forma'!H43-1)),),IF('Part VII-Pro Forma'!$G$9="Yes",ROUND((-(SUM(H44:H47)*'Part VII-Pro Forma'!$K$9)),),"Choose mgt fee")))</f>
        <v>-34152</v>
      </c>
      <c r="I50" s="25">
        <f>IF(AND('Part VII-Pro Forma'!$G$8="Yes",'Part VII-Pro Forma'!$G$9="Yes"),"Choose One!",IF('Part VII-Pro Forma'!$G$8="Yes",ROUND((-$K$8*(1+'Part VII-Pro Forma'!$B$6)^('Part VII-Pro Forma'!I43-1)),),IF('Part VII-Pro Forma'!$G$9="Yes",ROUND((-(SUM(I44:I47)*'Part VII-Pro Forma'!$K$9)),),"Choose mgt fee")))</f>
        <v>-34835</v>
      </c>
      <c r="J50" s="25">
        <f>IF(AND('Part VII-Pro Forma'!$G$8="Yes",'Part VII-Pro Forma'!$G$9="Yes"),"Choose One!",IF('Part VII-Pro Forma'!$G$8="Yes",ROUND((-$K$8*(1+'Part VII-Pro Forma'!$B$6)^('Part VII-Pro Forma'!J43-1)),),IF('Part VII-Pro Forma'!$G$9="Yes",ROUND((-(SUM(J44:J47)*'Part VII-Pro Forma'!$K$9)),),"Choose mgt fee")))</f>
        <v>-35532</v>
      </c>
      <c r="K50" s="25">
        <f>IF(AND('Part VII-Pro Forma'!$G$8="Yes",'Part VII-Pro Forma'!$G$9="Yes"),"Choose One!",IF('Part VII-Pro Forma'!$G$8="Yes",ROUND((-$K$8*(1+'Part VII-Pro Forma'!$B$6)^('Part VII-Pro Forma'!K43-1)),),IF('Part VII-Pro Forma'!$G$9="Yes",ROUND((-(SUM(K44:K47)*'Part VII-Pro Forma'!$K$9)),),"Choose mgt fee")))</f>
        <v>-36242</v>
      </c>
      <c r="M50" s="1450"/>
      <c r="N50" s="1451"/>
    </row>
    <row r="51" spans="1:14" ht="13.15" customHeight="1">
      <c r="A51" s="24" t="s">
        <v>1297</v>
      </c>
      <c r="B51" s="25">
        <f t="shared" ref="B51:K51" si="20">$B$21*(1+$B$7)^(B43-1)</f>
        <v>-39511.141552717178</v>
      </c>
      <c r="C51" s="25">
        <f t="shared" si="20"/>
        <v>-40696.4757992987</v>
      </c>
      <c r="D51" s="25">
        <f t="shared" si="20"/>
        <v>-41917.370073277649</v>
      </c>
      <c r="E51" s="25">
        <f t="shared" si="20"/>
        <v>-43174.891175475976</v>
      </c>
      <c r="F51" s="25">
        <f t="shared" si="20"/>
        <v>-44470.137910740261</v>
      </c>
      <c r="G51" s="25">
        <f t="shared" si="20"/>
        <v>-45804.242048062471</v>
      </c>
      <c r="H51" s="25">
        <f t="shared" si="20"/>
        <v>-47178.369309504342</v>
      </c>
      <c r="I51" s="25">
        <f t="shared" si="20"/>
        <v>-48593.720388789472</v>
      </c>
      <c r="J51" s="25">
        <f t="shared" si="20"/>
        <v>-50051.532000453153</v>
      </c>
      <c r="K51" s="26">
        <f t="shared" si="20"/>
        <v>-51553.077960466748</v>
      </c>
      <c r="M51" s="1450"/>
      <c r="N51" s="1451"/>
    </row>
    <row r="52" spans="1:14" ht="13.15" customHeight="1">
      <c r="A52" s="24" t="s">
        <v>1298</v>
      </c>
      <c r="B52" s="25">
        <f t="shared" ref="B52:K52" si="21">SUM(B44:B51)</f>
        <v>96644.134485178467</v>
      </c>
      <c r="C52" s="25">
        <f t="shared" si="21"/>
        <v>93781.040358468512</v>
      </c>
      <c r="D52" s="25">
        <f t="shared" si="21"/>
        <v>90717.959444731969</v>
      </c>
      <c r="E52" s="25">
        <f t="shared" si="21"/>
        <v>87444.796061093439</v>
      </c>
      <c r="F52" s="25">
        <f t="shared" si="21"/>
        <v>83953.163132606147</v>
      </c>
      <c r="G52" s="25">
        <f t="shared" si="21"/>
        <v>80235.372480057733</v>
      </c>
      <c r="H52" s="25">
        <f t="shared" si="21"/>
        <v>76280.424797002517</v>
      </c>
      <c r="I52" s="25">
        <f t="shared" si="21"/>
        <v>72079.999306306316</v>
      </c>
      <c r="J52" s="25">
        <f t="shared" si="21"/>
        <v>67623.443086197192</v>
      </c>
      <c r="K52" s="26">
        <f t="shared" si="21"/>
        <v>62901.760055498788</v>
      </c>
      <c r="M52" s="1450"/>
      <c r="N52" s="1451"/>
    </row>
    <row r="53" spans="1:14" ht="13.15" customHeight="1">
      <c r="A53" s="24" t="str">
        <f>$A23</f>
        <v>Mortgage A</v>
      </c>
      <c r="B53" s="1554">
        <f>IF('Part III A-Sources of Funds'!$M$32="", 0,-'Part III A-Sources of Funds'!$M$32)</f>
        <v>0</v>
      </c>
      <c r="C53" s="1554">
        <f>IF('Part III A-Sources of Funds'!$M$32="", 0,-'Part III A-Sources of Funds'!$M$32)</f>
        <v>0</v>
      </c>
      <c r="D53" s="1554">
        <f>IF('Part III A-Sources of Funds'!$M$32="", 0,-'Part III A-Sources of Funds'!$M$32)</f>
        <v>0</v>
      </c>
      <c r="E53" s="1554">
        <f>IF('Part III A-Sources of Funds'!$M$32="", 0,-'Part III A-Sources of Funds'!$M$32)</f>
        <v>0</v>
      </c>
      <c r="F53" s="1554">
        <f>IF('Part III A-Sources of Funds'!$M$32="", 0,-'Part III A-Sources of Funds'!$M$32)</f>
        <v>0</v>
      </c>
      <c r="G53" s="1554">
        <f>IF('Part III A-Sources of Funds'!$M$32="", 0,-'Part III A-Sources of Funds'!$M$32)</f>
        <v>0</v>
      </c>
      <c r="H53" s="1554">
        <f>IF('Part III A-Sources of Funds'!$M$32="", 0,-'Part III A-Sources of Funds'!$M$32)</f>
        <v>0</v>
      </c>
      <c r="I53" s="1554">
        <f>IF('Part III A-Sources of Funds'!$M$32="", 0,-'Part III A-Sources of Funds'!$M$32)</f>
        <v>0</v>
      </c>
      <c r="J53" s="1554">
        <f>IF('Part III A-Sources of Funds'!$M$32="", 0,-'Part III A-Sources of Funds'!$M$32)</f>
        <v>0</v>
      </c>
      <c r="K53" s="1554">
        <f>IF('Part III A-Sources of Funds'!$M$32="", 0,-'Part III A-Sources of Funds'!$M$32)</f>
        <v>0</v>
      </c>
      <c r="M53" s="1450"/>
      <c r="N53" s="1451"/>
    </row>
    <row r="54" spans="1:14" ht="13.15" customHeight="1">
      <c r="A54" s="24" t="str">
        <f>$A24</f>
        <v>Mortgage B</v>
      </c>
      <c r="B54" s="1555">
        <f>IF('Part III A-Sources of Funds'!$M$33="", 0,-'Part III A-Sources of Funds'!$M$33)</f>
        <v>0</v>
      </c>
      <c r="C54" s="1555">
        <f>IF('Part III A-Sources of Funds'!$M$33="", 0,-'Part III A-Sources of Funds'!$M$33)</f>
        <v>0</v>
      </c>
      <c r="D54" s="1555">
        <f>IF('Part III A-Sources of Funds'!$M$33="", 0,-'Part III A-Sources of Funds'!$M$33)</f>
        <v>0</v>
      </c>
      <c r="E54" s="1555">
        <f>IF('Part III A-Sources of Funds'!$M$33="", 0,-'Part III A-Sources of Funds'!$M$33)</f>
        <v>0</v>
      </c>
      <c r="F54" s="1555">
        <f>IF('Part III A-Sources of Funds'!$M$33="", 0,-'Part III A-Sources of Funds'!$M$33)</f>
        <v>0</v>
      </c>
      <c r="G54" s="1555">
        <f>IF('Part III A-Sources of Funds'!$M$33="", 0,-'Part III A-Sources of Funds'!$M$33)</f>
        <v>0</v>
      </c>
      <c r="H54" s="1555">
        <f>IF('Part III A-Sources of Funds'!$M$33="", 0,-'Part III A-Sources of Funds'!$M$33)</f>
        <v>0</v>
      </c>
      <c r="I54" s="1555">
        <f>IF('Part III A-Sources of Funds'!$M$33="", 0,-'Part III A-Sources of Funds'!$M$33)</f>
        <v>0</v>
      </c>
      <c r="J54" s="1555">
        <f>IF('Part III A-Sources of Funds'!$M$33="", 0,-'Part III A-Sources of Funds'!$M$33)</f>
        <v>0</v>
      </c>
      <c r="K54" s="1555">
        <f>IF('Part III A-Sources of Funds'!$M$33="", 0,-'Part III A-Sources of Funds'!$M$33)</f>
        <v>0</v>
      </c>
      <c r="M54" s="1450"/>
      <c r="N54" s="1451"/>
    </row>
    <row r="55" spans="1:14" ht="13.15" customHeight="1">
      <c r="A55" s="24" t="str">
        <f>$A25</f>
        <v>Mortgage C</v>
      </c>
      <c r="B55" s="1555">
        <f>IF('Part III A-Sources of Funds'!$M$34="", 0,-'Part III A-Sources of Funds'!$M$34)</f>
        <v>0</v>
      </c>
      <c r="C55" s="1555">
        <f>IF('Part III A-Sources of Funds'!$M$34="", 0,-'Part III A-Sources of Funds'!$M$34)</f>
        <v>0</v>
      </c>
      <c r="D55" s="1555">
        <f>IF('Part III A-Sources of Funds'!$M$34="", 0,-'Part III A-Sources of Funds'!$M$34)</f>
        <v>0</v>
      </c>
      <c r="E55" s="1555">
        <f>IF('Part III A-Sources of Funds'!$M$34="", 0,-'Part III A-Sources of Funds'!$M$34)</f>
        <v>0</v>
      </c>
      <c r="F55" s="1555">
        <f>IF('Part III A-Sources of Funds'!$M$34="", 0,-'Part III A-Sources of Funds'!$M$34)</f>
        <v>0</v>
      </c>
      <c r="G55" s="1555">
        <f>IF('Part III A-Sources of Funds'!$M$34="", 0,-'Part III A-Sources of Funds'!$M$34)</f>
        <v>0</v>
      </c>
      <c r="H55" s="1555">
        <f>IF('Part III A-Sources of Funds'!$M$34="", 0,-'Part III A-Sources of Funds'!$M$34)</f>
        <v>0</v>
      </c>
      <c r="I55" s="1555">
        <f>IF('Part III A-Sources of Funds'!$M$34="", 0,-'Part III A-Sources of Funds'!$M$34)</f>
        <v>0</v>
      </c>
      <c r="J55" s="1555">
        <f>IF('Part III A-Sources of Funds'!$M$34="", 0,-'Part III A-Sources of Funds'!$M$34)</f>
        <v>0</v>
      </c>
      <c r="K55" s="1555">
        <f>IF('Part III A-Sources of Funds'!$M$34="", 0,-'Part III A-Sources of Funds'!$M$34)</f>
        <v>0</v>
      </c>
      <c r="M55" s="1450"/>
      <c r="N55" s="1451"/>
    </row>
    <row r="56" spans="1:14" ht="13.15" customHeight="1">
      <c r="A56" s="24" t="str">
        <f>$A26</f>
        <v>D/S Other Source</v>
      </c>
      <c r="B56" s="1555">
        <f>IF('Part III A-Sources of Funds'!$M$35="", 0,-'Part III A-Sources of Funds'!$M$35)</f>
        <v>0</v>
      </c>
      <c r="C56" s="1555">
        <f>IF('Part III A-Sources of Funds'!$M$35="", 0,-'Part III A-Sources of Funds'!$M$35)</f>
        <v>0</v>
      </c>
      <c r="D56" s="1555">
        <f>IF('Part III A-Sources of Funds'!$M$35="", 0,-'Part III A-Sources of Funds'!$M$35)</f>
        <v>0</v>
      </c>
      <c r="E56" s="1555">
        <f>IF('Part III A-Sources of Funds'!$M$35="", 0,-'Part III A-Sources of Funds'!$M$35)</f>
        <v>0</v>
      </c>
      <c r="F56" s="1555">
        <f>IF('Part III A-Sources of Funds'!$M$35="", 0,-'Part III A-Sources of Funds'!$M$35)</f>
        <v>0</v>
      </c>
      <c r="G56" s="1555">
        <f>IF('Part III A-Sources of Funds'!$M$35="", 0,-'Part III A-Sources of Funds'!$M$35)</f>
        <v>0</v>
      </c>
      <c r="H56" s="1555">
        <f>IF('Part III A-Sources of Funds'!$M$35="", 0,-'Part III A-Sources of Funds'!$M$35)</f>
        <v>0</v>
      </c>
      <c r="I56" s="1555">
        <f>IF('Part III A-Sources of Funds'!$M$35="", 0,-'Part III A-Sources of Funds'!$M$35)</f>
        <v>0</v>
      </c>
      <c r="J56" s="1555">
        <f>IF('Part III A-Sources of Funds'!$M$35="", 0,-'Part III A-Sources of Funds'!$M$35)</f>
        <v>0</v>
      </c>
      <c r="K56" s="1555">
        <f>IF('Part III A-Sources of Funds'!$M$35="", 0,-'Part III A-Sources of Funds'!$M$35)</f>
        <v>0</v>
      </c>
      <c r="M56" s="1450"/>
      <c r="N56" s="1451"/>
    </row>
    <row r="57" spans="1:14" ht="13.15" customHeight="1">
      <c r="A57" s="24" t="s">
        <v>83</v>
      </c>
      <c r="B57" s="1556"/>
      <c r="C57" s="1556"/>
      <c r="D57" s="1556"/>
      <c r="E57" s="1556"/>
      <c r="F57" s="1556"/>
      <c r="G57" s="1556"/>
      <c r="H57" s="1556"/>
      <c r="I57" s="1556"/>
      <c r="J57" s="1556"/>
      <c r="K57" s="1556"/>
      <c r="M57" s="1450"/>
      <c r="N57" s="1451"/>
    </row>
    <row r="58" spans="1:14" ht="13.15" customHeight="1">
      <c r="A58" s="24" t="s">
        <v>1260</v>
      </c>
      <c r="B58" s="1555">
        <f>+K28</f>
        <v>-5000</v>
      </c>
      <c r="C58" s="1555">
        <f t="shared" ref="C58:K58" si="22">+B58</f>
        <v>-5000</v>
      </c>
      <c r="D58" s="1555">
        <f t="shared" si="22"/>
        <v>-5000</v>
      </c>
      <c r="E58" s="1555">
        <f t="shared" si="22"/>
        <v>-5000</v>
      </c>
      <c r="F58" s="1555">
        <f t="shared" si="22"/>
        <v>-5000</v>
      </c>
      <c r="G58" s="1555">
        <f t="shared" si="22"/>
        <v>-5000</v>
      </c>
      <c r="H58" s="1555">
        <f t="shared" si="22"/>
        <v>-5000</v>
      </c>
      <c r="I58" s="1555">
        <f t="shared" si="22"/>
        <v>-5000</v>
      </c>
      <c r="J58" s="1555">
        <f t="shared" si="22"/>
        <v>-5000</v>
      </c>
      <c r="K58" s="1555">
        <f t="shared" si="22"/>
        <v>-5000</v>
      </c>
      <c r="M58" s="1450"/>
      <c r="N58" s="1451"/>
    </row>
    <row r="59" spans="1:14" ht="13.15" customHeight="1">
      <c r="A59" s="24" t="s">
        <v>1299</v>
      </c>
      <c r="B59" s="1557"/>
      <c r="C59" s="1557"/>
      <c r="D59" s="1557"/>
      <c r="E59" s="1557"/>
      <c r="F59" s="1557"/>
      <c r="G59" s="1557"/>
      <c r="H59" s="1557"/>
      <c r="I59" s="1557"/>
      <c r="J59" s="1557"/>
      <c r="K59" s="1555"/>
      <c r="M59" s="1450"/>
      <c r="N59" s="1451"/>
    </row>
    <row r="60" spans="1:14" ht="13.15" customHeight="1">
      <c r="A60" s="24" t="s">
        <v>1261</v>
      </c>
      <c r="B60" s="25">
        <f t="shared" ref="B60:K60" si="23">SUM(B52:B59)</f>
        <v>91644.134485178467</v>
      </c>
      <c r="C60" s="25">
        <f t="shared" si="23"/>
        <v>88781.040358468512</v>
      </c>
      <c r="D60" s="25">
        <f t="shared" si="23"/>
        <v>85717.959444731969</v>
      </c>
      <c r="E60" s="25">
        <f t="shared" si="23"/>
        <v>82444.796061093439</v>
      </c>
      <c r="F60" s="25">
        <f t="shared" si="23"/>
        <v>78953.163132606147</v>
      </c>
      <c r="G60" s="25">
        <f t="shared" si="23"/>
        <v>75235.372480057733</v>
      </c>
      <c r="H60" s="25">
        <f t="shared" si="23"/>
        <v>71280.424797002517</v>
      </c>
      <c r="I60" s="25">
        <f t="shared" si="23"/>
        <v>67079.999306306316</v>
      </c>
      <c r="J60" s="25">
        <f t="shared" si="23"/>
        <v>62623.443086197192</v>
      </c>
      <c r="K60" s="23">
        <f t="shared" si="23"/>
        <v>57901.760055498788</v>
      </c>
      <c r="M60" s="1450"/>
      <c r="N60" s="1451"/>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50"/>
      <c r="N61" s="1451"/>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50"/>
      <c r="N62" s="1451"/>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50"/>
      <c r="N63" s="1451"/>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50"/>
      <c r="N64" s="1451"/>
    </row>
    <row r="65" spans="1:14" ht="13.15" customHeight="1">
      <c r="A65" s="24" t="s">
        <v>92</v>
      </c>
      <c r="B65" s="380">
        <f>IF(OR(B50="Choose mgt fee",B50="Choose One!"),"",(B44+B45+B46+B47+B48) / -(B49+B50+B51))</f>
        <v>1.1895445065629864</v>
      </c>
      <c r="C65" s="380">
        <f t="shared" ref="C65:K65" si="28">IF(OR(C50="Choose mgt fee",C50="Choose One!"),"",(C44+C45+C46+C47+C48) / -(C49+C50+C51))</f>
        <v>1.1786750781817299</v>
      </c>
      <c r="D65" s="380">
        <f t="shared" si="28"/>
        <v>1.1679013080603782</v>
      </c>
      <c r="E65" s="380">
        <f t="shared" si="28"/>
        <v>1.1572185749089827</v>
      </c>
      <c r="F65" s="380">
        <f t="shared" si="28"/>
        <v>1.1466268440769958</v>
      </c>
      <c r="G65" s="380">
        <f t="shared" si="28"/>
        <v>1.1361279355326999</v>
      </c>
      <c r="H65" s="380">
        <f t="shared" si="28"/>
        <v>1.1257177473723672</v>
      </c>
      <c r="I65" s="380">
        <f t="shared" si="28"/>
        <v>1.1153980463122597</v>
      </c>
      <c r="J65" s="380">
        <f t="shared" si="28"/>
        <v>1.1051668216938633</v>
      </c>
      <c r="K65" s="381">
        <f t="shared" si="28"/>
        <v>1.0950255782182756</v>
      </c>
      <c r="M65" s="1450"/>
      <c r="N65" s="1451"/>
    </row>
    <row r="66" spans="1:14" ht="13.15" customHeight="1">
      <c r="A66" s="681" t="s">
        <v>3200</v>
      </c>
      <c r="B66" s="1554" t="str">
        <f>IF('Part III A-Sources of Funds'!$H$32="","",-FV('Part III A-Sources of Funds'!$J$32/12,12,B53/12,K36))</f>
        <v/>
      </c>
      <c r="C66" s="1554" t="str">
        <f>IF('Part III A-Sources of Funds'!$H$32="","",-FV('Part III A-Sources of Funds'!$J$32/12,12,C53/12,B66))</f>
        <v/>
      </c>
      <c r="D66" s="1554" t="str">
        <f>IF('Part III A-Sources of Funds'!$H$32="","",-FV('Part III A-Sources of Funds'!$J$32/12,12,D53/12,C66))</f>
        <v/>
      </c>
      <c r="E66" s="1554" t="str">
        <f>IF('Part III A-Sources of Funds'!$H$32="","",-FV('Part III A-Sources of Funds'!$J$32/12,12,E53/12,D66))</f>
        <v/>
      </c>
      <c r="F66" s="1554" t="str">
        <f>IF('Part III A-Sources of Funds'!$H$32="","",-FV('Part III A-Sources of Funds'!$J$32/12,12,F53/12,E66))</f>
        <v/>
      </c>
      <c r="G66" s="1554" t="str">
        <f>IF('Part III A-Sources of Funds'!$H$32="","",-FV('Part III A-Sources of Funds'!$J$32/12,12,G53/12,F66))</f>
        <v/>
      </c>
      <c r="H66" s="1554" t="str">
        <f>IF('Part III A-Sources of Funds'!$H$32="","",-FV('Part III A-Sources of Funds'!$J$32/12,12,H53/12,G66))</f>
        <v/>
      </c>
      <c r="I66" s="1554" t="str">
        <f>IF('Part III A-Sources of Funds'!$H$32="","",-FV('Part III A-Sources of Funds'!$J$32/12,12,I53/12,H66))</f>
        <v/>
      </c>
      <c r="J66" s="1554" t="str">
        <f>IF('Part III A-Sources of Funds'!$H$32="","",-FV('Part III A-Sources of Funds'!$J$32/12,12,J53/12,I66))</f>
        <v/>
      </c>
      <c r="K66" s="1554" t="str">
        <f>IF('Part III A-Sources of Funds'!$H$32="","",-FV('Part III A-Sources of Funds'!$J$32/12,12,K53/12,J66))</f>
        <v/>
      </c>
      <c r="M66" s="1450"/>
      <c r="N66" s="1451"/>
    </row>
    <row r="67" spans="1:14" ht="13.15" customHeight="1">
      <c r="A67" s="681" t="s">
        <v>3201</v>
      </c>
      <c r="B67" s="1555" t="str">
        <f>IF('Part III A-Sources of Funds'!$H$33="","",-FV('Part III A-Sources of Funds'!$J$33/12,12,B54/12,K37))</f>
        <v/>
      </c>
      <c r="C67" s="1555" t="str">
        <f>IF('Part III A-Sources of Funds'!$H$33="","",-FV('Part III A-Sources of Funds'!$J$33/12,12,C54/12,B67))</f>
        <v/>
      </c>
      <c r="D67" s="1555" t="str">
        <f>IF('Part III A-Sources of Funds'!$H$33="","",-FV('Part III A-Sources of Funds'!$J$33/12,12,D54/12,C67))</f>
        <v/>
      </c>
      <c r="E67" s="1555" t="str">
        <f>IF('Part III A-Sources of Funds'!$H$33="","",-FV('Part III A-Sources of Funds'!$J$33/12,12,E54/12,D67))</f>
        <v/>
      </c>
      <c r="F67" s="1555" t="str">
        <f>IF('Part III A-Sources of Funds'!$H$33="","",-FV('Part III A-Sources of Funds'!$J$33/12,12,F54/12,E67))</f>
        <v/>
      </c>
      <c r="G67" s="1555" t="str">
        <f>IF('Part III A-Sources of Funds'!$H$33="","",-FV('Part III A-Sources of Funds'!$J$33/12,12,G54/12,F67))</f>
        <v/>
      </c>
      <c r="H67" s="1555" t="str">
        <f>IF('Part III A-Sources of Funds'!$H$33="","",-FV('Part III A-Sources of Funds'!$J$33/12,12,H54/12,G67))</f>
        <v/>
      </c>
      <c r="I67" s="1555" t="str">
        <f>IF('Part III A-Sources of Funds'!$H$33="","",-FV('Part III A-Sources of Funds'!$J$33/12,12,I54/12,H67))</f>
        <v/>
      </c>
      <c r="J67" s="1555" t="str">
        <f>IF('Part III A-Sources of Funds'!$H$33="","",-FV('Part III A-Sources of Funds'!$J$33/12,12,J54/12,I67))</f>
        <v/>
      </c>
      <c r="K67" s="1555" t="str">
        <f>IF('Part III A-Sources of Funds'!$H$33="","",-FV('Part III A-Sources of Funds'!$J$33/12,12,K54/12,J67))</f>
        <v/>
      </c>
      <c r="M67" s="1450"/>
      <c r="N67" s="1451"/>
    </row>
    <row r="68" spans="1:14" ht="13.15" customHeight="1">
      <c r="A68" s="681" t="s">
        <v>3202</v>
      </c>
      <c r="B68" s="1555" t="str">
        <f>IF('Part III A-Sources of Funds'!$H$34="","",-FV('Part III A-Sources of Funds'!$J$34/12,12,B55/12,K38))</f>
        <v/>
      </c>
      <c r="C68" s="1555" t="str">
        <f>IF('Part III A-Sources of Funds'!$H$34="","",-FV('Part III A-Sources of Funds'!$J$34/12,12,C55/12,B68))</f>
        <v/>
      </c>
      <c r="D68" s="1555" t="str">
        <f>IF('Part III A-Sources of Funds'!$H$34="","",-FV('Part III A-Sources of Funds'!$J$34/12,12,D55/12,C68))</f>
        <v/>
      </c>
      <c r="E68" s="1555" t="str">
        <f>IF('Part III A-Sources of Funds'!$H$34="","",-FV('Part III A-Sources of Funds'!$J$34/12,12,E55/12,D68))</f>
        <v/>
      </c>
      <c r="F68" s="1555" t="str">
        <f>IF('Part III A-Sources of Funds'!$H$34="","",-FV('Part III A-Sources of Funds'!$J$34/12,12,F55/12,E68))</f>
        <v/>
      </c>
      <c r="G68" s="1555" t="str">
        <f>IF('Part III A-Sources of Funds'!$H$34="","",-FV('Part III A-Sources of Funds'!$J$34/12,12,G55/12,F68))</f>
        <v/>
      </c>
      <c r="H68" s="1555" t="str">
        <f>IF('Part III A-Sources of Funds'!$H$34="","",-FV('Part III A-Sources of Funds'!$J$34/12,12,H55/12,G68))</f>
        <v/>
      </c>
      <c r="I68" s="1555" t="str">
        <f>IF('Part III A-Sources of Funds'!$H$34="","",-FV('Part III A-Sources of Funds'!$J$34/12,12,I55/12,H68))</f>
        <v/>
      </c>
      <c r="J68" s="1555" t="str">
        <f>IF('Part III A-Sources of Funds'!$H$34="","",-FV('Part III A-Sources of Funds'!$J$34/12,12,J55/12,I68))</f>
        <v/>
      </c>
      <c r="K68" s="1555" t="str">
        <f>IF('Part III A-Sources of Funds'!$H$34="","",-FV('Part III A-Sources of Funds'!$J$34/12,12,K55/12,J68))</f>
        <v/>
      </c>
      <c r="M68" s="1450"/>
      <c r="N68" s="1451"/>
    </row>
    <row r="69" spans="1:14" ht="13.15" customHeight="1">
      <c r="A69" s="24" t="s">
        <v>963</v>
      </c>
      <c r="B69" s="1555" t="str">
        <f>IF('Part III A-Sources of Funds'!$H$35="","",-FV('Part III A-Sources of Funds'!$J$35/12,12,B56/12,K39))</f>
        <v/>
      </c>
      <c r="C69" s="1555" t="str">
        <f>IF('Part III A-Sources of Funds'!$H$35="","",-FV('Part III A-Sources of Funds'!$J$35/12,12,C56/12,B69))</f>
        <v/>
      </c>
      <c r="D69" s="1555" t="str">
        <f>IF('Part III A-Sources of Funds'!$H$35="","",-FV('Part III A-Sources of Funds'!$J$35/12,12,D56/12,C69))</f>
        <v/>
      </c>
      <c r="E69" s="1555" t="str">
        <f>IF('Part III A-Sources of Funds'!$H$35="","",-FV('Part III A-Sources of Funds'!$J$35/12,12,E56/12,D69))</f>
        <v/>
      </c>
      <c r="F69" s="1555" t="str">
        <f>IF('Part III A-Sources of Funds'!$H$35="","",-FV('Part III A-Sources of Funds'!$J$35/12,12,F56/12,E69))</f>
        <v/>
      </c>
      <c r="G69" s="1555" t="str">
        <f>IF('Part III A-Sources of Funds'!$H$35="","",-FV('Part III A-Sources of Funds'!$J$35/12,12,G56/12,F69))</f>
        <v/>
      </c>
      <c r="H69" s="1555" t="str">
        <f>IF('Part III A-Sources of Funds'!$H$35="","",-FV('Part III A-Sources of Funds'!$J$35/12,12,H56/12,G69))</f>
        <v/>
      </c>
      <c r="I69" s="1555" t="str">
        <f>IF('Part III A-Sources of Funds'!$H$35="","",-FV('Part III A-Sources of Funds'!$J$35/12,12,I56/12,H69))</f>
        <v/>
      </c>
      <c r="J69" s="1555" t="str">
        <f>IF('Part III A-Sources of Funds'!$H$35="","",-FV('Part III A-Sources of Funds'!$J$35/12,12,J56/12,I69))</f>
        <v/>
      </c>
      <c r="K69" s="1555" t="str">
        <f>IF('Part III A-Sources of Funds'!$H$35="","",-FV('Part III A-Sources of Funds'!$J$35/12,12,K56/12,J69))</f>
        <v/>
      </c>
      <c r="M69" s="1450"/>
      <c r="N69" s="1451"/>
    </row>
    <row r="70" spans="1:14" ht="13.15" customHeight="1">
      <c r="A70" s="681" t="s">
        <v>1159</v>
      </c>
      <c r="B70" s="1555">
        <f>'Part III A-Sources of Funds'!$H$36</f>
        <v>2106000</v>
      </c>
      <c r="C70" s="1555">
        <f>B70</f>
        <v>2106000</v>
      </c>
      <c r="D70" s="1555">
        <f t="shared" ref="D70:K70" si="29">C70</f>
        <v>2106000</v>
      </c>
      <c r="E70" s="1555">
        <f t="shared" si="29"/>
        <v>2106000</v>
      </c>
      <c r="F70" s="1555">
        <f t="shared" si="29"/>
        <v>2106000</v>
      </c>
      <c r="G70" s="1555">
        <f t="shared" si="29"/>
        <v>2106000</v>
      </c>
      <c r="H70" s="1555">
        <f t="shared" si="29"/>
        <v>2106000</v>
      </c>
      <c r="I70" s="1555">
        <f t="shared" si="29"/>
        <v>2106000</v>
      </c>
      <c r="J70" s="1555">
        <f t="shared" si="29"/>
        <v>2106000</v>
      </c>
      <c r="K70" s="1555">
        <f t="shared" si="29"/>
        <v>2106000</v>
      </c>
      <c r="M70" s="1450"/>
      <c r="N70" s="1451"/>
    </row>
    <row r="71" spans="1:14" ht="13.15" customHeight="1">
      <c r="A71" s="29" t="s">
        <v>1334</v>
      </c>
      <c r="B71" s="1557">
        <f>IF('Part III A-Sources of Funds'!$H$37="","",-FV('Part III A-Sources of Funds'!$J$37/12,12,B59/12,K41))</f>
        <v>0</v>
      </c>
      <c r="C71" s="1557">
        <f>IF('Part III A-Sources of Funds'!$H$37="","",-FV('Part III A-Sources of Funds'!$J$37/12,12,C59/12,B71))</f>
        <v>0</v>
      </c>
      <c r="D71" s="1557">
        <f>IF('Part III A-Sources of Funds'!$H$37="","",-FV('Part III A-Sources of Funds'!$J$37/12,12,D59/12,C71))</f>
        <v>0</v>
      </c>
      <c r="E71" s="1557">
        <f>IF('Part III A-Sources of Funds'!$H$37="","",-FV('Part III A-Sources of Funds'!$J$37/12,12,E59/12,D71))</f>
        <v>0</v>
      </c>
      <c r="F71" s="1557">
        <f>IF('Part III A-Sources of Funds'!$H$37="","",-FV('Part III A-Sources of Funds'!$J$37/12,12,F59/12,E71))</f>
        <v>0</v>
      </c>
      <c r="G71" s="1557">
        <f>IF('Part III A-Sources of Funds'!$H$37="","",-FV('Part III A-Sources of Funds'!$J$37/12,12,G59/12,F71))</f>
        <v>0</v>
      </c>
      <c r="H71" s="1557">
        <f>IF('Part III A-Sources of Funds'!$H$37="","",-FV('Part III A-Sources of Funds'!$J$37/12,12,H59/12,G71))</f>
        <v>0</v>
      </c>
      <c r="I71" s="1557">
        <f>IF('Part III A-Sources of Funds'!$H$37="","",-FV('Part III A-Sources of Funds'!$J$37/12,12,I59/12,H71))</f>
        <v>0</v>
      </c>
      <c r="J71" s="1557">
        <f>IF('Part III A-Sources of Funds'!$H$37="","",-FV('Part III A-Sources of Funds'!$J$37/12,12,J59/12,I71))</f>
        <v>0</v>
      </c>
      <c r="K71" s="1557">
        <f>IF('Part III A-Sources of Funds'!$H$37="","",-FV('Part III A-Sources of Funds'!$J$37/12,12,K59/12,J71))</f>
        <v>0</v>
      </c>
      <c r="M71" s="1453"/>
      <c r="N71" s="1454"/>
    </row>
    <row r="72" spans="1:14" ht="4.1500000000000004" customHeight="1">
      <c r="B72" s="20"/>
      <c r="C72" s="20"/>
      <c r="D72" s="20"/>
      <c r="E72" s="20"/>
      <c r="F72" s="20"/>
      <c r="G72" s="20"/>
      <c r="H72" s="20"/>
      <c r="I72" s="20"/>
      <c r="J72" s="20"/>
      <c r="K72" s="20"/>
    </row>
    <row r="73" spans="1:14" ht="14.45" customHeight="1">
      <c r="A73" s="16" t="s">
        <v>3152</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1" t="s">
        <v>3207</v>
      </c>
      <c r="N73" s="971"/>
    </row>
    <row r="74" spans="1:14" ht="13.15" customHeight="1">
      <c r="A74" s="21" t="s">
        <v>2895</v>
      </c>
      <c r="B74" s="22">
        <f t="shared" ref="B74:K74" si="31">$B$14*(1+$B$5)^(B73-1)</f>
        <v>0</v>
      </c>
      <c r="C74" s="22">
        <f t="shared" si="31"/>
        <v>0</v>
      </c>
      <c r="D74" s="22">
        <f t="shared" si="31"/>
        <v>0</v>
      </c>
      <c r="E74" s="22">
        <f t="shared" si="31"/>
        <v>0</v>
      </c>
      <c r="F74" s="22">
        <f t="shared" si="31"/>
        <v>0</v>
      </c>
      <c r="G74" s="22">
        <f t="shared" si="31"/>
        <v>0</v>
      </c>
      <c r="H74" s="22">
        <f t="shared" si="31"/>
        <v>0</v>
      </c>
      <c r="I74" s="22">
        <f t="shared" si="31"/>
        <v>0</v>
      </c>
      <c r="J74" s="22">
        <f t="shared" si="31"/>
        <v>0</v>
      </c>
      <c r="K74" s="23">
        <f t="shared" si="31"/>
        <v>0</v>
      </c>
      <c r="M74" s="1448"/>
      <c r="N74" s="1449"/>
    </row>
    <row r="75" spans="1:14" ht="13.15" customHeight="1">
      <c r="A75" s="24" t="s">
        <v>1062</v>
      </c>
      <c r="B75" s="25">
        <f t="shared" ref="B75:K75" si="32">$B$15*(1+$B$5)^(B73-1)</f>
        <v>0</v>
      </c>
      <c r="C75" s="25">
        <f t="shared" si="32"/>
        <v>0</v>
      </c>
      <c r="D75" s="25">
        <f t="shared" si="32"/>
        <v>0</v>
      </c>
      <c r="E75" s="25">
        <f t="shared" si="32"/>
        <v>0</v>
      </c>
      <c r="F75" s="25">
        <f t="shared" si="32"/>
        <v>0</v>
      </c>
      <c r="G75" s="25">
        <f t="shared" si="32"/>
        <v>0</v>
      </c>
      <c r="H75" s="25">
        <f t="shared" si="32"/>
        <v>0</v>
      </c>
      <c r="I75" s="25">
        <f t="shared" si="32"/>
        <v>0</v>
      </c>
      <c r="J75" s="25">
        <f t="shared" si="32"/>
        <v>0</v>
      </c>
      <c r="K75" s="26">
        <f t="shared" si="32"/>
        <v>0</v>
      </c>
      <c r="M75" s="1450"/>
      <c r="N75" s="1451"/>
    </row>
    <row r="76" spans="1:14" ht="13.15" customHeight="1">
      <c r="A76" s="24" t="s">
        <v>2896</v>
      </c>
      <c r="B76" s="25">
        <f t="shared" ref="B76:K76" si="33">-(B74+B75)*$B$8</f>
        <v>0</v>
      </c>
      <c r="C76" s="25">
        <f t="shared" si="33"/>
        <v>0</v>
      </c>
      <c r="D76" s="25">
        <f t="shared" si="33"/>
        <v>0</v>
      </c>
      <c r="E76" s="25">
        <f t="shared" si="33"/>
        <v>0</v>
      </c>
      <c r="F76" s="25">
        <f t="shared" si="33"/>
        <v>0</v>
      </c>
      <c r="G76" s="25">
        <f t="shared" si="33"/>
        <v>0</v>
      </c>
      <c r="H76" s="25">
        <f t="shared" si="33"/>
        <v>0</v>
      </c>
      <c r="I76" s="25">
        <f t="shared" si="33"/>
        <v>0</v>
      </c>
      <c r="J76" s="25">
        <f t="shared" si="33"/>
        <v>0</v>
      </c>
      <c r="K76" s="26">
        <f t="shared" si="33"/>
        <v>0</v>
      </c>
      <c r="M76" s="1450"/>
      <c r="N76" s="1451"/>
    </row>
    <row r="77" spans="1:14" ht="13.15" customHeight="1">
      <c r="A77" s="24" t="s">
        <v>1564</v>
      </c>
      <c r="B77" s="25">
        <f>'Part VI-Revenues &amp; Expenses'!G131</f>
        <v>739344.27147450042</v>
      </c>
      <c r="C77" s="25">
        <f>'Part VI-Revenues &amp; Expenses'!H131</f>
        <v>754131.15690399043</v>
      </c>
      <c r="D77" s="25">
        <f>'Part VI-Revenues &amp; Expenses'!I131</f>
        <v>769213.78004207031</v>
      </c>
      <c r="E77" s="25">
        <f>'Part VI-Revenues &amp; Expenses'!J131</f>
        <v>784598.0556429117</v>
      </c>
      <c r="F77" s="25">
        <f>'Part VI-Revenues &amp; Expenses'!K131</f>
        <v>800290.01675576996</v>
      </c>
      <c r="G77" s="25">
        <f>'Part VI-Revenues &amp; Expenses'!L131</f>
        <v>816295.81709088536</v>
      </c>
      <c r="H77" s="25">
        <f>'Part VI-Revenues &amp; Expenses'!M131</f>
        <v>832621.73343270319</v>
      </c>
      <c r="I77" s="25">
        <f>'Part VI-Revenues &amp; Expenses'!N131</f>
        <v>849274.1681013573</v>
      </c>
      <c r="J77" s="25">
        <f>'Part VI-Revenues &amp; Expenses'!O131</f>
        <v>866259.65146338451</v>
      </c>
      <c r="K77" s="26">
        <f>'Part VI-Revenues &amp; Expenses'!P131</f>
        <v>883584.84449265222</v>
      </c>
      <c r="M77" s="1450"/>
      <c r="N77" s="1451"/>
    </row>
    <row r="78" spans="1:14" ht="13.15" customHeight="1">
      <c r="A78" s="24" t="s">
        <v>1565</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0"/>
      <c r="N78" s="1451"/>
    </row>
    <row r="79" spans="1:14" ht="13.15" customHeight="1">
      <c r="A79" s="24" t="s">
        <v>837</v>
      </c>
      <c r="B79" s="25">
        <f t="shared" ref="B79:K79" si="34">$B$19*(1+$B$6)^(B73-1)</f>
        <v>-591375.001567806</v>
      </c>
      <c r="C79" s="25">
        <f t="shared" si="34"/>
        <v>-609116.25161484012</v>
      </c>
      <c r="D79" s="25">
        <f t="shared" si="34"/>
        <v>-627389.73916328535</v>
      </c>
      <c r="E79" s="25">
        <f t="shared" si="34"/>
        <v>-646211.43133818393</v>
      </c>
      <c r="F79" s="25">
        <f t="shared" si="34"/>
        <v>-665597.77427832934</v>
      </c>
      <c r="G79" s="25">
        <f t="shared" si="34"/>
        <v>-685565.70750667923</v>
      </c>
      <c r="H79" s="25">
        <f t="shared" si="34"/>
        <v>-706132.67873187969</v>
      </c>
      <c r="I79" s="25">
        <f t="shared" si="34"/>
        <v>-727316.65909383597</v>
      </c>
      <c r="J79" s="25">
        <f t="shared" si="34"/>
        <v>-749136.15886665112</v>
      </c>
      <c r="K79" s="26">
        <f t="shared" si="34"/>
        <v>-771610.24363265058</v>
      </c>
      <c r="M79" s="1450"/>
      <c r="N79" s="1451"/>
    </row>
    <row r="80" spans="1:14" ht="13.15" customHeight="1">
      <c r="A80" s="24" t="s">
        <v>1202</v>
      </c>
      <c r="B80" s="25">
        <f>IF(AND('Part VII-Pro Forma'!$G$8="Yes",'Part VII-Pro Forma'!$G$9="Yes"),"Choose One!",IF('Part VII-Pro Forma'!$G$8="Yes",ROUND((-$K$8*(1+'Part VII-Pro Forma'!$B$6)^('Part VII-Pro Forma'!B73-1)),),IF('Part VII-Pro Forma'!$G$9="Yes",ROUND((-(SUM(B74:B77)*'Part VII-Pro Forma'!$K$9)),),"Choose mgt fee")))</f>
        <v>-36967</v>
      </c>
      <c r="C80" s="25">
        <f>IF(AND('Part VII-Pro Forma'!$G$8="Yes",'Part VII-Pro Forma'!$G$9="Yes"),"Choose One!",IF('Part VII-Pro Forma'!$G$8="Yes",ROUND((-$K$8*(1+'Part VII-Pro Forma'!$B$6)^('Part VII-Pro Forma'!C73-1)),),IF('Part VII-Pro Forma'!$G$9="Yes",ROUND((-(SUM(C74:C77)*'Part VII-Pro Forma'!$K$9)),),"Choose mgt fee")))</f>
        <v>-37707</v>
      </c>
      <c r="D80" s="25">
        <f>IF(AND('Part VII-Pro Forma'!$G$8="Yes",'Part VII-Pro Forma'!$G$9="Yes"),"Choose One!",IF('Part VII-Pro Forma'!$G$8="Yes",ROUND((-$K$8*(1+'Part VII-Pro Forma'!$B$6)^('Part VII-Pro Forma'!D73-1)),),IF('Part VII-Pro Forma'!$G$9="Yes",ROUND((-(SUM(D74:D77)*'Part VII-Pro Forma'!$K$9)),),"Choose mgt fee")))</f>
        <v>-38461</v>
      </c>
      <c r="E80" s="25">
        <f>IF(AND('Part VII-Pro Forma'!$G$8="Yes",'Part VII-Pro Forma'!$G$9="Yes"),"Choose One!",IF('Part VII-Pro Forma'!$G$8="Yes",ROUND((-$K$8*(1+'Part VII-Pro Forma'!$B$6)^('Part VII-Pro Forma'!E73-1)),),IF('Part VII-Pro Forma'!$G$9="Yes",ROUND((-(SUM(E74:E77)*'Part VII-Pro Forma'!$K$9)),),"Choose mgt fee")))</f>
        <v>-39230</v>
      </c>
      <c r="F80" s="25">
        <f>IF(AND('Part VII-Pro Forma'!$G$8="Yes",'Part VII-Pro Forma'!$G$9="Yes"),"Choose One!",IF('Part VII-Pro Forma'!$G$8="Yes",ROUND((-$K$8*(1+'Part VII-Pro Forma'!$B$6)^('Part VII-Pro Forma'!F73-1)),),IF('Part VII-Pro Forma'!$G$9="Yes",ROUND((-(SUM(F74:F77)*'Part VII-Pro Forma'!$K$9)),),"Choose mgt fee")))</f>
        <v>-40015</v>
      </c>
      <c r="G80" s="25">
        <f>IF(AND('Part VII-Pro Forma'!$G$8="Yes",'Part VII-Pro Forma'!$G$9="Yes"),"Choose One!",IF('Part VII-Pro Forma'!$G$8="Yes",ROUND((-$K$8*(1+'Part VII-Pro Forma'!$B$6)^('Part VII-Pro Forma'!G73-1)),),IF('Part VII-Pro Forma'!$G$9="Yes",ROUND((-(SUM(G74:G77)*'Part VII-Pro Forma'!$K$9)),),"Choose mgt fee")))</f>
        <v>-40815</v>
      </c>
      <c r="H80" s="25">
        <f>IF(AND('Part VII-Pro Forma'!$G$8="Yes",'Part VII-Pro Forma'!$G$9="Yes"),"Choose One!",IF('Part VII-Pro Forma'!$G$8="Yes",ROUND((-$K$8*(1+'Part VII-Pro Forma'!$B$6)^('Part VII-Pro Forma'!H73-1)),),IF('Part VII-Pro Forma'!$G$9="Yes",ROUND((-(SUM(H74:H77)*'Part VII-Pro Forma'!$K$9)),),"Choose mgt fee")))</f>
        <v>-41631</v>
      </c>
      <c r="I80" s="25">
        <f>IF(AND('Part VII-Pro Forma'!$G$8="Yes",'Part VII-Pro Forma'!$G$9="Yes"),"Choose One!",IF('Part VII-Pro Forma'!$G$8="Yes",ROUND((-$K$8*(1+'Part VII-Pro Forma'!$B$6)^('Part VII-Pro Forma'!I73-1)),),IF('Part VII-Pro Forma'!$G$9="Yes",ROUND((-(SUM(I74:I77)*'Part VII-Pro Forma'!$K$9)),),"Choose mgt fee")))</f>
        <v>-42464</v>
      </c>
      <c r="J80" s="25">
        <f>IF(AND('Part VII-Pro Forma'!$G$8="Yes",'Part VII-Pro Forma'!$G$9="Yes"),"Choose One!",IF('Part VII-Pro Forma'!$G$8="Yes",ROUND((-$K$8*(1+'Part VII-Pro Forma'!$B$6)^('Part VII-Pro Forma'!J73-1)),),IF('Part VII-Pro Forma'!$G$9="Yes",ROUND((-(SUM(J74:J77)*'Part VII-Pro Forma'!$K$9)),),"Choose mgt fee")))</f>
        <v>-43313</v>
      </c>
      <c r="K80" s="25">
        <f>IF(AND('Part VII-Pro Forma'!$G$8="Yes",'Part VII-Pro Forma'!$G$9="Yes"),"Choose One!",IF('Part VII-Pro Forma'!$G$8="Yes",ROUND((-$K$8*(1+'Part VII-Pro Forma'!$B$6)^('Part VII-Pro Forma'!K73-1)),),IF('Part VII-Pro Forma'!$G$9="Yes",ROUND((-(SUM(K74:K77)*'Part VII-Pro Forma'!$K$9)),),"Choose mgt fee")))</f>
        <v>-44179</v>
      </c>
      <c r="M80" s="1450"/>
      <c r="N80" s="1451"/>
    </row>
    <row r="81" spans="1:14" ht="13.15" customHeight="1">
      <c r="A81" s="24" t="s">
        <v>1297</v>
      </c>
      <c r="B81" s="25">
        <f t="shared" ref="B81:K81" si="35">$B$21*(1+$B$7)^(B73-1)</f>
        <v>-53099.670299280748</v>
      </c>
      <c r="C81" s="25">
        <f t="shared" si="35"/>
        <v>-54692.660408259166</v>
      </c>
      <c r="D81" s="25">
        <f t="shared" si="35"/>
        <v>-56333.440220506942</v>
      </c>
      <c r="E81" s="25">
        <f t="shared" si="35"/>
        <v>-58023.443427122154</v>
      </c>
      <c r="F81" s="25">
        <f t="shared" si="35"/>
        <v>-59764.146729935812</v>
      </c>
      <c r="G81" s="25">
        <f t="shared" si="35"/>
        <v>-61557.071131833887</v>
      </c>
      <c r="H81" s="25">
        <f t="shared" si="35"/>
        <v>-63403.783265788916</v>
      </c>
      <c r="I81" s="25">
        <f t="shared" si="35"/>
        <v>-65305.896763762576</v>
      </c>
      <c r="J81" s="25">
        <f t="shared" si="35"/>
        <v>-67265.073666675453</v>
      </c>
      <c r="K81" s="26">
        <f t="shared" si="35"/>
        <v>-69283.025876675703</v>
      </c>
      <c r="M81" s="1450"/>
      <c r="N81" s="1451"/>
    </row>
    <row r="82" spans="1:14" ht="13.15" customHeight="1">
      <c r="A82" s="24" t="s">
        <v>1298</v>
      </c>
      <c r="B82" s="25">
        <f t="shared" ref="B82:K82" si="36">SUM(B74:B81)</f>
        <v>57902.599607413671</v>
      </c>
      <c r="C82" s="25">
        <f t="shared" si="36"/>
        <v>52615.244880891143</v>
      </c>
      <c r="D82" s="25">
        <f t="shared" si="36"/>
        <v>47029.600658278017</v>
      </c>
      <c r="E82" s="25">
        <f t="shared" si="36"/>
        <v>41133.180877605613</v>
      </c>
      <c r="F82" s="25">
        <f t="shared" si="36"/>
        <v>34913.095747504813</v>
      </c>
      <c r="G82" s="25">
        <f t="shared" si="36"/>
        <v>28358.038452372246</v>
      </c>
      <c r="H82" s="25">
        <f t="shared" si="36"/>
        <v>21454.271435034585</v>
      </c>
      <c r="I82" s="25">
        <f t="shared" si="36"/>
        <v>14187.612243758747</v>
      </c>
      <c r="J82" s="25">
        <f t="shared" si="36"/>
        <v>6545.418930057931</v>
      </c>
      <c r="K82" s="26">
        <f t="shared" si="36"/>
        <v>-1487.4250166740676</v>
      </c>
      <c r="M82" s="1450"/>
      <c r="N82" s="1451"/>
    </row>
    <row r="83" spans="1:14" ht="13.15" customHeight="1">
      <c r="A83" s="24" t="str">
        <f>$A53</f>
        <v>Mortgage A</v>
      </c>
      <c r="B83" s="1554">
        <f>IF('Part III A-Sources of Funds'!$M$32="", 0,-'Part III A-Sources of Funds'!$M$32)</f>
        <v>0</v>
      </c>
      <c r="C83" s="1554">
        <f>IF('Part III A-Sources of Funds'!$M$32="", 0,-'Part III A-Sources of Funds'!$M$32)</f>
        <v>0</v>
      </c>
      <c r="D83" s="1554">
        <f>IF('Part III A-Sources of Funds'!$M$32="", 0,-'Part III A-Sources of Funds'!$M$32)</f>
        <v>0</v>
      </c>
      <c r="E83" s="1554">
        <f>IF('Part III A-Sources of Funds'!$M$32="", 0,-'Part III A-Sources of Funds'!$M$32)</f>
        <v>0</v>
      </c>
      <c r="F83" s="1554">
        <f>IF('Part III A-Sources of Funds'!$M$32="", 0,-'Part III A-Sources of Funds'!$M$32)</f>
        <v>0</v>
      </c>
      <c r="G83" s="1554">
        <f>IF('Part III A-Sources of Funds'!$M$32="", 0,-'Part III A-Sources of Funds'!$M$32)</f>
        <v>0</v>
      </c>
      <c r="H83" s="1554">
        <f>IF('Part III A-Sources of Funds'!$M$32="", 0,-'Part III A-Sources of Funds'!$M$32)</f>
        <v>0</v>
      </c>
      <c r="I83" s="1554">
        <f>IF('Part III A-Sources of Funds'!$M$32="", 0,-'Part III A-Sources of Funds'!$M$32)</f>
        <v>0</v>
      </c>
      <c r="J83" s="1554">
        <f>IF('Part III A-Sources of Funds'!$M$32="", 0,-'Part III A-Sources of Funds'!$M$32)</f>
        <v>0</v>
      </c>
      <c r="K83" s="1554">
        <f>IF('Part III A-Sources of Funds'!$M$32="", 0,-'Part III A-Sources of Funds'!$M$32)</f>
        <v>0</v>
      </c>
      <c r="M83" s="1450"/>
      <c r="N83" s="1451"/>
    </row>
    <row r="84" spans="1:14" ht="13.15" customHeight="1">
      <c r="A84" s="24" t="str">
        <f>$A54</f>
        <v>Mortgage B</v>
      </c>
      <c r="B84" s="1555">
        <f>IF('Part III A-Sources of Funds'!$M$33="", 0,-'Part III A-Sources of Funds'!$M$33)</f>
        <v>0</v>
      </c>
      <c r="C84" s="1555">
        <f>IF('Part III A-Sources of Funds'!$M$33="", 0,-'Part III A-Sources of Funds'!$M$33)</f>
        <v>0</v>
      </c>
      <c r="D84" s="1555">
        <f>IF('Part III A-Sources of Funds'!$M$33="", 0,-'Part III A-Sources of Funds'!$M$33)</f>
        <v>0</v>
      </c>
      <c r="E84" s="1555">
        <f>IF('Part III A-Sources of Funds'!$M$33="", 0,-'Part III A-Sources of Funds'!$M$33)</f>
        <v>0</v>
      </c>
      <c r="F84" s="1555">
        <f>IF('Part III A-Sources of Funds'!$M$33="", 0,-'Part III A-Sources of Funds'!$M$33)</f>
        <v>0</v>
      </c>
      <c r="G84" s="1555">
        <f>IF('Part III A-Sources of Funds'!$M$33="", 0,-'Part III A-Sources of Funds'!$M$33)</f>
        <v>0</v>
      </c>
      <c r="H84" s="1555">
        <f>IF('Part III A-Sources of Funds'!$M$33="", 0,-'Part III A-Sources of Funds'!$M$33)</f>
        <v>0</v>
      </c>
      <c r="I84" s="1555">
        <f>IF('Part III A-Sources of Funds'!$M$33="", 0,-'Part III A-Sources of Funds'!$M$33)</f>
        <v>0</v>
      </c>
      <c r="J84" s="1555">
        <f>IF('Part III A-Sources of Funds'!$M$33="", 0,-'Part III A-Sources of Funds'!$M$33)</f>
        <v>0</v>
      </c>
      <c r="K84" s="1555">
        <f>IF('Part III A-Sources of Funds'!$M$33="", 0,-'Part III A-Sources of Funds'!$M$33)</f>
        <v>0</v>
      </c>
      <c r="M84" s="1450"/>
      <c r="N84" s="1451"/>
    </row>
    <row r="85" spans="1:14" ht="13.15" customHeight="1">
      <c r="A85" s="24" t="str">
        <f>$A55</f>
        <v>Mortgage C</v>
      </c>
      <c r="B85" s="1555">
        <f>IF('Part III A-Sources of Funds'!$M$34="", 0,-'Part III A-Sources of Funds'!$M$34)</f>
        <v>0</v>
      </c>
      <c r="C85" s="1555">
        <f>IF('Part III A-Sources of Funds'!$M$34="", 0,-'Part III A-Sources of Funds'!$M$34)</f>
        <v>0</v>
      </c>
      <c r="D85" s="1555">
        <f>IF('Part III A-Sources of Funds'!$M$34="", 0,-'Part III A-Sources of Funds'!$M$34)</f>
        <v>0</v>
      </c>
      <c r="E85" s="1555">
        <f>IF('Part III A-Sources of Funds'!$M$34="", 0,-'Part III A-Sources of Funds'!$M$34)</f>
        <v>0</v>
      </c>
      <c r="F85" s="1555">
        <f>IF('Part III A-Sources of Funds'!$M$34="", 0,-'Part III A-Sources of Funds'!$M$34)</f>
        <v>0</v>
      </c>
      <c r="G85" s="1555">
        <f>IF('Part III A-Sources of Funds'!$M$34="", 0,-'Part III A-Sources of Funds'!$M$34)</f>
        <v>0</v>
      </c>
      <c r="H85" s="1555">
        <f>IF('Part III A-Sources of Funds'!$M$34="", 0,-'Part III A-Sources of Funds'!$M$34)</f>
        <v>0</v>
      </c>
      <c r="I85" s="1555">
        <f>IF('Part III A-Sources of Funds'!$M$34="", 0,-'Part III A-Sources of Funds'!$M$34)</f>
        <v>0</v>
      </c>
      <c r="J85" s="1555">
        <f>IF('Part III A-Sources of Funds'!$M$34="", 0,-'Part III A-Sources of Funds'!$M$34)</f>
        <v>0</v>
      </c>
      <c r="K85" s="1555">
        <f>IF('Part III A-Sources of Funds'!$M$34="", 0,-'Part III A-Sources of Funds'!$M$34)</f>
        <v>0</v>
      </c>
      <c r="M85" s="1450"/>
      <c r="N85" s="1451"/>
    </row>
    <row r="86" spans="1:14" ht="13.15" customHeight="1">
      <c r="A86" s="24" t="str">
        <f>$A56</f>
        <v>D/S Other Source</v>
      </c>
      <c r="B86" s="1555">
        <f>IF('Part III A-Sources of Funds'!$M$35="", 0,-'Part III A-Sources of Funds'!$M$35)</f>
        <v>0</v>
      </c>
      <c r="C86" s="1555">
        <f>IF('Part III A-Sources of Funds'!$M$35="", 0,-'Part III A-Sources of Funds'!$M$35)</f>
        <v>0</v>
      </c>
      <c r="D86" s="1555">
        <f>IF('Part III A-Sources of Funds'!$M$35="", 0,-'Part III A-Sources of Funds'!$M$35)</f>
        <v>0</v>
      </c>
      <c r="E86" s="1555">
        <f>IF('Part III A-Sources of Funds'!$M$35="", 0,-'Part III A-Sources of Funds'!$M$35)</f>
        <v>0</v>
      </c>
      <c r="F86" s="1555">
        <f>IF('Part III A-Sources of Funds'!$M$35="", 0,-'Part III A-Sources of Funds'!$M$35)</f>
        <v>0</v>
      </c>
      <c r="G86" s="1555">
        <f>IF('Part III A-Sources of Funds'!$M$35="", 0,-'Part III A-Sources of Funds'!$M$35)</f>
        <v>0</v>
      </c>
      <c r="H86" s="1555">
        <f>IF('Part III A-Sources of Funds'!$M$35="", 0,-'Part III A-Sources of Funds'!$M$35)</f>
        <v>0</v>
      </c>
      <c r="I86" s="1555">
        <f>IF('Part III A-Sources of Funds'!$M$35="", 0,-'Part III A-Sources of Funds'!$M$35)</f>
        <v>0</v>
      </c>
      <c r="J86" s="1555">
        <f>IF('Part III A-Sources of Funds'!$M$35="", 0,-'Part III A-Sources of Funds'!$M$35)</f>
        <v>0</v>
      </c>
      <c r="K86" s="1555">
        <f>IF('Part III A-Sources of Funds'!$M$35="", 0,-'Part III A-Sources of Funds'!$M$35)</f>
        <v>0</v>
      </c>
      <c r="M86" s="1450"/>
      <c r="N86" s="1451"/>
    </row>
    <row r="87" spans="1:14" ht="13.15" customHeight="1">
      <c r="A87" s="24" t="s">
        <v>83</v>
      </c>
      <c r="B87" s="1556"/>
      <c r="C87" s="1556"/>
      <c r="D87" s="1556"/>
      <c r="E87" s="1556"/>
      <c r="F87" s="1556"/>
      <c r="G87" s="1556"/>
      <c r="H87" s="1556"/>
      <c r="I87" s="1556"/>
      <c r="J87" s="1556"/>
      <c r="K87" s="1556"/>
      <c r="M87" s="1450"/>
      <c r="N87" s="1451"/>
    </row>
    <row r="88" spans="1:14" ht="13.15" customHeight="1">
      <c r="A88" s="24" t="s">
        <v>1260</v>
      </c>
      <c r="B88" s="1555">
        <f>+K58</f>
        <v>-5000</v>
      </c>
      <c r="C88" s="1555">
        <f t="shared" ref="C88:K88" si="37">+B88</f>
        <v>-5000</v>
      </c>
      <c r="D88" s="1555">
        <f t="shared" si="37"/>
        <v>-5000</v>
      </c>
      <c r="E88" s="1555">
        <f t="shared" si="37"/>
        <v>-5000</v>
      </c>
      <c r="F88" s="1555">
        <f t="shared" si="37"/>
        <v>-5000</v>
      </c>
      <c r="G88" s="1555">
        <f t="shared" si="37"/>
        <v>-5000</v>
      </c>
      <c r="H88" s="1555">
        <f t="shared" si="37"/>
        <v>-5000</v>
      </c>
      <c r="I88" s="1555">
        <f t="shared" si="37"/>
        <v>-5000</v>
      </c>
      <c r="J88" s="1555">
        <f t="shared" si="37"/>
        <v>-5000</v>
      </c>
      <c r="K88" s="1555">
        <f t="shared" si="37"/>
        <v>-5000</v>
      </c>
      <c r="M88" s="1450"/>
      <c r="N88" s="1451"/>
    </row>
    <row r="89" spans="1:14" ht="13.15" customHeight="1">
      <c r="A89" s="24" t="s">
        <v>1299</v>
      </c>
      <c r="B89" s="1557"/>
      <c r="C89" s="1557"/>
      <c r="D89" s="1557"/>
      <c r="E89" s="1557"/>
      <c r="F89" s="1557"/>
      <c r="G89" s="1557"/>
      <c r="H89" s="1557"/>
      <c r="I89" s="1557"/>
      <c r="J89" s="1557"/>
      <c r="K89" s="1555"/>
      <c r="M89" s="1450"/>
      <c r="N89" s="1451"/>
    </row>
    <row r="90" spans="1:14" ht="13.15" customHeight="1">
      <c r="A90" s="24" t="s">
        <v>1261</v>
      </c>
      <c r="B90" s="25">
        <f t="shared" ref="B90:K90" si="38">SUM(B82:B89)</f>
        <v>52902.599607413671</v>
      </c>
      <c r="C90" s="25">
        <f t="shared" si="38"/>
        <v>47615.244880891143</v>
      </c>
      <c r="D90" s="25">
        <f t="shared" si="38"/>
        <v>42029.600658278017</v>
      </c>
      <c r="E90" s="25">
        <f t="shared" si="38"/>
        <v>36133.180877605613</v>
      </c>
      <c r="F90" s="25">
        <f t="shared" si="38"/>
        <v>29913.095747504813</v>
      </c>
      <c r="G90" s="25">
        <f t="shared" si="38"/>
        <v>23358.038452372246</v>
      </c>
      <c r="H90" s="25">
        <f t="shared" si="38"/>
        <v>16454.271435034585</v>
      </c>
      <c r="I90" s="25">
        <f t="shared" si="38"/>
        <v>9187.6122437587474</v>
      </c>
      <c r="J90" s="25">
        <f t="shared" si="38"/>
        <v>1545.418930057931</v>
      </c>
      <c r="K90" s="23">
        <f t="shared" si="38"/>
        <v>-6487.4250166740676</v>
      </c>
      <c r="M90" s="1450"/>
      <c r="N90" s="1451"/>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50"/>
      <c r="N91" s="1451"/>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50"/>
      <c r="N92" s="1451"/>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50"/>
      <c r="N93" s="1451"/>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50"/>
      <c r="N94" s="1451"/>
    </row>
    <row r="95" spans="1:14" ht="13.15" customHeight="1">
      <c r="A95" s="24" t="s">
        <v>92</v>
      </c>
      <c r="B95" s="380">
        <f>IF(OR(B80="Choose mgt fee",B80="Choose One!"),"",(B74+B75+B76+B77+B78) / -(B79+B80+B81))</f>
        <v>1.08497073483746</v>
      </c>
      <c r="C95" s="380">
        <f t="shared" ref="C95:K95" si="43">IF(OR(C80="Choose mgt fee",C80="Choose One!"),"",(C74+C75+C76+C77+C78) / -(C79+C80+C81))</f>
        <v>1.075002211609362</v>
      </c>
      <c r="D95" s="380">
        <f t="shared" si="43"/>
        <v>1.0651213388507157</v>
      </c>
      <c r="E95" s="380">
        <f t="shared" si="43"/>
        <v>1.0553263271389792</v>
      </c>
      <c r="F95" s="380">
        <f t="shared" si="43"/>
        <v>1.0456155585427271</v>
      </c>
      <c r="G95" s="380">
        <f t="shared" si="43"/>
        <v>1.0359902002685701</v>
      </c>
      <c r="H95" s="380">
        <f t="shared" si="43"/>
        <v>1.0264486341478725</v>
      </c>
      <c r="I95" s="380">
        <f t="shared" si="43"/>
        <v>1.0169893912723678</v>
      </c>
      <c r="J95" s="380">
        <f t="shared" si="43"/>
        <v>1.0076134821111085</v>
      </c>
      <c r="K95" s="381">
        <f t="shared" si="43"/>
        <v>0.99831943100251153</v>
      </c>
      <c r="M95" s="1450"/>
      <c r="N95" s="1451"/>
    </row>
    <row r="96" spans="1:14" ht="13.15" customHeight="1">
      <c r="A96" s="681" t="s">
        <v>3200</v>
      </c>
      <c r="B96" s="1554" t="str">
        <f>IF('Part III A-Sources of Funds'!$H$32="","",-FV('Part III A-Sources of Funds'!$J$32/12,12,B83/12,K66))</f>
        <v/>
      </c>
      <c r="C96" s="1554" t="str">
        <f>IF('Part III A-Sources of Funds'!$H$32="","",-FV('Part III A-Sources of Funds'!$J$32/12,12,C83/12,B96))</f>
        <v/>
      </c>
      <c r="D96" s="1554" t="str">
        <f>IF('Part III A-Sources of Funds'!$H$32="","",-FV('Part III A-Sources of Funds'!$J$32/12,12,D83/12,C96))</f>
        <v/>
      </c>
      <c r="E96" s="1554" t="str">
        <f>IF('Part III A-Sources of Funds'!$H$32="","",-FV('Part III A-Sources of Funds'!$J$32/12,12,E83/12,D96))</f>
        <v/>
      </c>
      <c r="F96" s="1554" t="str">
        <f>IF('Part III A-Sources of Funds'!$H$32="","",-FV('Part III A-Sources of Funds'!$J$32/12,12,F83/12,E96))</f>
        <v/>
      </c>
      <c r="G96" s="1554" t="str">
        <f>IF('Part III A-Sources of Funds'!$H$32="","",-FV('Part III A-Sources of Funds'!$J$32/12,12,G83/12,F96))</f>
        <v/>
      </c>
      <c r="H96" s="1554" t="str">
        <f>IF('Part III A-Sources of Funds'!$H$32="","",-FV('Part III A-Sources of Funds'!$J$32/12,12,H83/12,G96))</f>
        <v/>
      </c>
      <c r="I96" s="1554" t="str">
        <f>IF('Part III A-Sources of Funds'!$H$32="","",-FV('Part III A-Sources of Funds'!$J$32/12,12,I83/12,H96))</f>
        <v/>
      </c>
      <c r="J96" s="1554" t="str">
        <f>IF('Part III A-Sources of Funds'!$H$32="","",-FV('Part III A-Sources of Funds'!$J$32/12,12,J83/12,I96))</f>
        <v/>
      </c>
      <c r="K96" s="1554" t="str">
        <f>IF('Part III A-Sources of Funds'!$H$32="","",-FV('Part III A-Sources of Funds'!$J$32/12,12,K83/12,J96))</f>
        <v/>
      </c>
      <c r="M96" s="1450"/>
      <c r="N96" s="1451"/>
    </row>
    <row r="97" spans="1:14" ht="13.15" customHeight="1">
      <c r="A97" s="681" t="s">
        <v>3201</v>
      </c>
      <c r="B97" s="1555" t="str">
        <f>IF('Part III A-Sources of Funds'!$H$33="","",-FV('Part III A-Sources of Funds'!$J$33/12,12,B84/12,K67))</f>
        <v/>
      </c>
      <c r="C97" s="1555" t="str">
        <f>IF('Part III A-Sources of Funds'!$H$33="","",-FV('Part III A-Sources of Funds'!$J$33/12,12,C84/12,B97))</f>
        <v/>
      </c>
      <c r="D97" s="1555" t="str">
        <f>IF('Part III A-Sources of Funds'!$H$33="","",-FV('Part III A-Sources of Funds'!$J$33/12,12,D84/12,C97))</f>
        <v/>
      </c>
      <c r="E97" s="1555" t="str">
        <f>IF('Part III A-Sources of Funds'!$H$33="","",-FV('Part III A-Sources of Funds'!$J$33/12,12,E84/12,D97))</f>
        <v/>
      </c>
      <c r="F97" s="1555" t="str">
        <f>IF('Part III A-Sources of Funds'!$H$33="","",-FV('Part III A-Sources of Funds'!$J$33/12,12,F84/12,E97))</f>
        <v/>
      </c>
      <c r="G97" s="1555" t="str">
        <f>IF('Part III A-Sources of Funds'!$H$33="","",-FV('Part III A-Sources of Funds'!$J$33/12,12,G84/12,F97))</f>
        <v/>
      </c>
      <c r="H97" s="1555" t="str">
        <f>IF('Part III A-Sources of Funds'!$H$33="","",-FV('Part III A-Sources of Funds'!$J$33/12,12,H84/12,G97))</f>
        <v/>
      </c>
      <c r="I97" s="1555" t="str">
        <f>IF('Part III A-Sources of Funds'!$H$33="","",-FV('Part III A-Sources of Funds'!$J$33/12,12,I84/12,H97))</f>
        <v/>
      </c>
      <c r="J97" s="1555" t="str">
        <f>IF('Part III A-Sources of Funds'!$H$33="","",-FV('Part III A-Sources of Funds'!$J$33/12,12,J84/12,I97))</f>
        <v/>
      </c>
      <c r="K97" s="1555" t="str">
        <f>IF('Part III A-Sources of Funds'!$H$33="","",-FV('Part III A-Sources of Funds'!$J$33/12,12,K84/12,J97))</f>
        <v/>
      </c>
      <c r="M97" s="1450"/>
      <c r="N97" s="1451"/>
    </row>
    <row r="98" spans="1:14" ht="13.15" customHeight="1">
      <c r="A98" s="681" t="s">
        <v>3202</v>
      </c>
      <c r="B98" s="1555" t="str">
        <f>IF('Part III A-Sources of Funds'!$H$34="","",-FV('Part III A-Sources of Funds'!$J$34/12,12,B85/12,K68))</f>
        <v/>
      </c>
      <c r="C98" s="1555" t="str">
        <f>IF('Part III A-Sources of Funds'!$H$34="","",-FV('Part III A-Sources of Funds'!$J$34/12,12,C85/12,B98))</f>
        <v/>
      </c>
      <c r="D98" s="1555" t="str">
        <f>IF('Part III A-Sources of Funds'!$H$34="","",-FV('Part III A-Sources of Funds'!$J$34/12,12,D85/12,C98))</f>
        <v/>
      </c>
      <c r="E98" s="1555" t="str">
        <f>IF('Part III A-Sources of Funds'!$H$34="","",-FV('Part III A-Sources of Funds'!$J$34/12,12,E85/12,D98))</f>
        <v/>
      </c>
      <c r="F98" s="1555" t="str">
        <f>IF('Part III A-Sources of Funds'!$H$34="","",-FV('Part III A-Sources of Funds'!$J$34/12,12,F85/12,E98))</f>
        <v/>
      </c>
      <c r="G98" s="1555" t="str">
        <f>IF('Part III A-Sources of Funds'!$H$34="","",-FV('Part III A-Sources of Funds'!$J$34/12,12,G85/12,F98))</f>
        <v/>
      </c>
      <c r="H98" s="1555" t="str">
        <f>IF('Part III A-Sources of Funds'!$H$34="","",-FV('Part III A-Sources of Funds'!$J$34/12,12,H85/12,G98))</f>
        <v/>
      </c>
      <c r="I98" s="1555" t="str">
        <f>IF('Part III A-Sources of Funds'!$H$34="","",-FV('Part III A-Sources of Funds'!$J$34/12,12,I85/12,H98))</f>
        <v/>
      </c>
      <c r="J98" s="1555" t="str">
        <f>IF('Part III A-Sources of Funds'!$H$34="","",-FV('Part III A-Sources of Funds'!$J$34/12,12,J85/12,I98))</f>
        <v/>
      </c>
      <c r="K98" s="1555" t="str">
        <f>IF('Part III A-Sources of Funds'!$H$34="","",-FV('Part III A-Sources of Funds'!$J$34/12,12,K85/12,J98))</f>
        <v/>
      </c>
      <c r="M98" s="1450"/>
      <c r="N98" s="1451"/>
    </row>
    <row r="99" spans="1:14" ht="13.15" customHeight="1">
      <c r="A99" s="24" t="s">
        <v>963</v>
      </c>
      <c r="B99" s="1555" t="str">
        <f>IF('Part III A-Sources of Funds'!$H$35="","",-FV('Part III A-Sources of Funds'!$J$35/12,12,B86/12,K69))</f>
        <v/>
      </c>
      <c r="C99" s="1555" t="str">
        <f>IF('Part III A-Sources of Funds'!$H$35="","",-FV('Part III A-Sources of Funds'!$J$35/12,12,C86/12,B99))</f>
        <v/>
      </c>
      <c r="D99" s="1555" t="str">
        <f>IF('Part III A-Sources of Funds'!$H$35="","",-FV('Part III A-Sources of Funds'!$J$35/12,12,D86/12,C99))</f>
        <v/>
      </c>
      <c r="E99" s="1555" t="str">
        <f>IF('Part III A-Sources of Funds'!$H$35="","",-FV('Part III A-Sources of Funds'!$J$35/12,12,E86/12,D99))</f>
        <v/>
      </c>
      <c r="F99" s="1555" t="str">
        <f>IF('Part III A-Sources of Funds'!$H$35="","",-FV('Part III A-Sources of Funds'!$J$35/12,12,F86/12,E99))</f>
        <v/>
      </c>
      <c r="G99" s="1555" t="str">
        <f>IF('Part III A-Sources of Funds'!$H$35="","",-FV('Part III A-Sources of Funds'!$J$35/12,12,G86/12,F99))</f>
        <v/>
      </c>
      <c r="H99" s="1555" t="str">
        <f>IF('Part III A-Sources of Funds'!$H$35="","",-FV('Part III A-Sources of Funds'!$J$35/12,12,H86/12,G99))</f>
        <v/>
      </c>
      <c r="I99" s="1555" t="str">
        <f>IF('Part III A-Sources of Funds'!$H$35="","",-FV('Part III A-Sources of Funds'!$J$35/12,12,I86/12,H99))</f>
        <v/>
      </c>
      <c r="J99" s="1555" t="str">
        <f>IF('Part III A-Sources of Funds'!$H$35="","",-FV('Part III A-Sources of Funds'!$J$35/12,12,J86/12,I99))</f>
        <v/>
      </c>
      <c r="K99" s="1555" t="str">
        <f>IF('Part III A-Sources of Funds'!$H$35="","",-FV('Part III A-Sources of Funds'!$J$35/12,12,K86/12,J99))</f>
        <v/>
      </c>
      <c r="M99" s="1450"/>
      <c r="N99" s="1451"/>
    </row>
    <row r="100" spans="1:14" ht="13.15" customHeight="1">
      <c r="A100" s="681" t="s">
        <v>1159</v>
      </c>
      <c r="B100" s="1555">
        <f>'Part III A-Sources of Funds'!$H$36</f>
        <v>2106000</v>
      </c>
      <c r="C100" s="1555">
        <f>B100</f>
        <v>2106000</v>
      </c>
      <c r="D100" s="1555">
        <f t="shared" ref="D100:K100" si="44">C100</f>
        <v>2106000</v>
      </c>
      <c r="E100" s="1555">
        <f t="shared" si="44"/>
        <v>2106000</v>
      </c>
      <c r="F100" s="1555">
        <f t="shared" si="44"/>
        <v>2106000</v>
      </c>
      <c r="G100" s="1555">
        <f t="shared" si="44"/>
        <v>2106000</v>
      </c>
      <c r="H100" s="1555">
        <f t="shared" si="44"/>
        <v>2106000</v>
      </c>
      <c r="I100" s="1555">
        <f t="shared" si="44"/>
        <v>2106000</v>
      </c>
      <c r="J100" s="1555">
        <f t="shared" si="44"/>
        <v>2106000</v>
      </c>
      <c r="K100" s="1555">
        <f t="shared" si="44"/>
        <v>2106000</v>
      </c>
      <c r="M100" s="1450"/>
      <c r="N100" s="1451"/>
    </row>
    <row r="101" spans="1:14" ht="13.15" customHeight="1">
      <c r="A101" s="29" t="s">
        <v>1334</v>
      </c>
      <c r="B101" s="1557">
        <f>IF('Part III A-Sources of Funds'!$H$37="","",-FV('Part III A-Sources of Funds'!$J$37/12,12,B89/12,K71))</f>
        <v>0</v>
      </c>
      <c r="C101" s="1557">
        <f>IF('Part III A-Sources of Funds'!$H$37="","",-FV('Part III A-Sources of Funds'!$J$37/12,12,C89/12,B101))</f>
        <v>0</v>
      </c>
      <c r="D101" s="1557">
        <f>IF('Part III A-Sources of Funds'!$H$37="","",-FV('Part III A-Sources of Funds'!$J$37/12,12,D89/12,C101))</f>
        <v>0</v>
      </c>
      <c r="E101" s="1557">
        <f>IF('Part III A-Sources of Funds'!$H$37="","",-FV('Part III A-Sources of Funds'!$J$37/12,12,E89/12,D101))</f>
        <v>0</v>
      </c>
      <c r="F101" s="1557">
        <f>IF('Part III A-Sources of Funds'!$H$37="","",-FV('Part III A-Sources of Funds'!$J$37/12,12,F89/12,E101))</f>
        <v>0</v>
      </c>
      <c r="G101" s="1557">
        <f>IF('Part III A-Sources of Funds'!$H$37="","",-FV('Part III A-Sources of Funds'!$J$37/12,12,G89/12,F101))</f>
        <v>0</v>
      </c>
      <c r="H101" s="1557">
        <f>IF('Part III A-Sources of Funds'!$H$37="","",-FV('Part III A-Sources of Funds'!$J$37/12,12,H89/12,G101))</f>
        <v>0</v>
      </c>
      <c r="I101" s="1557">
        <f>IF('Part III A-Sources of Funds'!$H$37="","",-FV('Part III A-Sources of Funds'!$J$37/12,12,I89/12,H101))</f>
        <v>0</v>
      </c>
      <c r="J101" s="1557">
        <f>IF('Part III A-Sources of Funds'!$H$37="","",-FV('Part III A-Sources of Funds'!$J$37/12,12,J89/12,I101))</f>
        <v>0</v>
      </c>
      <c r="K101" s="1557">
        <f>IF('Part III A-Sources of Funds'!$H$37="","",-FV('Part III A-Sources of Funds'!$J$37/12,12,K89/12,J101))</f>
        <v>0</v>
      </c>
      <c r="M101" s="1453"/>
      <c r="N101" s="1454"/>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780</v>
      </c>
      <c r="B104" s="16"/>
      <c r="G104" s="16" t="s">
        <v>1112</v>
      </c>
    </row>
    <row r="105" spans="1:14" ht="12" customHeight="1">
      <c r="B105" s="35"/>
    </row>
    <row r="106" spans="1:14" ht="210" customHeight="1">
      <c r="A106" s="1352" t="s">
        <v>361</v>
      </c>
      <c r="B106" s="1558"/>
      <c r="C106" s="1558"/>
      <c r="D106" s="1558"/>
      <c r="E106" s="1558"/>
      <c r="F106" s="1559"/>
      <c r="G106" s="1355"/>
      <c r="H106" s="1558"/>
      <c r="I106" s="1558"/>
      <c r="J106" s="1558"/>
      <c r="K106" s="1559"/>
      <c r="M106" s="965" t="s">
        <v>4049</v>
      </c>
      <c r="N106" s="965"/>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06:N106"/>
    <mergeCell ref="A1:K1"/>
    <mergeCell ref="M74:N101"/>
    <mergeCell ref="M1:N1"/>
    <mergeCell ref="M2:N2"/>
    <mergeCell ref="M44:N71"/>
    <mergeCell ref="M43:N43"/>
    <mergeCell ref="M14:N41"/>
    <mergeCell ref="M73:N73"/>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O3" sqref="O3:P3"/>
      <selection pane="bottomLeft" sqref="A1:XFD1048576"/>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991" t="str">
        <f>CONCATENATE("PART EIGHT - THRESHOLD CRITERIA","  -  ",'Part I-Project Information'!$O$4," ",'Part I-Project Information'!$F$22,", ",'Part I-Project Information'!F24,", ",'Part I-Project Information'!J25," County")</f>
        <v>PART EIGHT - THRESHOLD CRITERIA  -  2012-052 Freedom's Path I, Augusta, Richmond County</v>
      </c>
      <c r="B1" s="992"/>
      <c r="C1" s="992"/>
      <c r="D1" s="992"/>
      <c r="E1" s="992"/>
      <c r="F1" s="992"/>
      <c r="G1" s="992"/>
      <c r="H1" s="992"/>
      <c r="I1" s="992"/>
      <c r="J1" s="992"/>
      <c r="K1" s="992"/>
      <c r="L1" s="992"/>
      <c r="M1" s="992"/>
      <c r="N1" s="992"/>
      <c r="O1" s="992"/>
      <c r="P1" s="992"/>
      <c r="Q1" s="992"/>
    </row>
    <row r="2" spans="1:32" s="31" customFormat="1" ht="3" customHeight="1">
      <c r="S2" s="43"/>
      <c r="T2" s="43"/>
      <c r="AE2" s="161"/>
      <c r="AF2" s="161"/>
    </row>
    <row r="3" spans="1:32" ht="13.5" customHeight="1">
      <c r="A3" s="1154"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4"/>
      <c r="C3" s="1154"/>
      <c r="D3" s="1154"/>
      <c r="E3" s="1154"/>
      <c r="F3" s="1154"/>
      <c r="G3" s="1154"/>
      <c r="H3" s="1154"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4"/>
      <c r="J3" s="1154"/>
      <c r="K3" s="1154"/>
      <c r="L3" s="1154"/>
      <c r="M3" s="1154"/>
      <c r="N3" s="1163"/>
      <c r="O3" s="1155" t="s">
        <v>949</v>
      </c>
      <c r="P3" s="1156"/>
      <c r="Q3" s="301" t="s">
        <v>320</v>
      </c>
    </row>
    <row r="4" spans="1:32" ht="3" customHeight="1">
      <c r="A4" s="846"/>
      <c r="B4" s="1160"/>
      <c r="C4" s="1160"/>
      <c r="D4" s="1160"/>
      <c r="E4" s="846"/>
      <c r="F4" s="846"/>
      <c r="G4" s="846"/>
      <c r="H4" s="846"/>
      <c r="I4" s="846"/>
      <c r="J4" s="846"/>
      <c r="K4" s="846"/>
      <c r="L4" s="846"/>
      <c r="M4" s="846"/>
      <c r="N4" s="846"/>
      <c r="P4" s="846"/>
      <c r="Q4" s="846"/>
    </row>
    <row r="5" spans="1:32" ht="10.9" hidden="1" customHeight="1">
      <c r="A5" s="846"/>
      <c r="B5" s="846"/>
      <c r="C5" s="846"/>
      <c r="D5" s="846"/>
      <c r="E5" s="846"/>
      <c r="F5" s="846"/>
      <c r="G5" s="846"/>
      <c r="H5" s="846"/>
      <c r="I5" s="846"/>
      <c r="J5" s="846"/>
      <c r="K5" s="846"/>
      <c r="L5" s="846"/>
      <c r="M5" s="846"/>
      <c r="N5" s="846"/>
      <c r="P5" s="846"/>
      <c r="Q5" s="846"/>
    </row>
    <row r="6" spans="1:32" ht="15" customHeight="1">
      <c r="A6" s="175" t="s">
        <v>771</v>
      </c>
      <c r="P6" s="1161"/>
      <c r="Q6" s="1162"/>
    </row>
    <row r="7" spans="1:32" ht="12.6" customHeight="1">
      <c r="A7" s="176" t="s">
        <v>2275</v>
      </c>
      <c r="C7" s="177"/>
      <c r="D7" s="177"/>
    </row>
    <row r="8" spans="1:32" ht="24.6" customHeight="1">
      <c r="A8" s="1157" t="s">
        <v>1487</v>
      </c>
      <c r="B8" s="1158"/>
      <c r="C8" s="1158"/>
      <c r="D8" s="1158"/>
      <c r="E8" s="1158"/>
      <c r="F8" s="1158"/>
      <c r="G8" s="1158"/>
      <c r="H8" s="1158"/>
      <c r="I8" s="1158"/>
      <c r="J8" s="1158"/>
      <c r="K8" s="1158"/>
      <c r="L8" s="1158"/>
      <c r="M8" s="1158"/>
      <c r="N8" s="1158"/>
      <c r="O8" s="1158"/>
      <c r="P8" s="1158"/>
      <c r="Q8" s="1159"/>
      <c r="R8" s="1127" t="s">
        <v>2358</v>
      </c>
      <c r="S8" s="884"/>
    </row>
    <row r="9" spans="1:32" ht="24.6" customHeight="1">
      <c r="A9" s="1140" t="s">
        <v>2069</v>
      </c>
      <c r="B9" s="1141"/>
      <c r="C9" s="1141"/>
      <c r="D9" s="1141"/>
      <c r="E9" s="1141"/>
      <c r="F9" s="1141"/>
      <c r="G9" s="1141"/>
      <c r="H9" s="1141"/>
      <c r="I9" s="1141"/>
      <c r="J9" s="1141"/>
      <c r="K9" s="1141"/>
      <c r="L9" s="1141"/>
      <c r="M9" s="1141"/>
      <c r="N9" s="1141"/>
      <c r="O9" s="1141"/>
      <c r="P9" s="1141"/>
      <c r="Q9" s="1142"/>
      <c r="R9" s="1127"/>
      <c r="S9" s="884"/>
    </row>
    <row r="10" spans="1:32" ht="24.6" customHeight="1">
      <c r="A10" s="1140" t="s">
        <v>1483</v>
      </c>
      <c r="B10" s="1141"/>
      <c r="C10" s="1141"/>
      <c r="D10" s="1141"/>
      <c r="E10" s="1141"/>
      <c r="F10" s="1141"/>
      <c r="G10" s="1141"/>
      <c r="H10" s="1141"/>
      <c r="I10" s="1141"/>
      <c r="J10" s="1141"/>
      <c r="K10" s="1141"/>
      <c r="L10" s="1141"/>
      <c r="M10" s="1141"/>
      <c r="N10" s="1141"/>
      <c r="O10" s="1141"/>
      <c r="P10" s="1141"/>
      <c r="Q10" s="1142"/>
      <c r="R10" s="1127"/>
      <c r="S10" s="884"/>
    </row>
    <row r="11" spans="1:32" ht="24.6" customHeight="1">
      <c r="A11" s="1140" t="s">
        <v>1484</v>
      </c>
      <c r="B11" s="1141"/>
      <c r="C11" s="1141"/>
      <c r="D11" s="1141"/>
      <c r="E11" s="1141"/>
      <c r="F11" s="1141"/>
      <c r="G11" s="1141"/>
      <c r="H11" s="1141"/>
      <c r="I11" s="1141"/>
      <c r="J11" s="1141"/>
      <c r="K11" s="1141"/>
      <c r="L11" s="1141"/>
      <c r="M11" s="1141"/>
      <c r="N11" s="1141"/>
      <c r="O11" s="1141"/>
      <c r="P11" s="1141"/>
      <c r="Q11" s="1142"/>
      <c r="R11" s="1127"/>
      <c r="S11" s="884"/>
    </row>
    <row r="12" spans="1:32" ht="24.6" customHeight="1">
      <c r="A12" s="1140" t="s">
        <v>1485</v>
      </c>
      <c r="B12" s="1141"/>
      <c r="C12" s="1141"/>
      <c r="D12" s="1141"/>
      <c r="E12" s="1141"/>
      <c r="F12" s="1141"/>
      <c r="G12" s="1141"/>
      <c r="H12" s="1141"/>
      <c r="I12" s="1141"/>
      <c r="J12" s="1141"/>
      <c r="K12" s="1141"/>
      <c r="L12" s="1141"/>
      <c r="M12" s="1141"/>
      <c r="N12" s="1141"/>
      <c r="O12" s="1141"/>
      <c r="P12" s="1141"/>
      <c r="Q12" s="1142"/>
      <c r="R12" s="824"/>
      <c r="S12" s="824"/>
    </row>
    <row r="13" spans="1:32" ht="24.6" customHeight="1">
      <c r="A13" s="1140" t="s">
        <v>1486</v>
      </c>
      <c r="B13" s="1141"/>
      <c r="C13" s="1141"/>
      <c r="D13" s="1141"/>
      <c r="E13" s="1141"/>
      <c r="F13" s="1141"/>
      <c r="G13" s="1141"/>
      <c r="H13" s="1141"/>
      <c r="I13" s="1141"/>
      <c r="J13" s="1141"/>
      <c r="K13" s="1141"/>
      <c r="L13" s="1141"/>
      <c r="M13" s="1141"/>
      <c r="N13" s="1141"/>
      <c r="O13" s="1141"/>
      <c r="P13" s="1141"/>
      <c r="Q13" s="1142"/>
      <c r="R13" s="824"/>
      <c r="S13" s="824"/>
    </row>
    <row r="14" spans="1:32" ht="24.6" customHeight="1">
      <c r="A14" s="1140" t="s">
        <v>1488</v>
      </c>
      <c r="B14" s="1141"/>
      <c r="C14" s="1141"/>
      <c r="D14" s="1141"/>
      <c r="E14" s="1141"/>
      <c r="F14" s="1141"/>
      <c r="G14" s="1141"/>
      <c r="H14" s="1141"/>
      <c r="I14" s="1141"/>
      <c r="J14" s="1141"/>
      <c r="K14" s="1141"/>
      <c r="L14" s="1141"/>
      <c r="M14" s="1141"/>
      <c r="N14" s="1141"/>
      <c r="O14" s="1141"/>
      <c r="P14" s="1141"/>
      <c r="Q14" s="1142"/>
    </row>
    <row r="15" spans="1:32" ht="24.6" customHeight="1">
      <c r="A15" s="1140" t="s">
        <v>2345</v>
      </c>
      <c r="B15" s="1141"/>
      <c r="C15" s="1141"/>
      <c r="D15" s="1141"/>
      <c r="E15" s="1141"/>
      <c r="F15" s="1141"/>
      <c r="G15" s="1141"/>
      <c r="H15" s="1141"/>
      <c r="I15" s="1141"/>
      <c r="J15" s="1141"/>
      <c r="K15" s="1141"/>
      <c r="L15" s="1141"/>
      <c r="M15" s="1141"/>
      <c r="N15" s="1141"/>
      <c r="O15" s="1141"/>
      <c r="P15" s="1141"/>
      <c r="Q15" s="1142"/>
      <c r="R15" s="884" t="s">
        <v>2358</v>
      </c>
      <c r="S15" s="884"/>
    </row>
    <row r="16" spans="1:32" ht="24.6" customHeight="1">
      <c r="A16" s="1140" t="s">
        <v>2346</v>
      </c>
      <c r="B16" s="1141"/>
      <c r="C16" s="1141"/>
      <c r="D16" s="1141"/>
      <c r="E16" s="1141"/>
      <c r="F16" s="1141"/>
      <c r="G16" s="1141"/>
      <c r="H16" s="1141"/>
      <c r="I16" s="1141"/>
      <c r="J16" s="1141"/>
      <c r="K16" s="1141"/>
      <c r="L16" s="1141"/>
      <c r="M16" s="1141"/>
      <c r="N16" s="1141"/>
      <c r="O16" s="1141"/>
      <c r="P16" s="1141"/>
      <c r="Q16" s="1142"/>
      <c r="R16" s="884"/>
      <c r="S16" s="884"/>
    </row>
    <row r="17" spans="1:19" ht="24.6" customHeight="1">
      <c r="A17" s="1140" t="s">
        <v>2347</v>
      </c>
      <c r="B17" s="1141"/>
      <c r="C17" s="1141"/>
      <c r="D17" s="1141"/>
      <c r="E17" s="1141"/>
      <c r="F17" s="1141"/>
      <c r="G17" s="1141"/>
      <c r="H17" s="1141"/>
      <c r="I17" s="1141"/>
      <c r="J17" s="1141"/>
      <c r="K17" s="1141"/>
      <c r="L17" s="1141"/>
      <c r="M17" s="1141"/>
      <c r="N17" s="1141"/>
      <c r="O17" s="1141"/>
      <c r="P17" s="1141"/>
      <c r="Q17" s="1142"/>
      <c r="R17" s="884"/>
      <c r="S17" s="884"/>
    </row>
    <row r="18" spans="1:19" ht="24.6" customHeight="1">
      <c r="A18" s="1140" t="s">
        <v>2348</v>
      </c>
      <c r="B18" s="1141"/>
      <c r="C18" s="1141"/>
      <c r="D18" s="1141"/>
      <c r="E18" s="1141"/>
      <c r="F18" s="1141"/>
      <c r="G18" s="1141"/>
      <c r="H18" s="1141"/>
      <c r="I18" s="1141"/>
      <c r="J18" s="1141"/>
      <c r="K18" s="1141"/>
      <c r="L18" s="1141"/>
      <c r="M18" s="1141"/>
      <c r="N18" s="1141"/>
      <c r="O18" s="1141"/>
      <c r="P18" s="1141"/>
      <c r="Q18" s="1142"/>
      <c r="R18" s="884"/>
      <c r="S18" s="884"/>
    </row>
    <row r="19" spans="1:19" ht="24.6" customHeight="1">
      <c r="A19" s="1140" t="s">
        <v>2349</v>
      </c>
      <c r="B19" s="1141"/>
      <c r="C19" s="1141"/>
      <c r="D19" s="1141"/>
      <c r="E19" s="1141"/>
      <c r="F19" s="1141"/>
      <c r="G19" s="1141"/>
      <c r="H19" s="1141"/>
      <c r="I19" s="1141"/>
      <c r="J19" s="1141"/>
      <c r="K19" s="1141"/>
      <c r="L19" s="1141"/>
      <c r="M19" s="1141"/>
      <c r="N19" s="1141"/>
      <c r="O19" s="1141"/>
      <c r="P19" s="1141"/>
      <c r="Q19" s="1142"/>
      <c r="R19" s="824"/>
      <c r="S19" s="824"/>
    </row>
    <row r="20" spans="1:19" ht="24.6" customHeight="1">
      <c r="A20" s="1140" t="s">
        <v>2350</v>
      </c>
      <c r="B20" s="1141"/>
      <c r="C20" s="1141"/>
      <c r="D20" s="1141"/>
      <c r="E20" s="1141"/>
      <c r="F20" s="1141"/>
      <c r="G20" s="1141"/>
      <c r="H20" s="1141"/>
      <c r="I20" s="1141"/>
      <c r="J20" s="1141"/>
      <c r="K20" s="1141"/>
      <c r="L20" s="1141"/>
      <c r="M20" s="1141"/>
      <c r="N20" s="1141"/>
      <c r="O20" s="1141"/>
      <c r="P20" s="1141"/>
      <c r="Q20" s="1142"/>
      <c r="R20" s="824"/>
      <c r="S20" s="824"/>
    </row>
    <row r="21" spans="1:19" ht="24.6" customHeight="1">
      <c r="A21" s="1140" t="s">
        <v>2351</v>
      </c>
      <c r="B21" s="1141"/>
      <c r="C21" s="1141"/>
      <c r="D21" s="1141"/>
      <c r="E21" s="1141"/>
      <c r="F21" s="1141"/>
      <c r="G21" s="1141"/>
      <c r="H21" s="1141"/>
      <c r="I21" s="1141"/>
      <c r="J21" s="1141"/>
      <c r="K21" s="1141"/>
      <c r="L21" s="1141"/>
      <c r="M21" s="1141"/>
      <c r="N21" s="1141"/>
      <c r="O21" s="1141"/>
      <c r="P21" s="1141"/>
      <c r="Q21" s="1142"/>
    </row>
    <row r="22" spans="1:19" ht="24.6" customHeight="1">
      <c r="A22" s="1140" t="s">
        <v>2352</v>
      </c>
      <c r="B22" s="1141"/>
      <c r="C22" s="1141"/>
      <c r="D22" s="1141"/>
      <c r="E22" s="1141"/>
      <c r="F22" s="1141"/>
      <c r="G22" s="1141"/>
      <c r="H22" s="1141"/>
      <c r="I22" s="1141"/>
      <c r="J22" s="1141"/>
      <c r="K22" s="1141"/>
      <c r="L22" s="1141"/>
      <c r="M22" s="1141"/>
      <c r="N22" s="1141"/>
      <c r="O22" s="1141"/>
      <c r="P22" s="1141"/>
      <c r="Q22" s="1142"/>
      <c r="R22" s="884" t="s">
        <v>2358</v>
      </c>
      <c r="S22" s="884"/>
    </row>
    <row r="23" spans="1:19" ht="24.6" customHeight="1">
      <c r="A23" s="1140" t="s">
        <v>2353</v>
      </c>
      <c r="B23" s="1141"/>
      <c r="C23" s="1141"/>
      <c r="D23" s="1141"/>
      <c r="E23" s="1141"/>
      <c r="F23" s="1141"/>
      <c r="G23" s="1141"/>
      <c r="H23" s="1141"/>
      <c r="I23" s="1141"/>
      <c r="J23" s="1141"/>
      <c r="K23" s="1141"/>
      <c r="L23" s="1141"/>
      <c r="M23" s="1141"/>
      <c r="N23" s="1141"/>
      <c r="O23" s="1141"/>
      <c r="P23" s="1141"/>
      <c r="Q23" s="1142"/>
      <c r="R23" s="884"/>
      <c r="S23" s="884"/>
    </row>
    <row r="24" spans="1:19" ht="24.6" customHeight="1">
      <c r="A24" s="1140" t="s">
        <v>2354</v>
      </c>
      <c r="B24" s="1141"/>
      <c r="C24" s="1141"/>
      <c r="D24" s="1141"/>
      <c r="E24" s="1141"/>
      <c r="F24" s="1141"/>
      <c r="G24" s="1141"/>
      <c r="H24" s="1141"/>
      <c r="I24" s="1141"/>
      <c r="J24" s="1141"/>
      <c r="K24" s="1141"/>
      <c r="L24" s="1141"/>
      <c r="M24" s="1141"/>
      <c r="N24" s="1141"/>
      <c r="O24" s="1141"/>
      <c r="P24" s="1141"/>
      <c r="Q24" s="1142"/>
      <c r="R24" s="884"/>
      <c r="S24" s="884"/>
    </row>
    <row r="25" spans="1:19" ht="24.6" customHeight="1">
      <c r="A25" s="1140" t="s">
        <v>2355</v>
      </c>
      <c r="B25" s="1141"/>
      <c r="C25" s="1141"/>
      <c r="D25" s="1141"/>
      <c r="E25" s="1141"/>
      <c r="F25" s="1141"/>
      <c r="G25" s="1141"/>
      <c r="H25" s="1141"/>
      <c r="I25" s="1141"/>
      <c r="J25" s="1141"/>
      <c r="K25" s="1141"/>
      <c r="L25" s="1141"/>
      <c r="M25" s="1141"/>
      <c r="N25" s="1141"/>
      <c r="O25" s="1141"/>
      <c r="P25" s="1141"/>
      <c r="Q25" s="1142"/>
      <c r="R25" s="884"/>
      <c r="S25" s="884"/>
    </row>
    <row r="26" spans="1:19" ht="24.6" customHeight="1">
      <c r="A26" s="1140" t="s">
        <v>2356</v>
      </c>
      <c r="B26" s="1141"/>
      <c r="C26" s="1141"/>
      <c r="D26" s="1141"/>
      <c r="E26" s="1141"/>
      <c r="F26" s="1141"/>
      <c r="G26" s="1141"/>
      <c r="H26" s="1141"/>
      <c r="I26" s="1141"/>
      <c r="J26" s="1141"/>
      <c r="K26" s="1141"/>
      <c r="L26" s="1141"/>
      <c r="M26" s="1141"/>
      <c r="N26" s="1141"/>
      <c r="O26" s="1141"/>
      <c r="P26" s="1141"/>
      <c r="Q26" s="1142"/>
      <c r="R26" s="824"/>
      <c r="S26" s="824"/>
    </row>
    <row r="27" spans="1:19" ht="24.6" customHeight="1">
      <c r="A27" s="1137" t="s">
        <v>2357</v>
      </c>
      <c r="B27" s="1138"/>
      <c r="C27" s="1138"/>
      <c r="D27" s="1138"/>
      <c r="E27" s="1138"/>
      <c r="F27" s="1138"/>
      <c r="G27" s="1138"/>
      <c r="H27" s="1138"/>
      <c r="I27" s="1138"/>
      <c r="J27" s="1138"/>
      <c r="K27" s="1138"/>
      <c r="L27" s="1138"/>
      <c r="M27" s="1138"/>
      <c r="N27" s="1138"/>
      <c r="O27" s="1138"/>
      <c r="P27" s="1138"/>
      <c r="Q27" s="1139"/>
      <c r="R27" s="824"/>
      <c r="S27" s="824"/>
    </row>
    <row r="28" spans="1:19" ht="6" customHeight="1"/>
    <row r="29" spans="1:19" ht="13.9" customHeight="1">
      <c r="A29" s="178">
        <v>1</v>
      </c>
      <c r="B29" s="179" t="s">
        <v>3548</v>
      </c>
      <c r="C29" s="180"/>
      <c r="D29" s="116"/>
      <c r="E29" s="116"/>
      <c r="F29" s="116"/>
      <c r="G29" s="116"/>
      <c r="I29" s="181"/>
      <c r="J29" s="181"/>
      <c r="K29" s="181"/>
      <c r="L29" s="846"/>
      <c r="M29" s="846"/>
      <c r="O29" s="182" t="s">
        <v>350</v>
      </c>
      <c r="P29" s="1111"/>
      <c r="Q29" s="1112"/>
    </row>
    <row r="30" spans="1:19" ht="3" customHeight="1"/>
    <row r="31" spans="1:19" ht="12" customHeight="1">
      <c r="B31" s="193" t="s">
        <v>2308</v>
      </c>
      <c r="C31" s="63" t="s">
        <v>3810</v>
      </c>
      <c r="E31" s="38"/>
      <c r="F31" s="38"/>
      <c r="G31" s="38"/>
      <c r="H31" s="38"/>
      <c r="I31" s="50"/>
      <c r="J31" s="40"/>
      <c r="K31" s="50"/>
      <c r="L31" s="40"/>
      <c r="M31" s="40"/>
      <c r="O31" s="80" t="s">
        <v>815</v>
      </c>
      <c r="P31" s="1560" t="s">
        <v>4060</v>
      </c>
      <c r="Q31" s="234"/>
    </row>
    <row r="32" spans="1:19" ht="12" customHeight="1">
      <c r="B32" s="55" t="s">
        <v>2311</v>
      </c>
      <c r="C32" s="63" t="s">
        <v>2632</v>
      </c>
      <c r="E32" s="38"/>
      <c r="F32" s="38"/>
      <c r="G32" s="38"/>
      <c r="H32" s="38"/>
      <c r="J32" s="1561" t="s">
        <v>4085</v>
      </c>
      <c r="K32" s="1562"/>
      <c r="L32" s="1562"/>
      <c r="M32" s="1562"/>
      <c r="N32" s="1563"/>
      <c r="O32" s="80"/>
      <c r="P32" s="80"/>
      <c r="Q32" s="80"/>
    </row>
    <row r="33" spans="1:31" ht="11.25" customHeight="1">
      <c r="B33" s="81" t="s">
        <v>348</v>
      </c>
      <c r="C33" s="81"/>
      <c r="D33" s="81"/>
      <c r="E33" s="81"/>
      <c r="F33" s="81"/>
      <c r="G33" s="181"/>
      <c r="H33" s="181"/>
      <c r="I33" s="181"/>
      <c r="J33" s="181"/>
      <c r="K33" s="846"/>
      <c r="L33" s="846"/>
      <c r="M33" s="846"/>
      <c r="N33" s="846"/>
      <c r="O33" s="846"/>
      <c r="P33" s="61"/>
      <c r="S33" s="217"/>
      <c r="T33" s="217"/>
    </row>
    <row r="34" spans="1:31" ht="12" customHeight="1">
      <c r="A34" s="1564" t="s">
        <v>202</v>
      </c>
      <c r="B34" s="1565"/>
      <c r="C34" s="1565"/>
      <c r="D34" s="1565"/>
      <c r="E34" s="1565"/>
      <c r="F34" s="1565"/>
      <c r="G34" s="1565"/>
      <c r="H34" s="1565"/>
      <c r="I34" s="1565"/>
      <c r="J34" s="1565"/>
      <c r="K34" s="1565"/>
      <c r="L34" s="1565"/>
      <c r="M34" s="1565"/>
      <c r="N34" s="1565"/>
      <c r="O34" s="1565"/>
      <c r="P34" s="1565"/>
      <c r="Q34" s="1566"/>
      <c r="R34" s="738" t="s">
        <v>3276</v>
      </c>
      <c r="S34" s="739"/>
      <c r="T34" s="217"/>
      <c r="U34" s="187"/>
      <c r="V34" s="187"/>
      <c r="W34" s="187"/>
      <c r="X34" s="187"/>
      <c r="Y34" s="187"/>
      <c r="Z34" s="187"/>
      <c r="AA34" s="187"/>
      <c r="AB34" s="187"/>
      <c r="AC34" s="187"/>
      <c r="AD34" s="187"/>
      <c r="AE34" s="804"/>
    </row>
    <row r="35" spans="1:31" ht="11.25" customHeight="1">
      <c r="B35" s="188" t="s">
        <v>349</v>
      </c>
      <c r="C35" s="189"/>
      <c r="D35" s="853"/>
      <c r="E35" s="853"/>
      <c r="F35" s="853"/>
      <c r="G35" s="853"/>
      <c r="H35" s="853"/>
      <c r="I35" s="853"/>
      <c r="J35" s="853"/>
      <c r="K35" s="853"/>
      <c r="L35" s="853"/>
      <c r="M35" s="853"/>
      <c r="N35" s="853"/>
      <c r="O35" s="853"/>
      <c r="P35" s="853"/>
    </row>
    <row r="36" spans="1:31" ht="12" customHeight="1">
      <c r="A36" s="1133"/>
      <c r="B36" s="1134"/>
      <c r="C36" s="1134"/>
      <c r="D36" s="1134"/>
      <c r="E36" s="1134"/>
      <c r="F36" s="1134"/>
      <c r="G36" s="1134"/>
      <c r="H36" s="1134"/>
      <c r="I36" s="1134"/>
      <c r="J36" s="1134"/>
      <c r="K36" s="1134"/>
      <c r="L36" s="1134"/>
      <c r="M36" s="1134"/>
      <c r="N36" s="1134"/>
      <c r="O36" s="1134"/>
      <c r="P36" s="1134"/>
      <c r="Q36" s="1135"/>
      <c r="R36" s="738" t="s">
        <v>3276</v>
      </c>
      <c r="S36" s="739"/>
    </row>
    <row r="37" spans="1:31" ht="12" customHeight="1">
      <c r="A37" s="1164"/>
      <c r="B37" s="1165"/>
      <c r="C37" s="1165"/>
      <c r="D37" s="1165"/>
      <c r="E37" s="1165"/>
      <c r="F37" s="1165"/>
      <c r="G37" s="1165"/>
      <c r="H37" s="1165"/>
      <c r="I37" s="1165"/>
      <c r="J37" s="1165"/>
      <c r="K37" s="1165"/>
      <c r="L37" s="1165"/>
      <c r="M37" s="1165"/>
      <c r="N37" s="1165"/>
      <c r="O37" s="1165"/>
      <c r="P37" s="1165"/>
      <c r="Q37" s="1166"/>
    </row>
    <row r="38" spans="1:31" ht="12" customHeight="1">
      <c r="A38" s="1164"/>
      <c r="B38" s="1165"/>
      <c r="C38" s="1165"/>
      <c r="D38" s="1165"/>
      <c r="E38" s="1165"/>
      <c r="F38" s="1165"/>
      <c r="G38" s="1165"/>
      <c r="H38" s="1165"/>
      <c r="I38" s="1165"/>
      <c r="J38" s="1165"/>
      <c r="K38" s="1165"/>
      <c r="L38" s="1165"/>
      <c r="M38" s="1165"/>
      <c r="N38" s="1165"/>
      <c r="O38" s="1165"/>
      <c r="P38" s="1165"/>
      <c r="Q38" s="1166"/>
    </row>
    <row r="39" spans="1:31" ht="12" customHeight="1">
      <c r="A39" s="1130"/>
      <c r="B39" s="1131"/>
      <c r="C39" s="1131"/>
      <c r="D39" s="1131"/>
      <c r="E39" s="1131"/>
      <c r="F39" s="1131"/>
      <c r="G39" s="1131"/>
      <c r="H39" s="1131"/>
      <c r="I39" s="1131"/>
      <c r="J39" s="1131"/>
      <c r="K39" s="1131"/>
      <c r="L39" s="1131"/>
      <c r="M39" s="1131"/>
      <c r="N39" s="1131"/>
      <c r="O39" s="1131"/>
      <c r="P39" s="1131"/>
      <c r="Q39" s="1132"/>
    </row>
    <row r="40" spans="1:31" ht="3" customHeight="1">
      <c r="B40" s="181"/>
      <c r="C40" s="853"/>
      <c r="D40" s="853"/>
      <c r="E40" s="853"/>
      <c r="F40" s="853"/>
      <c r="G40" s="853"/>
      <c r="H40" s="853"/>
      <c r="I40" s="853"/>
      <c r="J40" s="853"/>
      <c r="K40" s="853"/>
      <c r="L40" s="853"/>
      <c r="M40" s="853"/>
      <c r="N40" s="853"/>
      <c r="O40" s="853"/>
      <c r="P40" s="853"/>
      <c r="Q40" s="846"/>
    </row>
    <row r="41" spans="1:31" ht="13.9" customHeight="1">
      <c r="A41" s="854">
        <v>2</v>
      </c>
      <c r="B41" s="5" t="s">
        <v>3230</v>
      </c>
      <c r="C41" s="5"/>
      <c r="D41" s="5"/>
      <c r="E41" s="853"/>
      <c r="F41" s="853"/>
      <c r="G41" s="853"/>
      <c r="H41" s="853"/>
      <c r="K41" s="853"/>
      <c r="L41" s="853"/>
      <c r="M41" s="853"/>
      <c r="O41" s="182" t="s">
        <v>350</v>
      </c>
      <c r="P41" s="1111"/>
      <c r="Q41" s="1112"/>
    </row>
    <row r="42" spans="1:31" ht="3" customHeight="1"/>
    <row r="43" spans="1:31" ht="11.45" customHeight="1">
      <c r="A43" s="190"/>
      <c r="C43" s="191" t="s">
        <v>1614</v>
      </c>
      <c r="D43" s="191"/>
      <c r="E43" s="191"/>
      <c r="F43" s="191"/>
      <c r="G43" s="191"/>
      <c r="H43" s="191"/>
      <c r="J43" s="1567" t="str">
        <f>'Part I-Project Information'!$H$65</f>
        <v>Family</v>
      </c>
      <c r="K43" s="1568"/>
      <c r="L43" s="1569"/>
      <c r="M43" s="853"/>
      <c r="N43" s="853"/>
      <c r="P43" s="1560" t="s">
        <v>4060</v>
      </c>
      <c r="Q43" s="234"/>
    </row>
    <row r="44" spans="1:31" ht="11.25" customHeight="1">
      <c r="B44" s="128" t="s">
        <v>348</v>
      </c>
      <c r="D44" s="128"/>
      <c r="E44" s="128"/>
      <c r="F44" s="128"/>
      <c r="G44" s="128"/>
      <c r="H44" s="48"/>
      <c r="I44" s="181"/>
      <c r="J44" s="181"/>
      <c r="K44" s="188" t="s">
        <v>349</v>
      </c>
      <c r="L44" s="846"/>
      <c r="M44" s="846"/>
      <c r="N44" s="846"/>
      <c r="O44" s="846"/>
      <c r="P44" s="846"/>
      <c r="Q44" s="61"/>
    </row>
    <row r="45" spans="1:31" ht="21.75" customHeight="1">
      <c r="A45" s="1564" t="s">
        <v>362</v>
      </c>
      <c r="B45" s="1565"/>
      <c r="C45" s="1565"/>
      <c r="D45" s="1565"/>
      <c r="E45" s="1565"/>
      <c r="F45" s="1565"/>
      <c r="G45" s="1565"/>
      <c r="H45" s="1565"/>
      <c r="I45" s="1565"/>
      <c r="J45" s="1566"/>
      <c r="K45" s="1107"/>
      <c r="L45" s="1108"/>
      <c r="M45" s="1108"/>
      <c r="N45" s="1108"/>
      <c r="O45" s="1108"/>
      <c r="P45" s="1108"/>
      <c r="Q45" s="1109"/>
      <c r="U45" s="187"/>
      <c r="V45" s="187"/>
      <c r="W45" s="187"/>
      <c r="X45" s="187"/>
      <c r="Y45" s="187"/>
      <c r="Z45" s="187"/>
      <c r="AA45" s="187"/>
      <c r="AB45" s="187"/>
      <c r="AC45" s="187"/>
      <c r="AD45" s="187"/>
      <c r="AE45" s="804"/>
    </row>
    <row r="46" spans="1:31" ht="3" customHeight="1">
      <c r="A46" s="846"/>
      <c r="B46" s="181"/>
      <c r="C46" s="853"/>
      <c r="D46" s="853"/>
      <c r="E46" s="853"/>
      <c r="F46" s="853"/>
      <c r="G46" s="853"/>
      <c r="H46" s="853"/>
      <c r="I46" s="853"/>
      <c r="J46" s="853"/>
      <c r="K46" s="853"/>
      <c r="L46" s="853"/>
      <c r="M46" s="853"/>
      <c r="N46" s="853"/>
      <c r="O46" s="853"/>
      <c r="P46" s="853"/>
      <c r="Q46" s="846"/>
    </row>
    <row r="47" spans="1:31" ht="13.9" customHeight="1">
      <c r="A47" s="854">
        <v>3</v>
      </c>
      <c r="B47" s="854" t="s">
        <v>3549</v>
      </c>
      <c r="C47" s="155"/>
      <c r="D47" s="853"/>
      <c r="E47" s="853"/>
      <c r="F47" s="853"/>
      <c r="G47" s="853"/>
      <c r="H47" s="853"/>
      <c r="I47" s="853"/>
      <c r="J47" s="853"/>
      <c r="K47" s="853"/>
      <c r="L47" s="853"/>
      <c r="M47" s="853"/>
      <c r="O47" s="182" t="s">
        <v>350</v>
      </c>
      <c r="P47" s="1111"/>
      <c r="Q47" s="1112"/>
    </row>
    <row r="48" spans="1:31" ht="3" customHeight="1"/>
    <row r="49" spans="1:31" ht="12.6" customHeight="1">
      <c r="B49" s="193" t="s">
        <v>2308</v>
      </c>
      <c r="C49" s="1136" t="s">
        <v>402</v>
      </c>
      <c r="D49" s="1136"/>
      <c r="E49" s="1136"/>
      <c r="F49" s="1136"/>
      <c r="G49" s="1136"/>
      <c r="H49" s="1136"/>
      <c r="I49" s="1136"/>
      <c r="J49" s="1136"/>
      <c r="K49" s="1136"/>
      <c r="L49" s="1136"/>
      <c r="M49" s="1136"/>
      <c r="O49" s="194"/>
      <c r="P49" s="1560" t="s">
        <v>4086</v>
      </c>
      <c r="Q49" s="234"/>
    </row>
    <row r="50" spans="1:31" ht="12" customHeight="1">
      <c r="B50" s="55" t="s">
        <v>2311</v>
      </c>
      <c r="C50" s="38" t="s">
        <v>3865</v>
      </c>
      <c r="D50" s="38"/>
      <c r="E50" s="38"/>
      <c r="F50" s="38"/>
      <c r="G50" s="38"/>
      <c r="H50" s="38"/>
      <c r="I50" s="38"/>
      <c r="J50" s="38"/>
      <c r="K50" s="38"/>
      <c r="L50" s="38"/>
      <c r="M50" s="38"/>
      <c r="O50" s="38"/>
      <c r="P50" s="38"/>
      <c r="Q50" s="38"/>
    </row>
    <row r="51" spans="1:31" ht="10.9" customHeight="1">
      <c r="A51" s="195"/>
      <c r="B51" s="50"/>
      <c r="C51" s="80" t="s">
        <v>3747</v>
      </c>
      <c r="D51" s="38" t="s">
        <v>784</v>
      </c>
      <c r="E51" s="851"/>
      <c r="F51" s="851"/>
      <c r="G51" s="851"/>
      <c r="H51" s="40"/>
      <c r="I51" s="50"/>
      <c r="J51" s="50"/>
      <c r="K51" s="50"/>
      <c r="L51" s="40"/>
      <c r="M51" s="40"/>
      <c r="O51" s="80" t="s">
        <v>3747</v>
      </c>
      <c r="P51" s="1560" t="s">
        <v>4060</v>
      </c>
      <c r="Q51" s="234"/>
    </row>
    <row r="52" spans="1:31" ht="10.9" customHeight="1">
      <c r="A52" s="195"/>
      <c r="B52" s="50"/>
      <c r="C52" s="80" t="s">
        <v>3748</v>
      </c>
      <c r="D52" s="38" t="s">
        <v>248</v>
      </c>
      <c r="E52" s="851"/>
      <c r="F52" s="851"/>
      <c r="G52" s="851"/>
      <c r="H52" s="40"/>
      <c r="I52" s="50"/>
      <c r="J52" s="50"/>
      <c r="O52" s="80" t="s">
        <v>3748</v>
      </c>
      <c r="P52" s="1560"/>
      <c r="Q52" s="234"/>
    </row>
    <row r="53" spans="1:31" ht="10.9" customHeight="1">
      <c r="A53" s="195"/>
      <c r="B53" s="50"/>
      <c r="C53" s="80" t="s">
        <v>3749</v>
      </c>
      <c r="D53" s="38" t="s">
        <v>403</v>
      </c>
      <c r="E53" s="851"/>
      <c r="J53" s="80"/>
      <c r="K53" s="80" t="s">
        <v>3749</v>
      </c>
      <c r="L53" s="1570"/>
      <c r="M53" s="1571"/>
      <c r="N53" s="1571"/>
      <c r="O53" s="1571"/>
      <c r="P53" s="1572"/>
      <c r="Q53" s="234"/>
    </row>
    <row r="54" spans="1:31" ht="11.25" customHeight="1">
      <c r="B54" s="128" t="s">
        <v>348</v>
      </c>
      <c r="D54" s="128"/>
      <c r="E54" s="128"/>
      <c r="F54" s="128"/>
      <c r="G54" s="128"/>
      <c r="H54" s="48"/>
      <c r="I54" s="181"/>
      <c r="J54" s="181"/>
      <c r="K54" s="181"/>
      <c r="L54" s="846"/>
      <c r="M54" s="846"/>
      <c r="N54" s="846"/>
      <c r="O54" s="846"/>
      <c r="P54" s="846"/>
      <c r="Q54" s="61"/>
    </row>
    <row r="55" spans="1:31" ht="12" customHeight="1">
      <c r="A55" s="1564" t="s">
        <v>363</v>
      </c>
      <c r="B55" s="1565"/>
      <c r="C55" s="1565"/>
      <c r="D55" s="1565"/>
      <c r="E55" s="1565"/>
      <c r="F55" s="1565"/>
      <c r="G55" s="1565"/>
      <c r="H55" s="1565"/>
      <c r="I55" s="1565"/>
      <c r="J55" s="1565"/>
      <c r="K55" s="1565"/>
      <c r="L55" s="1565"/>
      <c r="M55" s="1565"/>
      <c r="N55" s="1565"/>
      <c r="O55" s="1565"/>
      <c r="P55" s="1565"/>
      <c r="Q55" s="1566"/>
      <c r="U55" s="187"/>
      <c r="V55" s="187"/>
      <c r="W55" s="187"/>
      <c r="X55" s="187"/>
      <c r="Y55" s="187"/>
      <c r="Z55" s="187"/>
      <c r="AA55" s="187"/>
      <c r="AB55" s="187"/>
      <c r="AC55" s="187"/>
      <c r="AD55" s="187"/>
      <c r="AE55" s="804"/>
    </row>
    <row r="56" spans="1:31" ht="11.25" customHeight="1">
      <c r="B56" s="188" t="s">
        <v>349</v>
      </c>
      <c r="C56" s="189"/>
      <c r="D56" s="853"/>
      <c r="E56" s="853"/>
      <c r="F56" s="853"/>
      <c r="G56" s="853"/>
      <c r="H56" s="853"/>
      <c r="I56" s="853"/>
      <c r="J56" s="853"/>
      <c r="K56" s="853"/>
      <c r="L56" s="853"/>
      <c r="M56" s="853"/>
      <c r="N56" s="853"/>
      <c r="O56" s="853"/>
      <c r="P56" s="853"/>
      <c r="Q56" s="853"/>
    </row>
    <row r="57" spans="1:31" ht="12" customHeight="1">
      <c r="A57" s="1107"/>
      <c r="B57" s="1108"/>
      <c r="C57" s="1108"/>
      <c r="D57" s="1108"/>
      <c r="E57" s="1108"/>
      <c r="F57" s="1108"/>
      <c r="G57" s="1108"/>
      <c r="H57" s="1108"/>
      <c r="I57" s="1108"/>
      <c r="J57" s="1108"/>
      <c r="K57" s="1108"/>
      <c r="L57" s="1108"/>
      <c r="M57" s="1108"/>
      <c r="N57" s="1108"/>
      <c r="O57" s="1108"/>
      <c r="P57" s="1108"/>
      <c r="Q57" s="1109"/>
    </row>
    <row r="58" spans="1:31" ht="4.9000000000000004" customHeight="1">
      <c r="A58" s="846"/>
      <c r="B58" s="181"/>
      <c r="C58" s="853"/>
      <c r="D58" s="853"/>
      <c r="E58" s="853"/>
      <c r="F58" s="853"/>
      <c r="G58" s="853"/>
      <c r="H58" s="853"/>
      <c r="I58" s="853"/>
      <c r="J58" s="853"/>
      <c r="K58" s="853"/>
      <c r="L58" s="853"/>
      <c r="M58" s="853"/>
      <c r="N58" s="853"/>
      <c r="O58" s="853"/>
      <c r="P58" s="853"/>
      <c r="Q58" s="846"/>
    </row>
    <row r="59" spans="1:31" ht="13.9" customHeight="1">
      <c r="A59" s="854">
        <v>4</v>
      </c>
      <c r="B59" s="854" t="s">
        <v>3550</v>
      </c>
      <c r="C59" s="854"/>
      <c r="D59" s="853"/>
      <c r="E59" s="853"/>
      <c r="F59" s="853"/>
      <c r="G59" s="853"/>
      <c r="H59" s="853"/>
      <c r="I59" s="853"/>
      <c r="J59" s="853"/>
      <c r="K59" s="853"/>
      <c r="O59" s="182" t="s">
        <v>350</v>
      </c>
      <c r="P59" s="1111"/>
      <c r="Q59" s="1112"/>
    </row>
    <row r="60" spans="1:31" ht="3" customHeight="1"/>
    <row r="61" spans="1:31" ht="12" customHeight="1">
      <c r="B61" s="55" t="s">
        <v>2308</v>
      </c>
      <c r="C61" s="196" t="s">
        <v>3781</v>
      </c>
      <c r="D61" s="184"/>
      <c r="E61" s="184"/>
      <c r="F61" s="184"/>
      <c r="G61" s="184"/>
      <c r="H61" s="184"/>
      <c r="I61" s="50"/>
      <c r="J61" s="50"/>
      <c r="K61" s="50"/>
      <c r="L61" s="60" t="s">
        <v>2308</v>
      </c>
      <c r="M61" s="1570" t="s">
        <v>4122</v>
      </c>
      <c r="N61" s="1571"/>
      <c r="O61" s="1571"/>
      <c r="P61" s="1573"/>
      <c r="Q61" s="234"/>
    </row>
    <row r="62" spans="1:31" ht="12" customHeight="1">
      <c r="B62" s="55" t="s">
        <v>2311</v>
      </c>
      <c r="C62" s="63" t="s">
        <v>2364</v>
      </c>
      <c r="D62" s="184"/>
      <c r="E62" s="184"/>
      <c r="F62" s="184"/>
      <c r="L62" s="60" t="s">
        <v>2311</v>
      </c>
      <c r="M62" s="1570" t="s">
        <v>4125</v>
      </c>
      <c r="N62" s="1571"/>
      <c r="O62" s="1571"/>
      <c r="P62" s="1573"/>
      <c r="Q62" s="234"/>
    </row>
    <row r="63" spans="1:31" ht="12" customHeight="1">
      <c r="B63" s="55" t="s">
        <v>2783</v>
      </c>
      <c r="C63" s="63" t="s">
        <v>3782</v>
      </c>
      <c r="D63" s="184"/>
      <c r="E63" s="184"/>
      <c r="F63" s="184"/>
      <c r="L63" s="60" t="s">
        <v>2783</v>
      </c>
      <c r="M63" s="1570" t="s">
        <v>4124</v>
      </c>
      <c r="N63" s="1571"/>
      <c r="O63" s="1571"/>
      <c r="P63" s="1573"/>
      <c r="Q63" s="354"/>
    </row>
    <row r="64" spans="1:31" ht="12" customHeight="1">
      <c r="B64" s="55" t="s">
        <v>2482</v>
      </c>
      <c r="C64" s="63" t="s">
        <v>3783</v>
      </c>
      <c r="D64" s="184"/>
      <c r="E64" s="184"/>
      <c r="F64" s="184"/>
      <c r="L64" s="60" t="s">
        <v>2482</v>
      </c>
      <c r="M64" s="1570" t="s">
        <v>4123</v>
      </c>
      <c r="N64" s="1571"/>
      <c r="O64" s="1571"/>
      <c r="P64" s="1573"/>
      <c r="Q64" s="234"/>
    </row>
    <row r="65" spans="1:31" ht="22.15" customHeight="1">
      <c r="B65" s="193" t="s">
        <v>3745</v>
      </c>
      <c r="C65" s="1110" t="s">
        <v>3811</v>
      </c>
      <c r="D65" s="1110"/>
      <c r="E65" s="1110"/>
      <c r="F65" s="1110"/>
      <c r="G65" s="1110"/>
      <c r="H65" s="1110"/>
      <c r="I65" s="1110"/>
      <c r="J65" s="1110"/>
      <c r="K65" s="1110"/>
      <c r="L65" s="1110"/>
      <c r="M65" s="851"/>
      <c r="O65" s="60" t="s">
        <v>3745</v>
      </c>
      <c r="P65" s="1560" t="s">
        <v>4060</v>
      </c>
      <c r="Q65" s="234"/>
    </row>
    <row r="66" spans="1:31" ht="12" customHeight="1">
      <c r="B66" s="55"/>
      <c r="C66" s="63"/>
      <c r="D66" s="822" t="s">
        <v>2862</v>
      </c>
      <c r="E66" s="38" t="s">
        <v>840</v>
      </c>
      <c r="F66" s="38"/>
      <c r="H66" s="63"/>
      <c r="I66" s="822" t="s">
        <v>2862</v>
      </c>
      <c r="J66" s="38" t="s">
        <v>840</v>
      </c>
      <c r="K66" s="38"/>
      <c r="M66" s="63"/>
      <c r="N66" s="822" t="s">
        <v>2862</v>
      </c>
      <c r="O66" s="38" t="s">
        <v>840</v>
      </c>
      <c r="P66" s="38"/>
      <c r="Q66" s="60"/>
    </row>
    <row r="67" spans="1:31" ht="12" customHeight="1">
      <c r="B67" s="55"/>
      <c r="C67" s="63">
        <v>1</v>
      </c>
      <c r="D67" s="1574" t="s">
        <v>4127</v>
      </c>
      <c r="E67" s="1575" t="s">
        <v>4126</v>
      </c>
      <c r="F67" s="1575"/>
      <c r="G67" s="1575"/>
      <c r="H67" s="63">
        <v>3</v>
      </c>
      <c r="I67" s="1574"/>
      <c r="J67" s="1575"/>
      <c r="K67" s="1575"/>
      <c r="L67" s="1575"/>
      <c r="M67" s="63">
        <v>5</v>
      </c>
      <c r="N67" s="1574"/>
      <c r="O67" s="1575"/>
      <c r="P67" s="1575"/>
      <c r="Q67" s="1575"/>
    </row>
    <row r="68" spans="1:31" ht="12" customHeight="1">
      <c r="B68" s="55"/>
      <c r="C68" s="63">
        <v>2</v>
      </c>
      <c r="D68" s="1574"/>
      <c r="E68" s="1575"/>
      <c r="F68" s="1575"/>
      <c r="G68" s="1575"/>
      <c r="H68" s="63">
        <v>4</v>
      </c>
      <c r="I68" s="1574"/>
      <c r="J68" s="1575"/>
      <c r="K68" s="1575"/>
      <c r="L68" s="1575"/>
      <c r="M68" s="63">
        <v>6</v>
      </c>
      <c r="N68" s="1574"/>
      <c r="O68" s="1575"/>
      <c r="P68" s="1575"/>
      <c r="Q68" s="1575"/>
    </row>
    <row r="69" spans="1:31" ht="12" customHeight="1">
      <c r="B69" s="55" t="s">
        <v>3746</v>
      </c>
      <c r="C69" s="63" t="s">
        <v>1506</v>
      </c>
      <c r="D69" s="184"/>
      <c r="E69" s="184"/>
      <c r="F69" s="184"/>
      <c r="G69" s="184"/>
      <c r="H69" s="184"/>
      <c r="I69" s="50"/>
      <c r="J69" s="50"/>
      <c r="K69" s="184"/>
      <c r="L69" s="851"/>
      <c r="M69" s="851"/>
      <c r="O69" s="60" t="s">
        <v>3746</v>
      </c>
      <c r="P69" s="1576" t="s">
        <v>4060</v>
      </c>
      <c r="Q69" s="354"/>
    </row>
    <row r="70" spans="1:31" ht="11.25" customHeight="1">
      <c r="B70" s="192" t="s">
        <v>348</v>
      </c>
      <c r="D70" s="192"/>
      <c r="E70" s="192"/>
      <c r="F70" s="192"/>
      <c r="G70" s="192"/>
      <c r="H70" s="48"/>
      <c r="I70" s="181"/>
      <c r="J70" s="181"/>
      <c r="K70" s="181"/>
      <c r="L70" s="846"/>
      <c r="M70" s="846"/>
      <c r="N70" s="846"/>
      <c r="O70" s="846"/>
      <c r="P70" s="846"/>
      <c r="Q70" s="61"/>
    </row>
    <row r="71" spans="1:31" ht="22.9" customHeight="1">
      <c r="A71" s="1564" t="s">
        <v>302</v>
      </c>
      <c r="B71" s="1565"/>
      <c r="C71" s="1565"/>
      <c r="D71" s="1565"/>
      <c r="E71" s="1565"/>
      <c r="F71" s="1565"/>
      <c r="G71" s="1565"/>
      <c r="H71" s="1565"/>
      <c r="I71" s="1565"/>
      <c r="J71" s="1565"/>
      <c r="K71" s="1565"/>
      <c r="L71" s="1565"/>
      <c r="M71" s="1565"/>
      <c r="N71" s="1565"/>
      <c r="O71" s="1565"/>
      <c r="P71" s="1565"/>
      <c r="Q71" s="1566"/>
      <c r="U71" s="187"/>
      <c r="V71" s="187"/>
      <c r="W71" s="187"/>
      <c r="X71" s="187"/>
      <c r="Y71" s="187"/>
      <c r="Z71" s="187"/>
      <c r="AA71" s="187"/>
      <c r="AB71" s="187"/>
      <c r="AC71" s="187"/>
      <c r="AD71" s="187"/>
      <c r="AE71" s="804"/>
    </row>
    <row r="72" spans="1:31" ht="11.25" customHeight="1">
      <c r="B72" s="188" t="s">
        <v>349</v>
      </c>
      <c r="C72" s="189"/>
      <c r="D72" s="853"/>
      <c r="E72" s="853"/>
      <c r="F72" s="853"/>
      <c r="G72" s="853"/>
      <c r="H72" s="853"/>
      <c r="I72" s="853"/>
      <c r="J72" s="853"/>
      <c r="K72" s="853"/>
      <c r="L72" s="853"/>
      <c r="M72" s="853"/>
      <c r="N72" s="853"/>
      <c r="O72" s="853"/>
      <c r="P72" s="853"/>
      <c r="Q72" s="853"/>
    </row>
    <row r="73" spans="1:31" ht="22.9" customHeight="1">
      <c r="A73" s="1107"/>
      <c r="B73" s="1108"/>
      <c r="C73" s="1108"/>
      <c r="D73" s="1108"/>
      <c r="E73" s="1108"/>
      <c r="F73" s="1108"/>
      <c r="G73" s="1108"/>
      <c r="H73" s="1108"/>
      <c r="I73" s="1108"/>
      <c r="J73" s="1108"/>
      <c r="K73" s="1108"/>
      <c r="L73" s="1108"/>
      <c r="M73" s="1108"/>
      <c r="N73" s="1108"/>
      <c r="O73" s="1108"/>
      <c r="P73" s="1108"/>
      <c r="Q73" s="1109"/>
    </row>
    <row r="74" spans="1:31" ht="13.9" customHeight="1">
      <c r="A74" s="854">
        <v>5</v>
      </c>
      <c r="B74" s="854" t="s">
        <v>3551</v>
      </c>
      <c r="C74" s="854"/>
      <c r="D74" s="853"/>
      <c r="E74" s="853"/>
      <c r="F74" s="853"/>
      <c r="G74" s="853"/>
      <c r="H74" s="853"/>
      <c r="I74" s="853"/>
      <c r="J74" s="853"/>
      <c r="K74" s="853"/>
      <c r="L74" s="853"/>
      <c r="M74" s="853"/>
      <c r="O74" s="182" t="s">
        <v>350</v>
      </c>
      <c r="P74" s="1111"/>
      <c r="Q74" s="1112"/>
    </row>
    <row r="75" spans="1:31" ht="3" customHeight="1"/>
    <row r="76" spans="1:31" ht="12" customHeight="1">
      <c r="B76" s="55" t="s">
        <v>2308</v>
      </c>
      <c r="C76" s="63" t="s">
        <v>650</v>
      </c>
      <c r="D76" s="63"/>
      <c r="E76" s="63"/>
      <c r="F76" s="63"/>
      <c r="G76" s="63"/>
      <c r="H76" s="63"/>
      <c r="I76" s="63"/>
      <c r="J76" s="63"/>
      <c r="K76" s="63"/>
      <c r="L76" s="63"/>
      <c r="M76" s="63"/>
      <c r="O76" s="60" t="s">
        <v>2308</v>
      </c>
      <c r="P76" s="1560" t="s">
        <v>4061</v>
      </c>
      <c r="Q76" s="234"/>
    </row>
    <row r="77" spans="1:31" ht="12" customHeight="1">
      <c r="B77" s="55" t="s">
        <v>2311</v>
      </c>
      <c r="C77" s="63" t="s">
        <v>3328</v>
      </c>
      <c r="D77" s="63"/>
      <c r="E77" s="63"/>
      <c r="F77" s="63"/>
      <c r="G77" s="63"/>
      <c r="H77" s="63"/>
      <c r="I77" s="63"/>
      <c r="J77" s="63"/>
      <c r="K77" s="63"/>
      <c r="L77" s="38"/>
      <c r="M77" s="38"/>
      <c r="O77" s="60" t="s">
        <v>2311</v>
      </c>
      <c r="P77" s="1560" t="s">
        <v>4060</v>
      </c>
      <c r="Q77" s="234"/>
    </row>
    <row r="78" spans="1:31" ht="12" customHeight="1">
      <c r="A78" s="183"/>
      <c r="B78" s="44"/>
      <c r="D78" s="47" t="s">
        <v>756</v>
      </c>
      <c r="E78" s="50"/>
      <c r="F78" s="50"/>
      <c r="G78" s="50"/>
      <c r="H78" s="50"/>
      <c r="I78" s="50"/>
      <c r="K78" s="47" t="s">
        <v>757</v>
      </c>
      <c r="M78" s="1577" t="s">
        <v>364</v>
      </c>
      <c r="N78" s="1578"/>
      <c r="O78" s="1578"/>
      <c r="P78" s="1579"/>
      <c r="Q78" s="234"/>
    </row>
    <row r="79" spans="1:31" ht="22.9" customHeight="1">
      <c r="A79" s="195"/>
      <c r="B79" s="181"/>
      <c r="C79" s="203" t="s">
        <v>3747</v>
      </c>
      <c r="D79" s="1090" t="s">
        <v>604</v>
      </c>
      <c r="E79" s="1580"/>
      <c r="F79" s="1580"/>
      <c r="G79" s="1580"/>
      <c r="H79" s="1580"/>
      <c r="I79" s="1580"/>
      <c r="J79" s="1580"/>
      <c r="K79" s="1580"/>
      <c r="L79" s="1580"/>
      <c r="M79" s="1580"/>
      <c r="N79" s="1580"/>
      <c r="O79" s="203" t="s">
        <v>3747</v>
      </c>
      <c r="P79" s="1560" t="s">
        <v>4060</v>
      </c>
      <c r="Q79" s="234"/>
    </row>
    <row r="80" spans="1:31" ht="12" customHeight="1">
      <c r="A80" s="195"/>
      <c r="B80" s="181"/>
      <c r="C80" s="80" t="s">
        <v>3748</v>
      </c>
      <c r="D80" s="63" t="s">
        <v>1957</v>
      </c>
      <c r="E80" s="63"/>
      <c r="F80" s="63"/>
      <c r="G80" s="63"/>
      <c r="H80" s="63"/>
      <c r="I80" s="63"/>
      <c r="J80" s="63"/>
      <c r="K80" s="63"/>
      <c r="L80" s="63"/>
      <c r="M80" s="63"/>
      <c r="O80" s="80" t="s">
        <v>3748</v>
      </c>
      <c r="P80" s="1560" t="s">
        <v>4060</v>
      </c>
      <c r="Q80" s="234"/>
    </row>
    <row r="81" spans="1:32" s="183" customFormat="1" ht="24.75" customHeight="1">
      <c r="A81" s="195"/>
      <c r="B81" s="714"/>
      <c r="C81" s="203" t="s">
        <v>3749</v>
      </c>
      <c r="D81" s="1110" t="s">
        <v>4028</v>
      </c>
      <c r="E81" s="1110"/>
      <c r="F81" s="1110"/>
      <c r="G81" s="1110"/>
      <c r="H81" s="1110"/>
      <c r="I81" s="1110"/>
      <c r="J81" s="1110"/>
      <c r="K81" s="1110"/>
      <c r="L81" s="1110"/>
      <c r="M81" s="1110"/>
      <c r="N81" s="1110"/>
      <c r="O81" s="203" t="s">
        <v>3749</v>
      </c>
      <c r="P81" s="1581"/>
      <c r="Q81" s="356"/>
      <c r="AE81" s="805"/>
      <c r="AF81" s="805"/>
    </row>
    <row r="82" spans="1:32" ht="12" customHeight="1">
      <c r="B82" s="55" t="s">
        <v>2783</v>
      </c>
      <c r="C82" s="63" t="s">
        <v>105</v>
      </c>
      <c r="D82" s="63"/>
      <c r="E82" s="63"/>
      <c r="F82" s="63"/>
      <c r="G82" s="63"/>
      <c r="H82" s="63"/>
      <c r="I82" s="63"/>
      <c r="J82" s="63"/>
      <c r="K82" s="63"/>
      <c r="L82" s="63"/>
      <c r="M82" s="63"/>
      <c r="O82" s="60" t="s">
        <v>2783</v>
      </c>
      <c r="P82" s="1560"/>
      <c r="Q82" s="234"/>
    </row>
    <row r="83" spans="1:32" ht="12" customHeight="1">
      <c r="B83" s="55" t="s">
        <v>2482</v>
      </c>
      <c r="C83" s="63" t="s">
        <v>3370</v>
      </c>
      <c r="D83" s="63"/>
      <c r="E83" s="63"/>
      <c r="G83" s="63"/>
      <c r="I83" s="63"/>
      <c r="K83" s="63"/>
      <c r="L83" s="38"/>
      <c r="M83" s="38"/>
      <c r="N83" s="38"/>
      <c r="O83" s="38"/>
      <c r="P83" s="38"/>
      <c r="Q83" s="38"/>
    </row>
    <row r="84" spans="1:32" ht="12" customHeight="1">
      <c r="B84" s="55"/>
      <c r="C84" s="80" t="s">
        <v>3747</v>
      </c>
      <c r="D84" s="63" t="s">
        <v>3371</v>
      </c>
      <c r="E84" s="63"/>
      <c r="F84" s="63"/>
      <c r="G84" s="63"/>
      <c r="H84" s="63"/>
      <c r="I84" s="63"/>
      <c r="J84" s="63"/>
      <c r="K84" s="63"/>
      <c r="L84" s="38"/>
      <c r="M84" s="38"/>
      <c r="O84" s="80" t="s">
        <v>3747</v>
      </c>
      <c r="P84" s="1560" t="s">
        <v>4060</v>
      </c>
      <c r="Q84" s="234"/>
    </row>
    <row r="85" spans="1:32" ht="12" customHeight="1">
      <c r="B85" s="55"/>
      <c r="C85" s="80" t="s">
        <v>3748</v>
      </c>
      <c r="D85" s="63" t="s">
        <v>3372</v>
      </c>
      <c r="E85" s="63"/>
      <c r="F85" s="63"/>
      <c r="G85" s="63"/>
      <c r="H85" s="63"/>
      <c r="I85" s="63"/>
      <c r="J85" s="63"/>
      <c r="K85" s="63"/>
      <c r="L85" s="38"/>
      <c r="M85" s="38"/>
      <c r="O85" s="80" t="s">
        <v>3748</v>
      </c>
      <c r="P85" s="1560" t="s">
        <v>4061</v>
      </c>
      <c r="Q85" s="234"/>
    </row>
    <row r="86" spans="1:32" ht="12" customHeight="1">
      <c r="B86" s="55"/>
      <c r="C86" s="80" t="s">
        <v>3749</v>
      </c>
      <c r="D86" s="63" t="s">
        <v>3373</v>
      </c>
      <c r="E86" s="63"/>
      <c r="F86" s="63"/>
      <c r="G86" s="63"/>
      <c r="H86" s="63"/>
      <c r="I86" s="63"/>
      <c r="J86" s="63"/>
      <c r="K86" s="63"/>
      <c r="L86" s="38"/>
      <c r="M86" s="38"/>
      <c r="O86" s="80" t="s">
        <v>3749</v>
      </c>
      <c r="P86" s="1560" t="s">
        <v>4061</v>
      </c>
      <c r="Q86" s="234"/>
    </row>
    <row r="87" spans="1:32" ht="11.25" customHeight="1">
      <c r="B87" s="192" t="s">
        <v>348</v>
      </c>
      <c r="D87" s="192"/>
      <c r="E87" s="192"/>
      <c r="F87" s="192"/>
      <c r="G87" s="192"/>
      <c r="H87" s="48"/>
      <c r="I87" s="181"/>
      <c r="J87" s="181"/>
      <c r="K87" s="181"/>
      <c r="L87" s="846"/>
      <c r="M87" s="846"/>
      <c r="N87" s="846"/>
      <c r="O87" s="846"/>
      <c r="P87" s="846"/>
      <c r="Q87" s="61"/>
    </row>
    <row r="88" spans="1:32" ht="13.15" customHeight="1">
      <c r="A88" s="1564" t="s">
        <v>365</v>
      </c>
      <c r="B88" s="1565"/>
      <c r="C88" s="1565"/>
      <c r="D88" s="1565"/>
      <c r="E88" s="1565"/>
      <c r="F88" s="1565"/>
      <c r="G88" s="1565"/>
      <c r="H88" s="1565"/>
      <c r="I88" s="1565"/>
      <c r="J88" s="1565"/>
      <c r="K88" s="1565"/>
      <c r="L88" s="1565"/>
      <c r="M88" s="1565"/>
      <c r="N88" s="1565"/>
      <c r="O88" s="1565"/>
      <c r="P88" s="1565"/>
      <c r="Q88" s="1566"/>
      <c r="U88" s="187"/>
      <c r="V88" s="187"/>
      <c r="W88" s="187"/>
      <c r="X88" s="187"/>
      <c r="Y88" s="187"/>
      <c r="Z88" s="187"/>
      <c r="AA88" s="187"/>
      <c r="AB88" s="187"/>
      <c r="AC88" s="187"/>
      <c r="AD88" s="187"/>
      <c r="AE88" s="804"/>
    </row>
    <row r="89" spans="1:32" ht="11.25" customHeight="1">
      <c r="B89" s="188" t="s">
        <v>349</v>
      </c>
      <c r="C89" s="189"/>
      <c r="D89" s="853"/>
      <c r="E89" s="853"/>
      <c r="F89" s="853"/>
      <c r="G89" s="853"/>
      <c r="H89" s="853"/>
      <c r="I89" s="853"/>
      <c r="J89" s="853"/>
      <c r="K89" s="853"/>
      <c r="L89" s="853"/>
      <c r="M89" s="853"/>
      <c r="N89" s="853"/>
      <c r="O89" s="853"/>
      <c r="P89" s="853"/>
      <c r="Q89" s="853"/>
    </row>
    <row r="90" spans="1:32" ht="13.15" customHeight="1">
      <c r="A90" s="1107"/>
      <c r="B90" s="1108"/>
      <c r="C90" s="1108"/>
      <c r="D90" s="1108"/>
      <c r="E90" s="1108"/>
      <c r="F90" s="1108"/>
      <c r="G90" s="1108"/>
      <c r="H90" s="1108"/>
      <c r="I90" s="1108"/>
      <c r="J90" s="1108"/>
      <c r="K90" s="1108"/>
      <c r="L90" s="1108"/>
      <c r="M90" s="1108"/>
      <c r="N90" s="1108"/>
      <c r="O90" s="1108"/>
      <c r="P90" s="1108"/>
      <c r="Q90" s="1109"/>
    </row>
    <row r="91" spans="1:32" ht="4.9000000000000004" customHeight="1">
      <c r="A91" s="846"/>
      <c r="B91" s="181"/>
      <c r="C91" s="853"/>
      <c r="D91" s="853"/>
      <c r="E91" s="853"/>
      <c r="F91" s="853"/>
      <c r="G91" s="853"/>
      <c r="H91" s="853"/>
      <c r="I91" s="853"/>
      <c r="J91" s="853"/>
      <c r="K91" s="853"/>
      <c r="L91" s="853"/>
      <c r="M91" s="853"/>
      <c r="N91" s="853"/>
      <c r="O91" s="853"/>
      <c r="P91" s="853"/>
      <c r="Q91" s="846"/>
    </row>
    <row r="92" spans="1:32" ht="13.9" customHeight="1">
      <c r="A92" s="854">
        <v>6</v>
      </c>
      <c r="B92" s="854" t="s">
        <v>3552</v>
      </c>
      <c r="C92" s="48"/>
      <c r="D92" s="853"/>
      <c r="E92" s="853"/>
      <c r="F92" s="853"/>
      <c r="G92" s="853"/>
      <c r="H92" s="853"/>
      <c r="I92" s="853"/>
      <c r="J92" s="853"/>
      <c r="K92" s="853"/>
      <c r="L92" s="853"/>
      <c r="M92" s="853"/>
      <c r="O92" s="182" t="s">
        <v>350</v>
      </c>
      <c r="P92" s="1111"/>
      <c r="Q92" s="1112"/>
    </row>
    <row r="93" spans="1:32" ht="6.6" customHeight="1"/>
    <row r="94" spans="1:32" ht="12" customHeight="1">
      <c r="B94" s="55" t="s">
        <v>2308</v>
      </c>
      <c r="C94" s="63" t="s">
        <v>4020</v>
      </c>
      <c r="D94" s="184"/>
      <c r="E94" s="184"/>
      <c r="F94" s="184"/>
      <c r="G94" s="184"/>
      <c r="H94" s="184"/>
      <c r="I94" s="50"/>
      <c r="J94" s="50"/>
      <c r="K94" s="50"/>
      <c r="L94" s="60" t="s">
        <v>2308</v>
      </c>
      <c r="M94" s="1570" t="s">
        <v>4087</v>
      </c>
      <c r="N94" s="1571"/>
      <c r="O94" s="1571"/>
      <c r="P94" s="1572"/>
      <c r="Q94" s="234"/>
    </row>
    <row r="95" spans="1:32" ht="12" customHeight="1">
      <c r="B95" s="55" t="s">
        <v>2311</v>
      </c>
      <c r="C95" s="63" t="s">
        <v>3502</v>
      </c>
      <c r="D95" s="184"/>
      <c r="E95" s="184"/>
      <c r="F95" s="184"/>
      <c r="G95" s="184"/>
      <c r="H95" s="184"/>
      <c r="I95" s="50"/>
      <c r="J95" s="50"/>
      <c r="K95" s="184"/>
      <c r="L95" s="184"/>
      <c r="M95" s="851"/>
      <c r="O95" s="60" t="s">
        <v>2311</v>
      </c>
      <c r="P95" s="1560" t="s">
        <v>4060</v>
      </c>
      <c r="Q95" s="354"/>
    </row>
    <row r="96" spans="1:32" ht="12" customHeight="1">
      <c r="B96" s="55" t="s">
        <v>2783</v>
      </c>
      <c r="C96" s="63" t="s">
        <v>118</v>
      </c>
      <c r="D96" s="184"/>
      <c r="E96" s="184"/>
      <c r="F96" s="184"/>
      <c r="G96" s="184"/>
      <c r="H96" s="184"/>
      <c r="I96" s="50"/>
      <c r="J96" s="50"/>
      <c r="K96" s="184"/>
      <c r="L96" s="851"/>
      <c r="M96" s="851"/>
      <c r="O96" s="60" t="s">
        <v>2783</v>
      </c>
      <c r="P96" s="1560" t="s">
        <v>4060</v>
      </c>
      <c r="Q96" s="234"/>
    </row>
    <row r="97" spans="2:17" ht="12" customHeight="1">
      <c r="B97" s="55"/>
      <c r="C97" s="79" t="s">
        <v>3747</v>
      </c>
      <c r="D97" s="63" t="s">
        <v>4021</v>
      </c>
      <c r="E97" s="184"/>
      <c r="F97" s="184"/>
      <c r="G97" s="184"/>
      <c r="H97" s="184"/>
      <c r="I97" s="50"/>
      <c r="J97" s="50"/>
      <c r="K97" s="184"/>
      <c r="L97" s="80" t="s">
        <v>3747</v>
      </c>
      <c r="M97" s="1570" t="s">
        <v>4087</v>
      </c>
      <c r="N97" s="1571"/>
      <c r="O97" s="1571"/>
      <c r="P97" s="1572"/>
      <c r="Q97" s="354"/>
    </row>
    <row r="98" spans="2:17" ht="12" customHeight="1">
      <c r="B98" s="190"/>
      <c r="C98" s="80" t="s">
        <v>3748</v>
      </c>
      <c r="D98" s="44" t="s">
        <v>1152</v>
      </c>
      <c r="E98" s="50"/>
      <c r="F98" s="50"/>
      <c r="G98" s="50"/>
      <c r="H98" s="63"/>
      <c r="I98" s="50"/>
      <c r="J98" s="50"/>
      <c r="K98" s="184"/>
      <c r="L98" s="851"/>
      <c r="M98" s="851"/>
      <c r="O98" s="60" t="s">
        <v>3748</v>
      </c>
      <c r="P98" s="1576">
        <v>51.2</v>
      </c>
      <c r="Q98" s="354"/>
    </row>
    <row r="99" spans="2:17" ht="12" customHeight="1">
      <c r="B99" s="190"/>
      <c r="C99" s="60" t="s">
        <v>3749</v>
      </c>
      <c r="D99" s="63" t="s">
        <v>1458</v>
      </c>
      <c r="E99" s="50"/>
      <c r="F99" s="50"/>
      <c r="G99" s="50"/>
      <c r="H99" s="63"/>
      <c r="I99" s="50"/>
      <c r="J99" s="50"/>
      <c r="K99" s="184"/>
      <c r="L99" s="851"/>
      <c r="M99" s="851"/>
      <c r="N99" s="851"/>
      <c r="O99" s="851"/>
    </row>
    <row r="100" spans="2:17" ht="11.45" customHeight="1">
      <c r="B100" s="846"/>
      <c r="C100" s="80"/>
      <c r="D100" s="1582" t="s">
        <v>372</v>
      </c>
      <c r="E100" s="1583"/>
      <c r="F100" s="1583"/>
      <c r="G100" s="1583"/>
      <c r="H100" s="1583"/>
      <c r="I100" s="1583"/>
      <c r="J100" s="1583"/>
      <c r="K100" s="1583"/>
      <c r="L100" s="1583"/>
      <c r="M100" s="1583"/>
      <c r="N100" s="1583"/>
      <c r="O100" s="1584"/>
      <c r="P100" s="853"/>
      <c r="Q100" s="846"/>
    </row>
    <row r="101" spans="2:17" ht="12" customHeight="1">
      <c r="B101" s="55" t="s">
        <v>2482</v>
      </c>
      <c r="C101" s="63" t="s">
        <v>3285</v>
      </c>
      <c r="D101" s="184"/>
      <c r="E101" s="184"/>
      <c r="F101" s="184"/>
      <c r="G101" s="184"/>
      <c r="H101" s="184"/>
      <c r="I101" s="50"/>
      <c r="J101" s="50"/>
      <c r="K101" s="184"/>
      <c r="L101" s="851"/>
      <c r="M101" s="851"/>
      <c r="N101" s="851"/>
      <c r="O101" s="60" t="s">
        <v>2482</v>
      </c>
    </row>
    <row r="102" spans="2:17" ht="12" customHeight="1">
      <c r="B102" s="55"/>
      <c r="C102" s="80" t="s">
        <v>3747</v>
      </c>
      <c r="D102" s="63" t="s">
        <v>116</v>
      </c>
      <c r="E102" s="184"/>
      <c r="F102" s="184"/>
      <c r="G102" s="184"/>
      <c r="H102" s="184"/>
      <c r="I102" s="50"/>
      <c r="J102" s="50"/>
      <c r="K102" s="184"/>
      <c r="L102" s="851"/>
      <c r="M102" s="851"/>
      <c r="O102" s="80" t="s">
        <v>3747</v>
      </c>
      <c r="P102" s="1560" t="s">
        <v>4061</v>
      </c>
      <c r="Q102" s="234"/>
    </row>
    <row r="103" spans="2:17" ht="12" customHeight="1">
      <c r="B103" s="55"/>
      <c r="C103" s="80" t="s">
        <v>3748</v>
      </c>
      <c r="D103" s="63" t="s">
        <v>3286</v>
      </c>
      <c r="E103" s="184"/>
      <c r="F103" s="184"/>
      <c r="G103" s="184"/>
      <c r="H103" s="50"/>
      <c r="I103" s="50"/>
      <c r="J103" s="50"/>
      <c r="K103" s="184"/>
      <c r="L103" s="851"/>
      <c r="M103" s="851"/>
      <c r="O103" s="80" t="s">
        <v>3748</v>
      </c>
      <c r="P103" s="1576" t="s">
        <v>4061</v>
      </c>
      <c r="Q103" s="354"/>
    </row>
    <row r="104" spans="2:17" ht="12" customHeight="1">
      <c r="B104" s="55"/>
      <c r="C104" s="80"/>
      <c r="D104" s="63" t="s">
        <v>3342</v>
      </c>
      <c r="E104" s="730" t="s">
        <v>2930</v>
      </c>
      <c r="F104" s="63" t="s">
        <v>3343</v>
      </c>
      <c r="G104" s="50"/>
      <c r="H104" s="63"/>
      <c r="I104" s="50"/>
      <c r="J104" s="50"/>
      <c r="K104" s="184"/>
      <c r="L104" s="851"/>
      <c r="M104" s="851"/>
      <c r="O104" s="730" t="s">
        <v>2930</v>
      </c>
      <c r="P104" s="1585"/>
      <c r="Q104" s="451"/>
    </row>
    <row r="105" spans="2:17" ht="12" customHeight="1">
      <c r="B105" s="55"/>
      <c r="C105" s="80"/>
      <c r="E105" s="730" t="s">
        <v>2931</v>
      </c>
      <c r="F105" s="63" t="s">
        <v>3344</v>
      </c>
      <c r="G105" s="50"/>
      <c r="H105" s="63"/>
      <c r="I105" s="50"/>
      <c r="J105" s="50"/>
      <c r="K105" s="184"/>
      <c r="L105" s="851"/>
      <c r="M105" s="851"/>
      <c r="O105" s="730" t="s">
        <v>2931</v>
      </c>
      <c r="P105" s="1576"/>
      <c r="Q105" s="354"/>
    </row>
    <row r="106" spans="2:17" ht="12" customHeight="1">
      <c r="B106" s="55"/>
      <c r="C106" s="80"/>
      <c r="E106" s="730" t="s">
        <v>2932</v>
      </c>
      <c r="F106" s="63" t="s">
        <v>3345</v>
      </c>
      <c r="G106" s="50"/>
      <c r="H106" s="63"/>
      <c r="I106" s="50"/>
      <c r="J106" s="50"/>
      <c r="K106" s="184"/>
      <c r="L106" s="851"/>
      <c r="M106" s="851"/>
      <c r="O106" s="730" t="s">
        <v>2932</v>
      </c>
      <c r="P106" s="1576"/>
      <c r="Q106" s="354"/>
    </row>
    <row r="107" spans="2:17" ht="12" customHeight="1">
      <c r="B107" s="55"/>
      <c r="C107" s="80" t="s">
        <v>3749</v>
      </c>
      <c r="D107" s="63" t="s">
        <v>3287</v>
      </c>
      <c r="E107" s="184"/>
      <c r="F107" s="184"/>
      <c r="G107" s="184"/>
      <c r="H107" s="63"/>
      <c r="I107" s="50"/>
      <c r="J107" s="50"/>
      <c r="K107" s="184"/>
      <c r="L107" s="851"/>
      <c r="M107" s="851"/>
      <c r="O107" s="80" t="s">
        <v>3749</v>
      </c>
      <c r="P107" s="1560" t="s">
        <v>4061</v>
      </c>
      <c r="Q107" s="234"/>
    </row>
    <row r="108" spans="2:17" ht="12" customHeight="1">
      <c r="B108" s="55"/>
      <c r="C108" s="80"/>
      <c r="D108" s="63" t="s">
        <v>3342</v>
      </c>
      <c r="E108" s="730" t="s">
        <v>2930</v>
      </c>
      <c r="F108" s="63" t="s">
        <v>3346</v>
      </c>
      <c r="G108" s="50"/>
      <c r="H108" s="63"/>
      <c r="I108" s="50"/>
      <c r="J108" s="50"/>
      <c r="K108" s="184"/>
      <c r="L108" s="851"/>
      <c r="O108" s="730" t="s">
        <v>2930</v>
      </c>
      <c r="P108" s="1585"/>
      <c r="Q108" s="355"/>
    </row>
    <row r="109" spans="2:17" ht="12" customHeight="1">
      <c r="B109" s="55"/>
      <c r="C109" s="80"/>
      <c r="E109" s="730" t="s">
        <v>2931</v>
      </c>
      <c r="F109" s="63" t="s">
        <v>3347</v>
      </c>
      <c r="G109" s="50"/>
      <c r="H109" s="63"/>
      <c r="I109" s="50"/>
      <c r="J109" s="50"/>
      <c r="K109" s="184"/>
      <c r="L109" s="851"/>
      <c r="O109" s="730" t="s">
        <v>2931</v>
      </c>
      <c r="P109" s="1576"/>
      <c r="Q109" s="354"/>
    </row>
    <row r="110" spans="2:17" ht="12" customHeight="1">
      <c r="B110" s="55"/>
      <c r="C110" s="80"/>
      <c r="E110" s="730" t="s">
        <v>2932</v>
      </c>
      <c r="F110" s="63" t="s">
        <v>3345</v>
      </c>
      <c r="G110" s="50"/>
      <c r="H110" s="63"/>
      <c r="I110" s="50"/>
      <c r="J110" s="50"/>
      <c r="K110" s="184"/>
      <c r="L110" s="851"/>
      <c r="O110" s="730" t="s">
        <v>2932</v>
      </c>
      <c r="P110" s="1576"/>
      <c r="Q110" s="354"/>
    </row>
    <row r="111" spans="2:17" ht="12" customHeight="1">
      <c r="B111" s="44"/>
      <c r="C111" s="80" t="s">
        <v>2842</v>
      </c>
      <c r="D111" s="63" t="s">
        <v>3348</v>
      </c>
      <c r="E111" s="184"/>
      <c r="F111" s="184"/>
      <c r="G111" s="184"/>
      <c r="H111" s="184"/>
      <c r="I111" s="50"/>
      <c r="J111" s="50"/>
      <c r="K111" s="184"/>
      <c r="L111" s="851"/>
      <c r="M111" s="851"/>
      <c r="O111" s="80" t="s">
        <v>2842</v>
      </c>
      <c r="P111" s="1560" t="s">
        <v>4061</v>
      </c>
      <c r="Q111" s="234"/>
    </row>
    <row r="112" spans="2:17" ht="12" customHeight="1">
      <c r="B112" s="55" t="s">
        <v>3745</v>
      </c>
      <c r="C112" s="197" t="s">
        <v>2907</v>
      </c>
      <c r="D112" s="184"/>
      <c r="E112" s="184"/>
      <c r="F112" s="184"/>
      <c r="G112" s="184"/>
      <c r="H112" s="184"/>
      <c r="I112" s="50"/>
      <c r="J112" s="50"/>
      <c r="K112" s="184"/>
      <c r="L112" s="851"/>
      <c r="M112" s="851"/>
      <c r="N112" s="851"/>
      <c r="O112" s="851"/>
      <c r="P112" s="851"/>
      <c r="Q112" s="851"/>
    </row>
    <row r="113" spans="1:31" ht="12" customHeight="1">
      <c r="B113" s="55"/>
      <c r="C113" s="80" t="s">
        <v>3747</v>
      </c>
      <c r="D113" s="63" t="s">
        <v>2908</v>
      </c>
      <c r="E113" s="184"/>
      <c r="F113" s="1560" t="s">
        <v>4060</v>
      </c>
      <c r="G113" s="234"/>
      <c r="H113" s="80" t="s">
        <v>2842</v>
      </c>
      <c r="I113" s="63" t="s">
        <v>3517</v>
      </c>
      <c r="J113" s="1560" t="s">
        <v>4060</v>
      </c>
      <c r="K113" s="234"/>
      <c r="L113" s="60" t="s">
        <v>1613</v>
      </c>
      <c r="M113" s="63" t="s">
        <v>3518</v>
      </c>
      <c r="O113" s="1560" t="s">
        <v>4061</v>
      </c>
      <c r="P113" s="234"/>
    </row>
    <row r="114" spans="1:31" ht="12" customHeight="1">
      <c r="B114" s="44"/>
      <c r="C114" s="80" t="s">
        <v>3748</v>
      </c>
      <c r="D114" s="63" t="s">
        <v>3169</v>
      </c>
      <c r="E114" s="184"/>
      <c r="F114" s="1560" t="s">
        <v>4060</v>
      </c>
      <c r="G114" s="234"/>
      <c r="H114" s="80" t="s">
        <v>3514</v>
      </c>
      <c r="I114" s="63" t="s">
        <v>3350</v>
      </c>
      <c r="J114" s="1586" t="s">
        <v>4061</v>
      </c>
      <c r="K114" s="666"/>
      <c r="L114" s="60" t="s">
        <v>709</v>
      </c>
      <c r="M114" s="66" t="s">
        <v>3351</v>
      </c>
      <c r="O114" s="1586" t="s">
        <v>4061</v>
      </c>
      <c r="P114" s="666"/>
    </row>
    <row r="115" spans="1:31" ht="12" customHeight="1">
      <c r="B115" s="44"/>
      <c r="C115" s="80" t="s">
        <v>3749</v>
      </c>
      <c r="D115" s="63" t="s">
        <v>3349</v>
      </c>
      <c r="E115" s="184"/>
      <c r="F115" s="1560" t="s">
        <v>4060</v>
      </c>
      <c r="G115" s="234"/>
      <c r="H115" s="80" t="s">
        <v>3515</v>
      </c>
      <c r="I115" s="63" t="s">
        <v>3516</v>
      </c>
      <c r="J115" s="1586" t="s">
        <v>4061</v>
      </c>
      <c r="K115" s="666"/>
      <c r="L115" s="60" t="s">
        <v>710</v>
      </c>
      <c r="M115" s="66" t="s">
        <v>3352</v>
      </c>
      <c r="O115" s="1586" t="s">
        <v>4060</v>
      </c>
      <c r="P115" s="666"/>
    </row>
    <row r="116" spans="1:31" ht="12" customHeight="1">
      <c r="B116" s="44"/>
      <c r="C116" s="60" t="s">
        <v>711</v>
      </c>
      <c r="D116" s="63" t="s">
        <v>3353</v>
      </c>
      <c r="E116" s="184"/>
      <c r="F116" s="184"/>
      <c r="G116" s="184"/>
      <c r="H116" s="184"/>
      <c r="J116" s="1570" t="s">
        <v>4081</v>
      </c>
      <c r="K116" s="1571"/>
      <c r="L116" s="1571"/>
      <c r="M116" s="1571"/>
      <c r="N116" s="1571"/>
      <c r="O116" s="1571"/>
      <c r="P116" s="1572"/>
      <c r="Q116" s="234"/>
    </row>
    <row r="117" spans="1:31" ht="12" customHeight="1">
      <c r="B117" s="55" t="s">
        <v>3746</v>
      </c>
      <c r="C117" s="63" t="s">
        <v>3308</v>
      </c>
      <c r="D117" s="184"/>
      <c r="E117" s="184"/>
      <c r="F117" s="184"/>
      <c r="G117" s="184"/>
      <c r="H117" s="184"/>
      <c r="I117" s="50"/>
      <c r="J117" s="50"/>
      <c r="K117" s="184"/>
      <c r="L117" s="184"/>
      <c r="M117" s="851"/>
      <c r="O117" s="60" t="s">
        <v>3746</v>
      </c>
      <c r="P117" s="1560" t="s">
        <v>4061</v>
      </c>
      <c r="Q117" s="234"/>
    </row>
    <row r="118" spans="1:31" ht="12" customHeight="1">
      <c r="A118" s="195"/>
      <c r="B118" s="50"/>
      <c r="C118" s="80" t="s">
        <v>3747</v>
      </c>
      <c r="D118" s="63" t="s">
        <v>2633</v>
      </c>
      <c r="E118" s="184"/>
      <c r="F118" s="184"/>
      <c r="G118" s="184"/>
      <c r="H118" s="184"/>
      <c r="O118" s="80" t="s">
        <v>3747</v>
      </c>
      <c r="P118" s="1560"/>
      <c r="Q118" s="234"/>
    </row>
    <row r="119" spans="1:31" ht="12" customHeight="1">
      <c r="A119" s="195"/>
      <c r="B119" s="181"/>
      <c r="C119" s="80" t="s">
        <v>3748</v>
      </c>
      <c r="D119" s="63" t="s">
        <v>647</v>
      </c>
      <c r="E119" s="63"/>
      <c r="F119" s="63"/>
      <c r="G119" s="63"/>
      <c r="H119" s="63"/>
      <c r="I119" s="50"/>
      <c r="J119" s="50"/>
      <c r="K119" s="63"/>
      <c r="L119" s="63"/>
      <c r="M119" s="63"/>
      <c r="O119" s="80" t="s">
        <v>3748</v>
      </c>
      <c r="P119" s="1560"/>
      <c r="Q119" s="234"/>
    </row>
    <row r="120" spans="1:31" ht="12" customHeight="1">
      <c r="A120" s="195"/>
      <c r="B120" s="181"/>
      <c r="C120" s="80" t="s">
        <v>3749</v>
      </c>
      <c r="D120" s="63" t="s">
        <v>2589</v>
      </c>
      <c r="E120" s="63"/>
      <c r="F120" s="63"/>
      <c r="G120" s="63"/>
      <c r="H120" s="63"/>
      <c r="I120" s="50"/>
      <c r="J120" s="50"/>
      <c r="K120" s="63"/>
      <c r="L120" s="63"/>
      <c r="M120" s="63"/>
      <c r="O120" s="80" t="s">
        <v>3749</v>
      </c>
      <c r="P120" s="1560"/>
      <c r="Q120" s="234"/>
    </row>
    <row r="121" spans="1:31" ht="12" customHeight="1">
      <c r="B121" s="55" t="s">
        <v>3882</v>
      </c>
      <c r="C121" s="63" t="s">
        <v>2083</v>
      </c>
      <c r="D121" s="184"/>
      <c r="E121" s="184"/>
      <c r="F121" s="184"/>
      <c r="G121" s="184"/>
      <c r="H121" s="184"/>
      <c r="I121" s="50"/>
      <c r="J121" s="50"/>
      <c r="K121" s="184"/>
      <c r="L121" s="184"/>
      <c r="M121" s="851"/>
      <c r="O121" s="60" t="s">
        <v>3882</v>
      </c>
      <c r="P121" s="1560"/>
      <c r="Q121" s="234"/>
    </row>
    <row r="122" spans="1:31" ht="4.9000000000000004" customHeight="1"/>
    <row r="123" spans="1:31" ht="11.25" customHeight="1">
      <c r="B123" s="192" t="s">
        <v>348</v>
      </c>
      <c r="D123" s="192"/>
      <c r="E123" s="192"/>
      <c r="F123" s="192"/>
      <c r="G123" s="192"/>
      <c r="H123" s="48"/>
      <c r="I123" s="181"/>
      <c r="J123" s="181"/>
      <c r="K123" s="181"/>
      <c r="L123" s="846"/>
      <c r="M123" s="846"/>
      <c r="N123" s="846"/>
      <c r="O123" s="846"/>
      <c r="P123" s="846"/>
      <c r="Q123" s="61"/>
    </row>
    <row r="124" spans="1:31" ht="12" customHeight="1">
      <c r="A124" s="1564" t="s">
        <v>366</v>
      </c>
      <c r="B124" s="1565"/>
      <c r="C124" s="1565"/>
      <c r="D124" s="1565"/>
      <c r="E124" s="1565"/>
      <c r="F124" s="1565"/>
      <c r="G124" s="1565"/>
      <c r="H124" s="1565"/>
      <c r="I124" s="1565"/>
      <c r="J124" s="1565"/>
      <c r="K124" s="1565"/>
      <c r="L124" s="1565"/>
      <c r="M124" s="1565"/>
      <c r="N124" s="1565"/>
      <c r="O124" s="1565"/>
      <c r="P124" s="1565"/>
      <c r="Q124" s="1566"/>
      <c r="R124" s="738" t="s">
        <v>3276</v>
      </c>
      <c r="S124" s="739"/>
      <c r="U124" s="187"/>
      <c r="V124" s="187"/>
      <c r="W124" s="187"/>
      <c r="X124" s="187"/>
      <c r="Y124" s="187"/>
      <c r="Z124" s="187"/>
      <c r="AA124" s="187"/>
      <c r="AB124" s="187"/>
      <c r="AC124" s="187"/>
      <c r="AD124" s="187"/>
      <c r="AE124" s="804"/>
    </row>
    <row r="125" spans="1:31" ht="11.25" customHeight="1">
      <c r="B125" s="188" t="s">
        <v>349</v>
      </c>
      <c r="C125" s="189"/>
      <c r="D125" s="853"/>
      <c r="E125" s="853"/>
      <c r="F125" s="853"/>
      <c r="G125" s="853"/>
      <c r="H125" s="853"/>
      <c r="I125" s="853"/>
      <c r="J125" s="853"/>
      <c r="K125" s="853"/>
      <c r="L125" s="853"/>
      <c r="M125" s="853"/>
      <c r="N125" s="853"/>
      <c r="O125" s="853"/>
      <c r="P125" s="853"/>
      <c r="Q125" s="853"/>
    </row>
    <row r="126" spans="1:31" ht="12" customHeight="1">
      <c r="A126" s="1107"/>
      <c r="B126" s="1108"/>
      <c r="C126" s="1108"/>
      <c r="D126" s="1108"/>
      <c r="E126" s="1108"/>
      <c r="F126" s="1108"/>
      <c r="G126" s="1108"/>
      <c r="H126" s="1108"/>
      <c r="I126" s="1108"/>
      <c r="J126" s="1108"/>
      <c r="K126" s="1108"/>
      <c r="L126" s="1108"/>
      <c r="M126" s="1108"/>
      <c r="N126" s="1108"/>
      <c r="O126" s="1108"/>
      <c r="P126" s="1108"/>
      <c r="Q126" s="1109"/>
      <c r="R126" s="738" t="s">
        <v>3276</v>
      </c>
      <c r="S126" s="739"/>
    </row>
    <row r="127" spans="1:31" ht="8.4499999999999993" customHeight="1">
      <c r="A127" s="846"/>
      <c r="B127" s="181"/>
      <c r="C127" s="853"/>
      <c r="D127" s="853"/>
      <c r="E127" s="853"/>
      <c r="F127" s="853"/>
      <c r="G127" s="853"/>
      <c r="H127" s="853"/>
      <c r="I127" s="853"/>
      <c r="J127" s="853"/>
      <c r="K127" s="853"/>
      <c r="L127" s="853"/>
      <c r="M127" s="853"/>
      <c r="N127" s="853"/>
      <c r="O127" s="853"/>
      <c r="P127" s="853"/>
      <c r="Q127" s="846"/>
    </row>
    <row r="128" spans="1:31" ht="13.9" customHeight="1">
      <c r="A128" s="854">
        <v>7</v>
      </c>
      <c r="B128" s="854" t="s">
        <v>3553</v>
      </c>
      <c r="C128" s="854"/>
      <c r="D128" s="853"/>
      <c r="E128" s="853"/>
      <c r="F128" s="853"/>
      <c r="G128" s="853"/>
      <c r="H128" s="853"/>
      <c r="I128" s="853"/>
      <c r="J128" s="853"/>
      <c r="K128" s="853"/>
      <c r="O128" s="182" t="s">
        <v>350</v>
      </c>
      <c r="P128" s="1111"/>
      <c r="Q128" s="1112"/>
    </row>
    <row r="129" spans="1:31" ht="10.9" customHeight="1">
      <c r="B129" s="55" t="s">
        <v>2308</v>
      </c>
      <c r="C129" s="63" t="s">
        <v>3354</v>
      </c>
      <c r="D129" s="63"/>
      <c r="E129" s="63"/>
      <c r="F129" s="63"/>
      <c r="G129" s="63"/>
      <c r="H129" s="63"/>
      <c r="N129" s="63"/>
      <c r="O129" s="60" t="s">
        <v>2308</v>
      </c>
      <c r="P129" s="1560" t="s">
        <v>4060</v>
      </c>
      <c r="Q129" s="234"/>
    </row>
    <row r="130" spans="1:31" ht="12" customHeight="1">
      <c r="A130" s="190"/>
      <c r="B130" s="55" t="s">
        <v>2311</v>
      </c>
      <c r="C130" s="191" t="s">
        <v>117</v>
      </c>
      <c r="D130" s="191"/>
      <c r="E130" s="191"/>
      <c r="F130" s="191"/>
      <c r="G130" s="191"/>
      <c r="H130" s="191"/>
      <c r="M130" s="60" t="s">
        <v>2311</v>
      </c>
      <c r="N130" s="1587" t="s">
        <v>4088</v>
      </c>
      <c r="O130" s="1588"/>
      <c r="P130" s="1128"/>
      <c r="Q130" s="1129"/>
    </row>
    <row r="131" spans="1:31" ht="12" customHeight="1">
      <c r="A131" s="190"/>
      <c r="B131" s="55" t="s">
        <v>2783</v>
      </c>
      <c r="C131" s="191" t="s">
        <v>2590</v>
      </c>
      <c r="D131" s="191"/>
      <c r="E131" s="191"/>
      <c r="F131" s="191"/>
      <c r="G131" s="191"/>
      <c r="H131" s="191"/>
      <c r="J131" s="60" t="s">
        <v>2783</v>
      </c>
      <c r="K131" s="1570" t="s">
        <v>370</v>
      </c>
      <c r="L131" s="1571"/>
      <c r="M131" s="1571"/>
      <c r="N131" s="1571"/>
      <c r="O131" s="1571"/>
      <c r="P131" s="1572"/>
      <c r="Q131" s="234"/>
    </row>
    <row r="132" spans="1:31" ht="12" customHeight="1">
      <c r="B132" s="192" t="s">
        <v>348</v>
      </c>
      <c r="D132" s="192"/>
      <c r="E132" s="192"/>
      <c r="F132" s="192"/>
      <c r="G132" s="192"/>
      <c r="H132" s="48"/>
      <c r="I132" s="181"/>
      <c r="J132" s="181"/>
      <c r="K132" s="181"/>
      <c r="L132" s="846"/>
      <c r="M132" s="846"/>
      <c r="N132" s="846"/>
      <c r="O132" s="846"/>
      <c r="P132" s="846"/>
      <c r="Q132" s="61"/>
    </row>
    <row r="133" spans="1:31" ht="11.45" customHeight="1">
      <c r="A133" s="1564" t="s">
        <v>4128</v>
      </c>
      <c r="B133" s="1565"/>
      <c r="C133" s="1565"/>
      <c r="D133" s="1565"/>
      <c r="E133" s="1565"/>
      <c r="F133" s="1565"/>
      <c r="G133" s="1565"/>
      <c r="H133" s="1565"/>
      <c r="I133" s="1565"/>
      <c r="J133" s="1565"/>
      <c r="K133" s="1565"/>
      <c r="L133" s="1565"/>
      <c r="M133" s="1565"/>
      <c r="N133" s="1565"/>
      <c r="O133" s="1565"/>
      <c r="P133" s="1565"/>
      <c r="Q133" s="1566"/>
      <c r="U133" s="187"/>
      <c r="V133" s="187"/>
      <c r="W133" s="187"/>
      <c r="X133" s="187"/>
      <c r="Y133" s="187"/>
      <c r="Z133" s="187"/>
      <c r="AA133" s="187"/>
      <c r="AB133" s="187"/>
      <c r="AC133" s="187"/>
      <c r="AD133" s="187"/>
      <c r="AE133" s="804"/>
    </row>
    <row r="134" spans="1:31" ht="12" customHeight="1">
      <c r="B134" s="188" t="s">
        <v>349</v>
      </c>
      <c r="C134" s="189"/>
      <c r="D134" s="853"/>
      <c r="E134" s="853"/>
      <c r="F134" s="853"/>
      <c r="G134" s="853"/>
      <c r="H134" s="853"/>
      <c r="I134" s="853"/>
      <c r="J134" s="853"/>
      <c r="K134" s="853"/>
      <c r="L134" s="853"/>
      <c r="M134" s="853"/>
      <c r="N134" s="853"/>
      <c r="O134" s="853"/>
      <c r="P134" s="853"/>
      <c r="Q134" s="853"/>
    </row>
    <row r="135" spans="1:31" ht="11.45" customHeight="1">
      <c r="A135" s="1107"/>
      <c r="B135" s="1108"/>
      <c r="C135" s="1108"/>
      <c r="D135" s="1108"/>
      <c r="E135" s="1108"/>
      <c r="F135" s="1108"/>
      <c r="G135" s="1108"/>
      <c r="H135" s="1108"/>
      <c r="I135" s="1108"/>
      <c r="J135" s="1108"/>
      <c r="K135" s="1108"/>
      <c r="L135" s="1108"/>
      <c r="M135" s="1108"/>
      <c r="N135" s="1108"/>
      <c r="O135" s="1108"/>
      <c r="P135" s="1108"/>
      <c r="Q135" s="1109"/>
    </row>
    <row r="136" spans="1:31" ht="3" customHeight="1">
      <c r="A136" s="846"/>
      <c r="B136" s="181"/>
      <c r="C136" s="853"/>
      <c r="D136" s="853"/>
      <c r="E136" s="853"/>
      <c r="F136" s="853"/>
      <c r="G136" s="853"/>
      <c r="H136" s="853"/>
      <c r="I136" s="853"/>
      <c r="J136" s="853"/>
      <c r="K136" s="853"/>
      <c r="L136" s="853"/>
      <c r="M136" s="853"/>
      <c r="Q136" s="846"/>
    </row>
    <row r="137" spans="1:31" ht="13.9" customHeight="1">
      <c r="A137" s="854">
        <v>8</v>
      </c>
      <c r="B137" s="854" t="s">
        <v>3554</v>
      </c>
      <c r="C137" s="854"/>
      <c r="D137" s="853"/>
      <c r="E137" s="853"/>
      <c r="F137" s="853"/>
      <c r="G137" s="853"/>
      <c r="H137" s="853"/>
      <c r="I137" s="853"/>
      <c r="J137" s="853"/>
      <c r="K137" s="853"/>
      <c r="L137" s="853"/>
      <c r="M137" s="853"/>
      <c r="O137" s="182" t="s">
        <v>350</v>
      </c>
      <c r="P137" s="1111"/>
      <c r="Q137" s="1112"/>
    </row>
    <row r="138" spans="1:31" ht="12" customHeight="1">
      <c r="B138" s="193" t="s">
        <v>2308</v>
      </c>
      <c r="C138" s="191" t="s">
        <v>1610</v>
      </c>
      <c r="D138" s="191"/>
      <c r="E138" s="191"/>
      <c r="F138" s="191"/>
      <c r="G138" s="191"/>
      <c r="H138" s="191"/>
      <c r="I138" s="191"/>
      <c r="J138" s="191"/>
      <c r="K138" s="191"/>
      <c r="L138" s="198"/>
      <c r="M138" s="198"/>
      <c r="N138" s="198"/>
      <c r="O138" s="221" t="s">
        <v>2308</v>
      </c>
      <c r="P138" s="1560" t="s">
        <v>4060</v>
      </c>
      <c r="Q138" s="234"/>
    </row>
    <row r="139" spans="1:31" ht="22.15" customHeight="1">
      <c r="B139" s="193" t="s">
        <v>2311</v>
      </c>
      <c r="C139" s="1110" t="s">
        <v>3185</v>
      </c>
      <c r="D139" s="1110"/>
      <c r="E139" s="1110"/>
      <c r="F139" s="1110"/>
      <c r="G139" s="1110"/>
      <c r="H139" s="1110"/>
      <c r="I139" s="1110"/>
      <c r="J139" s="1110"/>
      <c r="K139" s="1110"/>
      <c r="L139" s="1110"/>
      <c r="M139" s="1110"/>
      <c r="N139" s="1110"/>
      <c r="O139" s="221" t="s">
        <v>2311</v>
      </c>
      <c r="P139" s="1560"/>
      <c r="Q139" s="234"/>
    </row>
    <row r="140" spans="1:31" ht="21.75" customHeight="1">
      <c r="B140" s="193" t="s">
        <v>2783</v>
      </c>
      <c r="C140" s="1110" t="s">
        <v>3356</v>
      </c>
      <c r="D140" s="1110"/>
      <c r="E140" s="1110"/>
      <c r="F140" s="1110"/>
      <c r="G140" s="1110"/>
      <c r="H140" s="1110"/>
      <c r="I140" s="1110"/>
      <c r="J140" s="1110"/>
      <c r="K140" s="1110"/>
      <c r="L140" s="1110"/>
      <c r="M140" s="1110"/>
      <c r="N140" s="1110"/>
      <c r="O140" s="221" t="s">
        <v>2783</v>
      </c>
      <c r="P140" s="1560"/>
      <c r="Q140" s="234"/>
    </row>
    <row r="141" spans="1:31" ht="12" customHeight="1">
      <c r="B141" s="192" t="s">
        <v>348</v>
      </c>
      <c r="D141" s="192"/>
      <c r="E141" s="192"/>
      <c r="F141" s="192"/>
      <c r="G141" s="192"/>
      <c r="H141" s="48"/>
      <c r="I141" s="181"/>
      <c r="J141" s="181"/>
      <c r="K141" s="181"/>
      <c r="L141" s="846"/>
      <c r="M141" s="846"/>
      <c r="N141" s="846"/>
      <c r="O141" s="846"/>
      <c r="P141" s="846"/>
      <c r="Q141" s="61"/>
    </row>
    <row r="142" spans="1:31" ht="11.45" customHeight="1">
      <c r="A142" s="1564" t="s">
        <v>367</v>
      </c>
      <c r="B142" s="1565"/>
      <c r="C142" s="1565"/>
      <c r="D142" s="1565"/>
      <c r="E142" s="1565"/>
      <c r="F142" s="1565"/>
      <c r="G142" s="1565"/>
      <c r="H142" s="1565"/>
      <c r="I142" s="1565"/>
      <c r="J142" s="1565"/>
      <c r="K142" s="1565"/>
      <c r="L142" s="1565"/>
      <c r="M142" s="1565"/>
      <c r="N142" s="1565"/>
      <c r="O142" s="1565"/>
      <c r="P142" s="1565"/>
      <c r="Q142" s="1566"/>
      <c r="U142" s="187"/>
      <c r="V142" s="187"/>
      <c r="W142" s="187"/>
      <c r="X142" s="187"/>
      <c r="Y142" s="187"/>
      <c r="Z142" s="187"/>
      <c r="AA142" s="187"/>
      <c r="AB142" s="187"/>
      <c r="AC142" s="187"/>
      <c r="AD142" s="187"/>
      <c r="AE142" s="804"/>
    </row>
    <row r="143" spans="1:31" ht="12" customHeight="1">
      <c r="B143" s="188" t="s">
        <v>349</v>
      </c>
      <c r="C143" s="189"/>
      <c r="D143" s="853"/>
      <c r="E143" s="853"/>
      <c r="F143" s="853"/>
      <c r="G143" s="853"/>
      <c r="H143" s="853"/>
      <c r="I143" s="853"/>
      <c r="J143" s="853"/>
      <c r="K143" s="853"/>
      <c r="L143" s="853"/>
      <c r="M143" s="853"/>
      <c r="N143" s="853"/>
      <c r="O143" s="853"/>
      <c r="P143" s="853"/>
      <c r="Q143" s="853"/>
    </row>
    <row r="144" spans="1:31" ht="11.45" customHeight="1">
      <c r="A144" s="1107"/>
      <c r="B144" s="1108"/>
      <c r="C144" s="1108"/>
      <c r="D144" s="1108"/>
      <c r="E144" s="1108"/>
      <c r="F144" s="1108"/>
      <c r="G144" s="1108"/>
      <c r="H144" s="1108"/>
      <c r="I144" s="1108"/>
      <c r="J144" s="1108"/>
      <c r="K144" s="1108"/>
      <c r="L144" s="1108"/>
      <c r="M144" s="1108"/>
      <c r="N144" s="1108"/>
      <c r="O144" s="1108"/>
      <c r="P144" s="1108"/>
      <c r="Q144" s="1109"/>
    </row>
    <row r="145" spans="1:32" ht="3" customHeight="1">
      <c r="B145" s="181"/>
      <c r="C145" s="853"/>
      <c r="D145" s="853"/>
      <c r="E145" s="853"/>
      <c r="F145" s="853"/>
      <c r="G145" s="853"/>
      <c r="H145" s="853"/>
      <c r="I145" s="853"/>
      <c r="J145" s="853"/>
      <c r="K145" s="853"/>
      <c r="L145" s="853"/>
      <c r="M145" s="853"/>
      <c r="N145" s="853"/>
      <c r="O145" s="853"/>
      <c r="P145" s="853"/>
      <c r="Q145" s="846"/>
    </row>
    <row r="146" spans="1:32" ht="13.9" customHeight="1">
      <c r="A146" s="837">
        <v>9</v>
      </c>
      <c r="B146" s="1119" t="s">
        <v>3555</v>
      </c>
      <c r="C146" s="1119"/>
      <c r="D146" s="1119"/>
      <c r="O146" s="182" t="s">
        <v>350</v>
      </c>
      <c r="P146" s="1111"/>
      <c r="Q146" s="1112"/>
    </row>
    <row r="147" spans="1:32" ht="12" customHeight="1">
      <c r="B147" s="193" t="s">
        <v>2308</v>
      </c>
      <c r="C147" s="198" t="s">
        <v>619</v>
      </c>
      <c r="D147" s="198"/>
      <c r="E147" s="198"/>
      <c r="F147" s="198"/>
      <c r="G147" s="198"/>
      <c r="H147" s="198"/>
      <c r="I147" s="198"/>
      <c r="J147" s="198"/>
      <c r="K147" s="198"/>
      <c r="L147" s="198"/>
      <c r="M147" s="198"/>
      <c r="O147" s="221" t="s">
        <v>2308</v>
      </c>
      <c r="P147" s="1560" t="s">
        <v>4060</v>
      </c>
      <c r="Q147" s="234"/>
    </row>
    <row r="148" spans="1:32" ht="12" customHeight="1">
      <c r="B148" s="193" t="s">
        <v>2311</v>
      </c>
      <c r="C148" s="198" t="s">
        <v>3357</v>
      </c>
      <c r="D148" s="198"/>
      <c r="E148" s="198"/>
      <c r="F148" s="198"/>
      <c r="G148" s="198"/>
      <c r="H148" s="198"/>
      <c r="I148" s="198"/>
      <c r="J148" s="198"/>
      <c r="K148" s="198"/>
      <c r="L148" s="198"/>
      <c r="M148" s="198"/>
      <c r="O148" s="221" t="s">
        <v>2311</v>
      </c>
      <c r="P148" s="1560" t="s">
        <v>4060</v>
      </c>
      <c r="Q148" s="234"/>
    </row>
    <row r="149" spans="1:32" ht="12" customHeight="1">
      <c r="B149" s="193" t="s">
        <v>2783</v>
      </c>
      <c r="C149" s="198" t="s">
        <v>3358</v>
      </c>
      <c r="D149" s="198"/>
      <c r="E149" s="198"/>
      <c r="F149" s="198"/>
      <c r="G149" s="198"/>
      <c r="H149" s="198"/>
      <c r="I149" s="198"/>
      <c r="J149" s="198"/>
      <c r="K149" s="198"/>
      <c r="L149" s="198"/>
      <c r="M149" s="198"/>
      <c r="O149" s="221" t="s">
        <v>2783</v>
      </c>
      <c r="P149" s="1560" t="s">
        <v>4060</v>
      </c>
      <c r="Q149" s="234"/>
    </row>
    <row r="150" spans="1:32" ht="12" customHeight="1">
      <c r="B150" s="193"/>
      <c r="C150" s="198" t="s">
        <v>3342</v>
      </c>
      <c r="D150" s="198"/>
      <c r="E150" s="730" t="s">
        <v>3747</v>
      </c>
      <c r="F150" s="198" t="s">
        <v>3359</v>
      </c>
      <c r="G150" s="198"/>
      <c r="H150" s="198"/>
      <c r="I150" s="198"/>
      <c r="J150" s="198"/>
      <c r="K150" s="198"/>
      <c r="L150" s="198"/>
      <c r="M150" s="198"/>
      <c r="O150" s="730" t="s">
        <v>3747</v>
      </c>
      <c r="P150" s="1560" t="s">
        <v>4060</v>
      </c>
      <c r="Q150" s="234"/>
    </row>
    <row r="151" spans="1:32" ht="12" customHeight="1">
      <c r="B151" s="193"/>
      <c r="C151" s="198"/>
      <c r="D151" s="198"/>
      <c r="E151" s="730" t="s">
        <v>3748</v>
      </c>
      <c r="F151" s="198" t="s">
        <v>3360</v>
      </c>
      <c r="G151" s="198"/>
      <c r="H151" s="198"/>
      <c r="I151" s="198"/>
      <c r="J151" s="198"/>
      <c r="K151" s="198"/>
      <c r="L151" s="198"/>
      <c r="M151" s="198"/>
      <c r="O151" s="730" t="s">
        <v>3748</v>
      </c>
      <c r="P151" s="1560" t="s">
        <v>4060</v>
      </c>
      <c r="Q151" s="234"/>
    </row>
    <row r="152" spans="1:32" s="183" customFormat="1" ht="21.75" customHeight="1">
      <c r="B152" s="193"/>
      <c r="C152" s="198"/>
      <c r="D152" s="198"/>
      <c r="E152" s="221" t="s">
        <v>3749</v>
      </c>
      <c r="F152" s="1110" t="s">
        <v>3361</v>
      </c>
      <c r="G152" s="1110"/>
      <c r="H152" s="1110"/>
      <c r="I152" s="1110"/>
      <c r="J152" s="1110"/>
      <c r="K152" s="1110"/>
      <c r="L152" s="1110"/>
      <c r="M152" s="1110"/>
      <c r="N152" s="1110"/>
      <c r="O152" s="221" t="s">
        <v>3749</v>
      </c>
      <c r="P152" s="1581" t="s">
        <v>4060</v>
      </c>
      <c r="Q152" s="356"/>
      <c r="AE152" s="805"/>
      <c r="AF152" s="805"/>
    </row>
    <row r="153" spans="1:32" ht="12" customHeight="1">
      <c r="B153" s="193"/>
      <c r="C153" s="198"/>
      <c r="D153" s="198"/>
      <c r="E153" s="730" t="s">
        <v>2842</v>
      </c>
      <c r="F153" s="198" t="s">
        <v>3542</v>
      </c>
      <c r="G153" s="198"/>
      <c r="H153" s="198"/>
      <c r="I153" s="198"/>
      <c r="J153" s="198"/>
      <c r="K153" s="198"/>
      <c r="L153" s="198"/>
      <c r="M153" s="198"/>
      <c r="O153" s="730" t="s">
        <v>2842</v>
      </c>
      <c r="P153" s="1560" t="s">
        <v>4060</v>
      </c>
      <c r="Q153" s="234"/>
    </row>
    <row r="154" spans="1:32" s="183" customFormat="1" ht="21.75" customHeight="1">
      <c r="B154" s="193"/>
      <c r="C154" s="198"/>
      <c r="D154" s="198"/>
      <c r="E154" s="221" t="s">
        <v>3514</v>
      </c>
      <c r="F154" s="1110" t="s">
        <v>3543</v>
      </c>
      <c r="G154" s="1110"/>
      <c r="H154" s="1110"/>
      <c r="I154" s="1110"/>
      <c r="J154" s="1110"/>
      <c r="K154" s="1110"/>
      <c r="L154" s="1110"/>
      <c r="M154" s="1110"/>
      <c r="N154" s="1110"/>
      <c r="O154" s="221" t="s">
        <v>3514</v>
      </c>
      <c r="P154" s="1581"/>
      <c r="Q154" s="356"/>
      <c r="AE154" s="805"/>
      <c r="AF154" s="805"/>
    </row>
    <row r="155" spans="1:32" ht="21.75" customHeight="1">
      <c r="B155" s="193" t="s">
        <v>2482</v>
      </c>
      <c r="C155" s="1110" t="s">
        <v>3544</v>
      </c>
      <c r="D155" s="1110"/>
      <c r="E155" s="1110"/>
      <c r="F155" s="1110"/>
      <c r="G155" s="1110"/>
      <c r="H155" s="1110"/>
      <c r="I155" s="1110"/>
      <c r="J155" s="1110"/>
      <c r="K155" s="1110"/>
      <c r="L155" s="1110"/>
      <c r="M155" s="1110"/>
      <c r="N155" s="1110"/>
      <c r="O155" s="221" t="s">
        <v>2482</v>
      </c>
      <c r="P155" s="1560" t="s">
        <v>4060</v>
      </c>
      <c r="Q155" s="234"/>
    </row>
    <row r="156" spans="1:32" ht="12" customHeight="1">
      <c r="B156" s="193" t="s">
        <v>3745</v>
      </c>
      <c r="C156" s="198" t="s">
        <v>2863</v>
      </c>
      <c r="D156" s="198"/>
      <c r="E156" s="198"/>
      <c r="F156" s="198"/>
      <c r="G156" s="198"/>
      <c r="H156" s="198"/>
      <c r="I156" s="198"/>
      <c r="J156" s="198"/>
      <c r="K156" s="198"/>
      <c r="L156" s="198"/>
      <c r="M156" s="198"/>
      <c r="O156" s="221" t="s">
        <v>3745</v>
      </c>
      <c r="P156" s="1560" t="s">
        <v>4060</v>
      </c>
      <c r="Q156" s="234"/>
    </row>
    <row r="157" spans="1:32" ht="12" customHeight="1">
      <c r="B157" s="192" t="s">
        <v>348</v>
      </c>
      <c r="D157" s="192"/>
      <c r="E157" s="192"/>
      <c r="F157" s="192"/>
      <c r="G157" s="192"/>
      <c r="H157" s="48"/>
      <c r="I157" s="181"/>
      <c r="J157" s="181"/>
      <c r="K157" s="181"/>
      <c r="L157" s="846"/>
      <c r="M157" s="846"/>
      <c r="N157" s="846"/>
      <c r="O157" s="846"/>
      <c r="P157" s="846"/>
      <c r="Q157" s="61"/>
    </row>
    <row r="158" spans="1:32" ht="11.45" customHeight="1">
      <c r="A158" s="1564" t="s">
        <v>368</v>
      </c>
      <c r="B158" s="1565"/>
      <c r="C158" s="1565"/>
      <c r="D158" s="1565"/>
      <c r="E158" s="1565"/>
      <c r="F158" s="1565"/>
      <c r="G158" s="1565"/>
      <c r="H158" s="1565"/>
      <c r="I158" s="1565"/>
      <c r="J158" s="1565"/>
      <c r="K158" s="1565"/>
      <c r="L158" s="1565"/>
      <c r="M158" s="1565"/>
      <c r="N158" s="1565"/>
      <c r="O158" s="1565"/>
      <c r="P158" s="1565"/>
      <c r="Q158" s="1566"/>
      <c r="U158" s="187"/>
      <c r="V158" s="187"/>
      <c r="W158" s="187"/>
      <c r="X158" s="187"/>
      <c r="Y158" s="187"/>
      <c r="Z158" s="187"/>
      <c r="AA158" s="187"/>
      <c r="AB158" s="187"/>
      <c r="AC158" s="187"/>
      <c r="AD158" s="187"/>
      <c r="AE158" s="804"/>
    </row>
    <row r="159" spans="1:32" ht="12" customHeight="1">
      <c r="B159" s="188" t="s">
        <v>349</v>
      </c>
      <c r="C159" s="189"/>
      <c r="D159" s="853"/>
      <c r="E159" s="853"/>
      <c r="F159" s="853"/>
      <c r="G159" s="853"/>
      <c r="H159" s="853"/>
      <c r="I159" s="853"/>
      <c r="J159" s="853"/>
      <c r="K159" s="853"/>
      <c r="L159" s="853"/>
      <c r="M159" s="853"/>
      <c r="N159" s="853"/>
      <c r="O159" s="853"/>
      <c r="P159" s="853"/>
      <c r="Q159" s="853"/>
    </row>
    <row r="160" spans="1:32" ht="11.45" customHeight="1">
      <c r="A160" s="1107"/>
      <c r="B160" s="1108"/>
      <c r="C160" s="1108"/>
      <c r="D160" s="1108"/>
      <c r="E160" s="1108"/>
      <c r="F160" s="1108"/>
      <c r="G160" s="1108"/>
      <c r="H160" s="1108"/>
      <c r="I160" s="1108"/>
      <c r="J160" s="1108"/>
      <c r="K160" s="1108"/>
      <c r="L160" s="1108"/>
      <c r="M160" s="1108"/>
      <c r="N160" s="1108"/>
      <c r="O160" s="1108"/>
      <c r="P160" s="1108"/>
      <c r="Q160" s="1109"/>
    </row>
    <row r="161" spans="1:31" ht="3" customHeight="1">
      <c r="A161" s="846"/>
      <c r="B161" s="181"/>
      <c r="C161" s="853"/>
      <c r="D161" s="853"/>
      <c r="E161" s="853"/>
      <c r="F161" s="853"/>
      <c r="G161" s="853"/>
      <c r="H161" s="853"/>
      <c r="I161" s="853"/>
      <c r="J161" s="853"/>
      <c r="K161" s="853"/>
      <c r="L161" s="853"/>
      <c r="M161" s="853"/>
      <c r="N161" s="853"/>
      <c r="O161" s="853"/>
      <c r="P161" s="853"/>
      <c r="Q161" s="846"/>
    </row>
    <row r="162" spans="1:31" ht="13.9" customHeight="1">
      <c r="A162" s="854">
        <v>10</v>
      </c>
      <c r="B162" s="854" t="s">
        <v>3556</v>
      </c>
      <c r="C162" s="854"/>
      <c r="D162" s="853"/>
      <c r="E162" s="199"/>
      <c r="F162" s="199"/>
      <c r="G162" s="853"/>
      <c r="J162" s="1167"/>
      <c r="K162" s="1167"/>
      <c r="L162" s="1167"/>
      <c r="M162" s="1167"/>
      <c r="N162" s="1167"/>
      <c r="O162" s="182" t="s">
        <v>350</v>
      </c>
      <c r="P162" s="1111"/>
      <c r="Q162" s="1112"/>
    </row>
    <row r="163" spans="1:31" ht="12" customHeight="1">
      <c r="A163" s="190"/>
      <c r="B163" s="55" t="s">
        <v>2308</v>
      </c>
      <c r="C163" s="1110" t="s">
        <v>1611</v>
      </c>
      <c r="D163" s="1110"/>
      <c r="E163" s="1110"/>
      <c r="F163" s="1110"/>
      <c r="G163" s="1110"/>
      <c r="H163" s="80" t="s">
        <v>3747</v>
      </c>
      <c r="I163" s="63" t="s">
        <v>119</v>
      </c>
      <c r="J163" s="1570" t="s">
        <v>321</v>
      </c>
      <c r="K163" s="1571"/>
      <c r="L163" s="1571"/>
      <c r="M163" s="1571"/>
      <c r="N163" s="1572"/>
      <c r="O163" s="80" t="s">
        <v>3747</v>
      </c>
      <c r="P163" s="1560"/>
      <c r="Q163" s="234"/>
    </row>
    <row r="164" spans="1:31" ht="12" customHeight="1">
      <c r="A164" s="190"/>
      <c r="B164" s="181"/>
      <c r="C164" s="144"/>
      <c r="D164" s="144"/>
      <c r="E164" s="144"/>
      <c r="F164" s="144"/>
      <c r="H164" s="80" t="s">
        <v>3748</v>
      </c>
      <c r="I164" s="63" t="s">
        <v>1695</v>
      </c>
      <c r="J164" s="1570" t="s">
        <v>4089</v>
      </c>
      <c r="K164" s="1571"/>
      <c r="L164" s="1571"/>
      <c r="M164" s="1571"/>
      <c r="N164" s="1572"/>
      <c r="O164" s="80" t="s">
        <v>3748</v>
      </c>
      <c r="P164" s="1560" t="s">
        <v>4060</v>
      </c>
      <c r="Q164" s="234"/>
    </row>
    <row r="165" spans="1:31" ht="12" customHeight="1">
      <c r="B165" s="192" t="s">
        <v>348</v>
      </c>
      <c r="D165" s="192"/>
      <c r="E165" s="192"/>
      <c r="F165" s="192"/>
      <c r="G165" s="192"/>
      <c r="J165" s="181"/>
      <c r="K165" s="181"/>
      <c r="L165" s="846"/>
      <c r="M165" s="846"/>
      <c r="N165" s="846"/>
      <c r="O165" s="846"/>
      <c r="P165" s="846"/>
      <c r="Q165" s="61"/>
    </row>
    <row r="166" spans="1:31" ht="11.45" customHeight="1">
      <c r="A166" s="1564" t="s">
        <v>1345</v>
      </c>
      <c r="B166" s="1565"/>
      <c r="C166" s="1565"/>
      <c r="D166" s="1565"/>
      <c r="E166" s="1565"/>
      <c r="F166" s="1565"/>
      <c r="G166" s="1565"/>
      <c r="H166" s="1565"/>
      <c r="I166" s="1565"/>
      <c r="J166" s="1565"/>
      <c r="K166" s="1565"/>
      <c r="L166" s="1565"/>
      <c r="M166" s="1565"/>
      <c r="N166" s="1565"/>
      <c r="O166" s="1565"/>
      <c r="P166" s="1565"/>
      <c r="Q166" s="1566"/>
      <c r="U166" s="187"/>
      <c r="V166" s="187"/>
      <c r="W166" s="187"/>
      <c r="X166" s="187"/>
      <c r="Y166" s="187"/>
      <c r="Z166" s="187"/>
      <c r="AA166" s="187"/>
      <c r="AB166" s="187"/>
      <c r="AC166" s="187"/>
      <c r="AD166" s="187"/>
      <c r="AE166" s="804"/>
    </row>
    <row r="167" spans="1:31" ht="12" customHeight="1">
      <c r="B167" s="188" t="s">
        <v>349</v>
      </c>
      <c r="C167" s="189"/>
      <c r="D167" s="853"/>
      <c r="E167" s="853"/>
      <c r="F167" s="853"/>
      <c r="G167" s="853"/>
      <c r="H167" s="853"/>
      <c r="I167" s="853"/>
      <c r="J167" s="853"/>
      <c r="K167" s="853"/>
      <c r="L167" s="853"/>
      <c r="M167" s="853"/>
      <c r="N167" s="853"/>
      <c r="O167" s="853"/>
      <c r="P167" s="853"/>
      <c r="Q167" s="853"/>
    </row>
    <row r="168" spans="1:31" ht="11.45" customHeight="1">
      <c r="A168" s="1107"/>
      <c r="B168" s="1108"/>
      <c r="C168" s="1108"/>
      <c r="D168" s="1108"/>
      <c r="E168" s="1108"/>
      <c r="F168" s="1108"/>
      <c r="G168" s="1108"/>
      <c r="H168" s="1108"/>
      <c r="I168" s="1108"/>
      <c r="J168" s="1108"/>
      <c r="K168" s="1108"/>
      <c r="L168" s="1108"/>
      <c r="M168" s="1108"/>
      <c r="N168" s="1108"/>
      <c r="O168" s="1108"/>
      <c r="P168" s="1108"/>
      <c r="Q168" s="1109"/>
    </row>
    <row r="169" spans="1:31" ht="4.1500000000000004" customHeight="1">
      <c r="B169" s="181"/>
      <c r="C169" s="853"/>
      <c r="D169" s="853"/>
      <c r="E169" s="853"/>
      <c r="F169" s="853"/>
      <c r="G169" s="853"/>
      <c r="H169" s="853"/>
      <c r="I169" s="853"/>
      <c r="J169" s="853"/>
      <c r="K169" s="853"/>
      <c r="L169" s="853"/>
      <c r="M169" s="853"/>
      <c r="Q169" s="61"/>
    </row>
    <row r="170" spans="1:31" ht="13.9" customHeight="1">
      <c r="A170" s="854">
        <v>11</v>
      </c>
      <c r="B170" s="5" t="s">
        <v>3557</v>
      </c>
      <c r="C170" s="5"/>
      <c r="D170" s="116"/>
      <c r="E170" s="116"/>
      <c r="F170" s="116"/>
      <c r="G170" s="853"/>
      <c r="H170" s="853"/>
      <c r="I170" s="853"/>
      <c r="J170" s="853"/>
      <c r="K170" s="853"/>
      <c r="L170" s="853"/>
      <c r="M170" s="853"/>
      <c r="O170" s="182" t="s">
        <v>350</v>
      </c>
      <c r="P170" s="1111"/>
      <c r="Q170" s="1112"/>
    </row>
    <row r="171" spans="1:31" ht="4.1500000000000004" customHeight="1"/>
    <row r="172" spans="1:31" ht="11.45" customHeight="1">
      <c r="B172" s="193" t="s">
        <v>2308</v>
      </c>
      <c r="C172" s="638" t="s">
        <v>3747</v>
      </c>
      <c r="D172" s="637" t="s">
        <v>712</v>
      </c>
      <c r="E172" s="637"/>
      <c r="F172" s="637"/>
      <c r="G172" s="637"/>
      <c r="H172" s="637"/>
      <c r="I172" s="637"/>
      <c r="J172" s="637"/>
      <c r="K172" s="637"/>
      <c r="L172" s="637"/>
      <c r="M172" s="637"/>
      <c r="N172" s="637"/>
      <c r="O172" s="221" t="s">
        <v>3442</v>
      </c>
      <c r="P172" s="1560" t="s">
        <v>4061</v>
      </c>
      <c r="Q172" s="234"/>
    </row>
    <row r="173" spans="1:31" ht="11.45" customHeight="1">
      <c r="B173" s="193"/>
      <c r="C173" s="638" t="s">
        <v>3748</v>
      </c>
      <c r="D173" s="637" t="s">
        <v>3419</v>
      </c>
      <c r="E173" s="637"/>
      <c r="F173" s="637"/>
      <c r="G173" s="637"/>
      <c r="H173" s="637"/>
      <c r="I173" s="637"/>
      <c r="J173" s="637"/>
      <c r="K173" s="637"/>
      <c r="L173" s="637"/>
      <c r="M173" s="637"/>
      <c r="N173" s="637"/>
      <c r="O173" s="221" t="s">
        <v>3748</v>
      </c>
      <c r="P173" s="1560"/>
      <c r="Q173" s="234"/>
    </row>
    <row r="174" spans="1:31" ht="11.45" customHeight="1">
      <c r="A174" s="190"/>
      <c r="B174" s="193" t="s">
        <v>2311</v>
      </c>
      <c r="C174" s="1110" t="s">
        <v>331</v>
      </c>
      <c r="D174" s="1110"/>
      <c r="E174" s="1110"/>
      <c r="F174" s="1110"/>
      <c r="G174" s="1110"/>
      <c r="H174" s="80" t="s">
        <v>3747</v>
      </c>
      <c r="I174" s="63" t="s">
        <v>860</v>
      </c>
      <c r="J174" s="1570" t="s">
        <v>1346</v>
      </c>
      <c r="K174" s="1571"/>
      <c r="L174" s="1571"/>
      <c r="M174" s="1571"/>
      <c r="N174" s="1572"/>
      <c r="O174" s="80" t="s">
        <v>3391</v>
      </c>
      <c r="P174" s="1560" t="s">
        <v>4060</v>
      </c>
      <c r="Q174" s="234"/>
    </row>
    <row r="175" spans="1:31" ht="11.45" customHeight="1">
      <c r="A175" s="190"/>
      <c r="B175" s="858"/>
      <c r="C175" s="1110"/>
      <c r="D175" s="1110"/>
      <c r="E175" s="1110"/>
      <c r="F175" s="1110"/>
      <c r="G175" s="1110"/>
      <c r="H175" s="80" t="s">
        <v>3748</v>
      </c>
      <c r="I175" s="63" t="s">
        <v>1631</v>
      </c>
      <c r="J175" s="1570" t="s">
        <v>1346</v>
      </c>
      <c r="K175" s="1571"/>
      <c r="L175" s="1571"/>
      <c r="M175" s="1571"/>
      <c r="N175" s="1572"/>
      <c r="O175" s="80" t="s">
        <v>3748</v>
      </c>
      <c r="P175" s="1560" t="s">
        <v>4060</v>
      </c>
      <c r="Q175" s="234"/>
    </row>
    <row r="176" spans="1:31" ht="11.25" customHeight="1">
      <c r="B176" s="192" t="s">
        <v>348</v>
      </c>
      <c r="D176" s="192"/>
      <c r="E176" s="192"/>
      <c r="F176" s="192"/>
      <c r="G176" s="192"/>
      <c r="H176" s="48"/>
      <c r="I176" s="181"/>
      <c r="J176" s="181"/>
      <c r="K176" s="181"/>
      <c r="L176" s="846"/>
      <c r="M176" s="846"/>
      <c r="N176" s="846"/>
      <c r="O176" s="846"/>
      <c r="P176" s="846"/>
      <c r="Q176" s="61"/>
    </row>
    <row r="177" spans="1:32" ht="11.45" customHeight="1">
      <c r="A177" s="1564" t="s">
        <v>1347</v>
      </c>
      <c r="B177" s="1565"/>
      <c r="C177" s="1565"/>
      <c r="D177" s="1565"/>
      <c r="E177" s="1565"/>
      <c r="F177" s="1565"/>
      <c r="G177" s="1565"/>
      <c r="H177" s="1565"/>
      <c r="I177" s="1565"/>
      <c r="J177" s="1565"/>
      <c r="K177" s="1565"/>
      <c r="L177" s="1565"/>
      <c r="M177" s="1565"/>
      <c r="N177" s="1565"/>
      <c r="O177" s="1565"/>
      <c r="P177" s="1565"/>
      <c r="Q177" s="1566"/>
      <c r="U177" s="187"/>
      <c r="V177" s="187"/>
      <c r="W177" s="187"/>
      <c r="X177" s="187"/>
      <c r="Y177" s="187"/>
      <c r="Z177" s="187"/>
      <c r="AA177" s="187"/>
      <c r="AB177" s="187"/>
      <c r="AC177" s="187"/>
      <c r="AD177" s="187"/>
      <c r="AE177" s="804"/>
    </row>
    <row r="178" spans="1:32" ht="11.25" customHeight="1">
      <c r="B178" s="188" t="s">
        <v>349</v>
      </c>
      <c r="C178" s="189"/>
      <c r="D178" s="853"/>
      <c r="E178" s="853"/>
      <c r="F178" s="853"/>
      <c r="G178" s="853"/>
      <c r="H178" s="853"/>
      <c r="I178" s="853"/>
      <c r="J178" s="853"/>
      <c r="K178" s="853"/>
      <c r="L178" s="853"/>
      <c r="M178" s="853"/>
      <c r="N178" s="853"/>
      <c r="O178" s="853"/>
      <c r="P178" s="853"/>
      <c r="Q178" s="853"/>
    </row>
    <row r="179" spans="1:32" ht="11.45" customHeight="1">
      <c r="A179" s="1107"/>
      <c r="B179" s="1108"/>
      <c r="C179" s="1108"/>
      <c r="D179" s="1108"/>
      <c r="E179" s="1108"/>
      <c r="F179" s="1108"/>
      <c r="G179" s="1108"/>
      <c r="H179" s="1108"/>
      <c r="I179" s="1108"/>
      <c r="J179" s="1108"/>
      <c r="K179" s="1108"/>
      <c r="L179" s="1108"/>
      <c r="M179" s="1108"/>
      <c r="N179" s="1108"/>
      <c r="O179" s="1108"/>
      <c r="P179" s="1108"/>
      <c r="Q179" s="1109"/>
    </row>
    <row r="180" spans="1:32" ht="3" customHeight="1">
      <c r="A180" s="846"/>
      <c r="B180" s="181"/>
      <c r="C180" s="853"/>
      <c r="D180" s="853"/>
      <c r="E180" s="853"/>
      <c r="F180" s="853"/>
      <c r="G180" s="853"/>
      <c r="H180" s="853"/>
      <c r="I180" s="853"/>
      <c r="J180" s="853"/>
      <c r="K180" s="853"/>
      <c r="L180" s="853"/>
      <c r="M180" s="853"/>
      <c r="Q180" s="846"/>
    </row>
    <row r="181" spans="1:32" ht="13.9" customHeight="1">
      <c r="A181" s="854">
        <v>12</v>
      </c>
      <c r="B181" s="5" t="s">
        <v>3558</v>
      </c>
      <c r="C181" s="5"/>
      <c r="D181" s="116"/>
      <c r="E181" s="116"/>
      <c r="F181" s="116"/>
      <c r="G181" s="116"/>
      <c r="H181" s="853"/>
      <c r="I181" s="853"/>
      <c r="J181" s="853"/>
      <c r="K181" s="853"/>
      <c r="L181" s="853"/>
      <c r="M181" s="853"/>
      <c r="O181" s="182" t="s">
        <v>350</v>
      </c>
      <c r="P181" s="1111"/>
      <c r="Q181" s="1112"/>
    </row>
    <row r="182" spans="1:32" ht="10.9" customHeight="1">
      <c r="B182" s="196" t="s">
        <v>107</v>
      </c>
    </row>
    <row r="183" spans="1:32" ht="11.45" customHeight="1">
      <c r="B183" s="55" t="s">
        <v>2308</v>
      </c>
      <c r="C183" s="63" t="s">
        <v>111</v>
      </c>
      <c r="D183" s="50"/>
      <c r="E183" s="63"/>
      <c r="F183" s="63"/>
      <c r="G183" s="63"/>
      <c r="H183" s="63"/>
      <c r="I183" s="50"/>
      <c r="J183" s="50"/>
      <c r="K183" s="50"/>
      <c r="L183" s="198"/>
      <c r="M183" s="198"/>
      <c r="O183" s="221" t="s">
        <v>2308</v>
      </c>
      <c r="P183" s="1560" t="s">
        <v>4060</v>
      </c>
      <c r="Q183" s="234"/>
    </row>
    <row r="184" spans="1:32" ht="11.45" customHeight="1">
      <c r="B184" s="55" t="s">
        <v>2311</v>
      </c>
      <c r="C184" s="63" t="s">
        <v>108</v>
      </c>
      <c r="D184" s="63"/>
      <c r="E184" s="63"/>
      <c r="F184" s="63"/>
      <c r="G184" s="63"/>
      <c r="H184" s="63"/>
      <c r="I184" s="50"/>
      <c r="J184" s="50"/>
      <c r="K184" s="50"/>
      <c r="L184" s="191"/>
      <c r="M184" s="191"/>
      <c r="O184" s="221" t="s">
        <v>2311</v>
      </c>
      <c r="P184" s="1560" t="s">
        <v>4060</v>
      </c>
      <c r="Q184" s="234"/>
    </row>
    <row r="185" spans="1:32" s="200" customFormat="1" ht="11.45" customHeight="1">
      <c r="B185" s="55" t="s">
        <v>2783</v>
      </c>
      <c r="C185" s="63" t="s">
        <v>109</v>
      </c>
      <c r="D185" s="63"/>
      <c r="E185" s="63"/>
      <c r="F185" s="63"/>
      <c r="G185" s="63"/>
      <c r="H185" s="63"/>
      <c r="I185" s="127"/>
      <c r="J185" s="127"/>
      <c r="K185" s="127"/>
      <c r="L185" s="198"/>
      <c r="M185" s="198"/>
      <c r="N185" s="43"/>
      <c r="O185" s="221" t="s">
        <v>2783</v>
      </c>
      <c r="P185" s="1560" t="s">
        <v>4060</v>
      </c>
      <c r="Q185" s="234"/>
      <c r="AE185" s="806"/>
      <c r="AF185" s="806"/>
    </row>
    <row r="186" spans="1:32" s="200" customFormat="1" ht="11.45" customHeight="1">
      <c r="B186" s="55" t="s">
        <v>2482</v>
      </c>
      <c r="C186" s="63" t="s">
        <v>110</v>
      </c>
      <c r="D186" s="63"/>
      <c r="E186" s="63"/>
      <c r="F186" s="63"/>
      <c r="G186" s="63"/>
      <c r="H186" s="63"/>
      <c r="I186" s="127"/>
      <c r="J186" s="127"/>
      <c r="K186" s="127"/>
      <c r="L186" s="127"/>
      <c r="M186" s="127"/>
      <c r="O186" s="60" t="s">
        <v>2482</v>
      </c>
      <c r="P186" s="1560" t="s">
        <v>4060</v>
      </c>
      <c r="Q186" s="234"/>
      <c r="AE186" s="806"/>
      <c r="AF186" s="806"/>
    </row>
    <row r="187" spans="1:32" ht="11.25" customHeight="1">
      <c r="B187" s="192" t="s">
        <v>348</v>
      </c>
      <c r="D187" s="192"/>
      <c r="E187" s="192"/>
      <c r="F187" s="192"/>
      <c r="G187" s="192"/>
      <c r="H187" s="48"/>
      <c r="I187" s="181"/>
      <c r="J187" s="181"/>
      <c r="K187" s="181"/>
      <c r="L187" s="846"/>
      <c r="M187" s="846"/>
      <c r="N187" s="846"/>
      <c r="O187" s="846"/>
      <c r="P187" s="846"/>
      <c r="Q187" s="61"/>
    </row>
    <row r="188" spans="1:32" ht="13.15" customHeight="1">
      <c r="A188" s="1564" t="s">
        <v>373</v>
      </c>
      <c r="B188" s="1565"/>
      <c r="C188" s="1565"/>
      <c r="D188" s="1565"/>
      <c r="E188" s="1565"/>
      <c r="F188" s="1565"/>
      <c r="G188" s="1565"/>
      <c r="H188" s="1565"/>
      <c r="I188" s="1565"/>
      <c r="J188" s="1565"/>
      <c r="K188" s="1565"/>
      <c r="L188" s="1565"/>
      <c r="M188" s="1565"/>
      <c r="N188" s="1565"/>
      <c r="O188" s="1565"/>
      <c r="P188" s="1565"/>
      <c r="Q188" s="1566"/>
      <c r="R188" s="739" t="s">
        <v>3276</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349</v>
      </c>
      <c r="C190" s="189"/>
      <c r="D190" s="853"/>
      <c r="E190" s="853"/>
      <c r="F190" s="853"/>
      <c r="G190" s="853"/>
      <c r="H190" s="853"/>
      <c r="I190" s="853"/>
      <c r="J190" s="853"/>
      <c r="K190" s="853"/>
      <c r="L190" s="853"/>
      <c r="M190" s="853"/>
      <c r="N190" s="853"/>
      <c r="O190" s="853"/>
      <c r="P190" s="853"/>
      <c r="Q190" s="853"/>
    </row>
    <row r="191" spans="1:32" ht="13.15" customHeight="1">
      <c r="A191" s="1107"/>
      <c r="B191" s="1108"/>
      <c r="C191" s="1108"/>
      <c r="D191" s="1108"/>
      <c r="E191" s="1108"/>
      <c r="F191" s="1108"/>
      <c r="G191" s="1108"/>
      <c r="H191" s="1108"/>
      <c r="I191" s="1108"/>
      <c r="J191" s="1108"/>
      <c r="K191" s="1108"/>
      <c r="L191" s="1108"/>
      <c r="M191" s="1108"/>
      <c r="N191" s="1108"/>
      <c r="O191" s="1108"/>
      <c r="P191" s="1108"/>
      <c r="Q191" s="1109"/>
    </row>
    <row r="192" spans="1:32" ht="3" customHeight="1">
      <c r="A192" s="846"/>
      <c r="B192" s="181"/>
      <c r="C192" s="853"/>
      <c r="D192" s="853"/>
      <c r="E192" s="853"/>
      <c r="F192" s="853"/>
      <c r="G192" s="853"/>
      <c r="H192" s="853"/>
      <c r="I192" s="853"/>
      <c r="J192" s="853"/>
      <c r="K192" s="853"/>
      <c r="L192" s="853"/>
      <c r="M192" s="853"/>
      <c r="Q192" s="846"/>
    </row>
    <row r="193" spans="1:32" ht="13.9" customHeight="1">
      <c r="A193" s="854">
        <v>13</v>
      </c>
      <c r="B193" s="854" t="s">
        <v>3559</v>
      </c>
      <c r="C193" s="155"/>
      <c r="D193" s="853"/>
      <c r="E193" s="853"/>
      <c r="F193" s="853"/>
      <c r="G193" s="853"/>
      <c r="H193" s="853"/>
      <c r="I193" s="853"/>
      <c r="J193" s="853"/>
      <c r="K193" s="853"/>
      <c r="L193" s="853"/>
      <c r="M193" s="853"/>
      <c r="O193" s="182" t="s">
        <v>350</v>
      </c>
      <c r="P193" s="1111"/>
      <c r="Q193" s="1112"/>
    </row>
    <row r="194" spans="1:32" s="31" customFormat="1" ht="11.45" customHeight="1">
      <c r="B194" s="196" t="s">
        <v>3232</v>
      </c>
      <c r="N194" s="167"/>
      <c r="P194" s="1560" t="s">
        <v>4061</v>
      </c>
      <c r="Q194" s="234"/>
      <c r="AE194" s="161"/>
      <c r="AF194" s="161"/>
    </row>
    <row r="195" spans="1:32" ht="12" customHeight="1">
      <c r="B195" s="55" t="s">
        <v>2308</v>
      </c>
      <c r="C195" s="116" t="s">
        <v>1455</v>
      </c>
      <c r="D195" s="50"/>
      <c r="E195" s="50"/>
      <c r="F195" s="50"/>
      <c r="G195" s="50"/>
      <c r="H195" s="50"/>
      <c r="I195" s="50"/>
      <c r="J195" s="50"/>
      <c r="K195" s="50"/>
      <c r="L195" s="50"/>
      <c r="M195" s="50"/>
    </row>
    <row r="196" spans="1:32" ht="11.45" customHeight="1">
      <c r="B196" s="55"/>
      <c r="C196" s="80" t="s">
        <v>3747</v>
      </c>
      <c r="D196" s="63" t="s">
        <v>2243</v>
      </c>
      <c r="E196" s="63"/>
      <c r="F196" s="63"/>
      <c r="G196" s="63"/>
      <c r="H196" s="63"/>
      <c r="I196" s="50"/>
      <c r="J196" s="50"/>
      <c r="K196" s="50"/>
      <c r="L196" s="80" t="s">
        <v>3442</v>
      </c>
      <c r="M196" s="1570" t="s">
        <v>4090</v>
      </c>
      <c r="N196" s="1571"/>
      <c r="O196" s="1572"/>
      <c r="P196" s="1560" t="s">
        <v>4086</v>
      </c>
      <c r="Q196" s="234"/>
    </row>
    <row r="197" spans="1:32" ht="11.45" customHeight="1">
      <c r="B197" s="55"/>
      <c r="C197" s="80" t="s">
        <v>3748</v>
      </c>
      <c r="D197" s="38" t="s">
        <v>112</v>
      </c>
      <c r="E197" s="38"/>
      <c r="F197" s="38"/>
      <c r="G197" s="38"/>
      <c r="H197" s="38"/>
      <c r="I197" s="50"/>
      <c r="J197" s="50"/>
      <c r="K197" s="50"/>
      <c r="L197" s="80" t="s">
        <v>3443</v>
      </c>
      <c r="M197" s="1570" t="s">
        <v>3106</v>
      </c>
      <c r="N197" s="1571"/>
      <c r="O197" s="1572"/>
      <c r="P197" s="1560" t="s">
        <v>4086</v>
      </c>
      <c r="Q197" s="234"/>
    </row>
    <row r="198" spans="1:32" ht="11.45" customHeight="1">
      <c r="B198" s="55"/>
      <c r="C198" s="80" t="s">
        <v>3749</v>
      </c>
      <c r="D198" s="38" t="s">
        <v>762</v>
      </c>
      <c r="E198" s="38"/>
      <c r="F198" s="38"/>
      <c r="G198" s="38"/>
      <c r="H198" s="38"/>
      <c r="I198" s="50"/>
      <c r="J198" s="50"/>
      <c r="K198" s="50"/>
      <c r="L198" s="80" t="s">
        <v>3444</v>
      </c>
      <c r="M198" s="1589" t="s">
        <v>4091</v>
      </c>
      <c r="N198" s="1590"/>
      <c r="O198" s="1591"/>
      <c r="P198" s="1560" t="s">
        <v>4086</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2311</v>
      </c>
      <c r="C200" s="298" t="s">
        <v>3187</v>
      </c>
      <c r="D200" s="63"/>
      <c r="E200" s="63"/>
      <c r="F200" s="63"/>
      <c r="G200" s="63"/>
      <c r="H200" s="63"/>
      <c r="I200" s="63"/>
      <c r="J200" s="63"/>
      <c r="K200" s="50"/>
      <c r="L200" s="50"/>
      <c r="M200" s="50"/>
      <c r="N200" s="50"/>
      <c r="O200" s="60" t="s">
        <v>2311</v>
      </c>
      <c r="P200" s="1560" t="s">
        <v>4086</v>
      </c>
      <c r="Q200" s="234"/>
    </row>
    <row r="201" spans="1:32" ht="10.9" customHeight="1">
      <c r="B201" s="55"/>
      <c r="C201" s="63" t="s">
        <v>3186</v>
      </c>
      <c r="D201" s="63"/>
      <c r="E201" s="63"/>
      <c r="F201" s="63"/>
      <c r="G201" s="63"/>
      <c r="H201" s="63"/>
      <c r="I201" s="63"/>
      <c r="J201" s="63"/>
      <c r="K201" s="50"/>
      <c r="L201" s="50"/>
      <c r="M201" s="50"/>
      <c r="N201" s="50"/>
      <c r="O201" s="50"/>
      <c r="P201" s="1150" t="s">
        <v>1509</v>
      </c>
      <c r="Q201" s="1150"/>
    </row>
    <row r="202" spans="1:32" ht="10.9" customHeight="1">
      <c r="B202" s="55"/>
      <c r="D202" s="63" t="s">
        <v>1508</v>
      </c>
      <c r="E202" s="63"/>
      <c r="F202" s="63"/>
      <c r="G202" s="63"/>
      <c r="I202" s="447" t="s">
        <v>96</v>
      </c>
      <c r="J202" s="448" t="s">
        <v>97</v>
      </c>
      <c r="L202" s="63" t="s">
        <v>1508</v>
      </c>
      <c r="M202" s="50"/>
      <c r="N202" s="50"/>
      <c r="O202" s="447"/>
      <c r="P202" s="449" t="s">
        <v>96</v>
      </c>
      <c r="Q202" s="448" t="s">
        <v>97</v>
      </c>
    </row>
    <row r="203" spans="1:32" s="51" customFormat="1" ht="11.45" customHeight="1">
      <c r="A203" s="127"/>
      <c r="B203" s="62"/>
      <c r="C203" s="80" t="s">
        <v>3747</v>
      </c>
      <c r="D203" s="1592" t="s">
        <v>1348</v>
      </c>
      <c r="E203" s="1593"/>
      <c r="F203" s="1593"/>
      <c r="G203" s="1593"/>
      <c r="H203" s="1594"/>
      <c r="I203" s="450"/>
      <c r="J203" s="294"/>
      <c r="K203" s="80" t="s">
        <v>3749</v>
      </c>
      <c r="L203" s="1592"/>
      <c r="M203" s="1593"/>
      <c r="N203" s="1593"/>
      <c r="O203" s="1594"/>
      <c r="P203" s="357"/>
      <c r="Q203" s="294"/>
      <c r="AE203" s="65"/>
      <c r="AF203" s="65"/>
    </row>
    <row r="204" spans="1:32" s="51" customFormat="1" ht="11.45" customHeight="1">
      <c r="A204" s="127"/>
      <c r="B204" s="62"/>
      <c r="C204" s="80" t="s">
        <v>3748</v>
      </c>
      <c r="D204" s="1595" t="s">
        <v>3107</v>
      </c>
      <c r="E204" s="1596"/>
      <c r="F204" s="1596"/>
      <c r="G204" s="1596"/>
      <c r="H204" s="1597"/>
      <c r="I204" s="655"/>
      <c r="J204" s="295"/>
      <c r="K204" s="80" t="s">
        <v>2842</v>
      </c>
      <c r="L204" s="1595"/>
      <c r="M204" s="1596"/>
      <c r="N204" s="1596"/>
      <c r="O204" s="1597"/>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2783</v>
      </c>
      <c r="C206" s="298" t="s">
        <v>1456</v>
      </c>
      <c r="D206" s="63"/>
      <c r="E206" s="63"/>
      <c r="F206" s="63"/>
      <c r="G206" s="63"/>
      <c r="H206" s="63"/>
      <c r="I206" s="63"/>
      <c r="J206" s="63"/>
      <c r="K206" s="50"/>
      <c r="L206" s="63"/>
      <c r="M206" s="63"/>
      <c r="O206" s="60" t="s">
        <v>2783</v>
      </c>
      <c r="P206" s="1560" t="s">
        <v>4086</v>
      </c>
      <c r="Q206" s="234"/>
    </row>
    <row r="207" spans="1:32" ht="11.45" customHeight="1">
      <c r="B207" s="55"/>
      <c r="C207" s="80" t="s">
        <v>3747</v>
      </c>
      <c r="D207" s="63" t="s">
        <v>120</v>
      </c>
      <c r="E207" s="63"/>
      <c r="F207" s="63"/>
      <c r="G207" s="63"/>
      <c r="H207" s="63"/>
      <c r="I207" s="50"/>
      <c r="J207" s="40"/>
      <c r="K207" s="50"/>
      <c r="L207" s="40"/>
      <c r="M207" s="40"/>
      <c r="O207" s="80" t="s">
        <v>3747</v>
      </c>
      <c r="P207" s="1560" t="s">
        <v>4060</v>
      </c>
      <c r="Q207" s="234"/>
    </row>
    <row r="208" spans="1:32" ht="11.45" customHeight="1">
      <c r="C208" s="80" t="s">
        <v>3748</v>
      </c>
      <c r="D208" s="38" t="s">
        <v>1981</v>
      </c>
      <c r="E208" s="38"/>
      <c r="F208" s="38"/>
      <c r="G208" s="38"/>
      <c r="H208" s="38"/>
      <c r="I208" s="50"/>
      <c r="J208" s="40"/>
      <c r="K208" s="50"/>
      <c r="L208" s="40"/>
      <c r="M208" s="40"/>
      <c r="O208" s="80" t="s">
        <v>3748</v>
      </c>
      <c r="P208" s="1560" t="s">
        <v>4060</v>
      </c>
      <c r="Q208" s="234"/>
    </row>
    <row r="209" spans="1:31" ht="11.45" customHeight="1">
      <c r="C209" s="80" t="s">
        <v>3749</v>
      </c>
      <c r="D209" s="38" t="s">
        <v>3468</v>
      </c>
      <c r="E209" s="38"/>
      <c r="F209" s="38"/>
      <c r="G209" s="38"/>
      <c r="H209" s="38"/>
      <c r="I209" s="50"/>
      <c r="J209" s="40"/>
      <c r="K209" s="50"/>
      <c r="L209" s="40"/>
      <c r="M209" s="40"/>
      <c r="O209" s="80" t="s">
        <v>3749</v>
      </c>
      <c r="P209" s="1560" t="s">
        <v>4060</v>
      </c>
      <c r="Q209" s="234"/>
    </row>
    <row r="210" spans="1:31" ht="11.45" customHeight="1">
      <c r="B210" s="55"/>
      <c r="C210" s="80" t="s">
        <v>2842</v>
      </c>
      <c r="D210" s="38" t="s">
        <v>121</v>
      </c>
      <c r="E210" s="38"/>
      <c r="F210" s="38"/>
      <c r="G210" s="38"/>
      <c r="H210" s="38"/>
      <c r="I210" s="50"/>
      <c r="J210" s="40"/>
      <c r="K210" s="50"/>
      <c r="L210" s="40"/>
      <c r="M210" s="40"/>
      <c r="O210" s="80" t="s">
        <v>2842</v>
      </c>
      <c r="P210" s="1560" t="s">
        <v>4060</v>
      </c>
      <c r="Q210" s="234"/>
    </row>
    <row r="211" spans="1:31" ht="11.45" customHeight="1">
      <c r="B211" s="55"/>
      <c r="C211" s="80" t="s">
        <v>3514</v>
      </c>
      <c r="D211" s="63" t="s">
        <v>98</v>
      </c>
      <c r="E211" s="63"/>
      <c r="F211" s="63"/>
      <c r="G211" s="63"/>
      <c r="H211" s="63"/>
      <c r="I211" s="50"/>
      <c r="J211" s="40"/>
      <c r="K211" s="50"/>
      <c r="L211" s="40"/>
      <c r="M211" s="40"/>
      <c r="O211" s="80" t="s">
        <v>99</v>
      </c>
      <c r="P211" s="1560" t="s">
        <v>4060</v>
      </c>
      <c r="Q211" s="234"/>
    </row>
    <row r="212" spans="1:31" ht="11.45" customHeight="1">
      <c r="B212" s="55"/>
      <c r="C212" s="80"/>
      <c r="D212" s="63" t="s">
        <v>3445</v>
      </c>
      <c r="E212" s="63"/>
      <c r="F212" s="63"/>
      <c r="G212" s="63"/>
      <c r="H212" s="63"/>
      <c r="I212" s="50"/>
      <c r="J212" s="40"/>
      <c r="K212" s="50"/>
      <c r="L212" s="40"/>
      <c r="M212" s="40"/>
      <c r="O212" s="80" t="s">
        <v>100</v>
      </c>
      <c r="P212" s="1560" t="s">
        <v>4061</v>
      </c>
      <c r="Q212" s="234"/>
    </row>
    <row r="213" spans="1:31" ht="3" customHeight="1">
      <c r="B213" s="55"/>
      <c r="C213" s="80"/>
      <c r="D213" s="63"/>
      <c r="E213" s="63"/>
      <c r="F213" s="63"/>
      <c r="G213" s="63"/>
      <c r="H213" s="63"/>
      <c r="I213" s="50"/>
      <c r="J213" s="40"/>
      <c r="K213" s="50"/>
      <c r="L213" s="40"/>
      <c r="M213" s="40"/>
    </row>
    <row r="214" spans="1:31" ht="12" customHeight="1">
      <c r="B214" s="55" t="s">
        <v>2482</v>
      </c>
      <c r="C214" s="298" t="s">
        <v>2164</v>
      </c>
      <c r="D214" s="63"/>
      <c r="E214" s="63"/>
      <c r="F214" s="63"/>
      <c r="G214" s="63"/>
      <c r="H214" s="63"/>
      <c r="I214" s="63"/>
      <c r="J214" s="63"/>
      <c r="K214" s="50"/>
      <c r="L214" s="63"/>
      <c r="M214" s="63"/>
      <c r="O214" s="60" t="s">
        <v>2482</v>
      </c>
      <c r="P214" s="1560"/>
      <c r="Q214" s="234"/>
    </row>
    <row r="215" spans="1:31" ht="11.45" customHeight="1">
      <c r="B215" s="55"/>
      <c r="C215" s="80" t="s">
        <v>3747</v>
      </c>
      <c r="D215" s="47" t="s">
        <v>3277</v>
      </c>
      <c r="E215" s="50"/>
      <c r="F215" s="50"/>
      <c r="G215" s="47"/>
      <c r="H215" s="38"/>
      <c r="I215" s="50"/>
      <c r="J215" s="38"/>
      <c r="K215" s="50"/>
      <c r="L215" s="38"/>
      <c r="M215" s="38"/>
      <c r="O215" s="80" t="s">
        <v>3747</v>
      </c>
      <c r="P215" s="1560"/>
      <c r="Q215" s="234"/>
    </row>
    <row r="216" spans="1:31" ht="11.45" customHeight="1">
      <c r="B216" s="55"/>
      <c r="C216" s="80" t="s">
        <v>3748</v>
      </c>
      <c r="D216" s="47" t="s">
        <v>113</v>
      </c>
      <c r="E216" s="50"/>
      <c r="F216" s="50"/>
      <c r="G216" s="38"/>
      <c r="H216" s="38"/>
      <c r="I216" s="50"/>
      <c r="J216" s="38"/>
      <c r="K216" s="50"/>
      <c r="L216" s="38"/>
      <c r="M216" s="38"/>
      <c r="O216" s="80" t="s">
        <v>3748</v>
      </c>
      <c r="P216" s="1560"/>
      <c r="Q216" s="234"/>
    </row>
    <row r="217" spans="1:31" ht="11.45" customHeight="1">
      <c r="B217" s="55"/>
      <c r="C217" s="80" t="s">
        <v>3749</v>
      </c>
      <c r="D217" s="38" t="s">
        <v>1959</v>
      </c>
      <c r="E217" s="50"/>
      <c r="F217" s="50"/>
      <c r="G217" s="38"/>
      <c r="H217" s="38"/>
      <c r="I217" s="50"/>
      <c r="J217" s="38"/>
      <c r="K217" s="50"/>
      <c r="L217" s="38"/>
      <c r="M217" s="38"/>
      <c r="O217" s="80" t="s">
        <v>2851</v>
      </c>
      <c r="P217" s="1560"/>
      <c r="Q217" s="234"/>
    </row>
    <row r="218" spans="1:31" ht="11.45" customHeight="1">
      <c r="B218" s="44"/>
      <c r="C218" s="50"/>
      <c r="D218" s="38" t="s">
        <v>3309</v>
      </c>
      <c r="E218" s="50"/>
      <c r="F218" s="50"/>
      <c r="G218" s="38"/>
      <c r="H218" s="38"/>
      <c r="I218" s="50"/>
      <c r="J218" s="38"/>
      <c r="K218" s="50"/>
      <c r="L218" s="38"/>
      <c r="M218" s="38"/>
      <c r="O218" s="80" t="s">
        <v>2852</v>
      </c>
      <c r="P218" s="1560"/>
      <c r="Q218" s="234"/>
    </row>
    <row r="219" spans="1:31" ht="11.25" customHeight="1">
      <c r="B219" s="192" t="s">
        <v>348</v>
      </c>
      <c r="D219" s="192"/>
      <c r="E219" s="192"/>
      <c r="F219" s="192"/>
      <c r="G219" s="192"/>
      <c r="H219" s="48"/>
      <c r="I219" s="181"/>
      <c r="J219" s="181"/>
      <c r="K219" s="181"/>
      <c r="L219" s="846"/>
      <c r="M219" s="846"/>
      <c r="N219" s="846"/>
      <c r="O219" s="846"/>
      <c r="P219" s="846"/>
      <c r="Q219" s="61"/>
    </row>
    <row r="220" spans="1:31" ht="11.45" customHeight="1">
      <c r="A220" s="1564" t="s">
        <v>4129</v>
      </c>
      <c r="B220" s="1565"/>
      <c r="C220" s="1565"/>
      <c r="D220" s="1565"/>
      <c r="E220" s="1565"/>
      <c r="F220" s="1565"/>
      <c r="G220" s="1565"/>
      <c r="H220" s="1565"/>
      <c r="I220" s="1565"/>
      <c r="J220" s="1565"/>
      <c r="K220" s="1565"/>
      <c r="L220" s="1565"/>
      <c r="M220" s="1565"/>
      <c r="N220" s="1565"/>
      <c r="O220" s="1565"/>
      <c r="P220" s="1565"/>
      <c r="Q220" s="1566"/>
      <c r="R220" s="738" t="s">
        <v>3276</v>
      </c>
      <c r="S220" s="739"/>
      <c r="U220" s="187"/>
      <c r="V220" s="187"/>
      <c r="W220" s="187"/>
      <c r="X220" s="187"/>
      <c r="Y220" s="187"/>
      <c r="Z220" s="187"/>
      <c r="AA220" s="187"/>
      <c r="AB220" s="187"/>
      <c r="AC220" s="187"/>
      <c r="AD220" s="187"/>
      <c r="AE220" s="804"/>
    </row>
    <row r="221" spans="1:31" ht="11.25" customHeight="1">
      <c r="B221" s="188" t="s">
        <v>349</v>
      </c>
      <c r="C221" s="189"/>
      <c r="D221" s="853"/>
      <c r="E221" s="853"/>
      <c r="F221" s="853"/>
      <c r="G221" s="853"/>
      <c r="H221" s="853"/>
      <c r="I221" s="853"/>
      <c r="J221" s="853"/>
      <c r="K221" s="853"/>
      <c r="L221" s="853"/>
      <c r="M221" s="853"/>
      <c r="N221" s="853"/>
      <c r="O221" s="853"/>
      <c r="P221" s="853"/>
      <c r="Q221" s="853"/>
    </row>
    <row r="222" spans="1:31" ht="13.15" customHeight="1">
      <c r="A222" s="1107"/>
      <c r="B222" s="1108"/>
      <c r="C222" s="1108"/>
      <c r="D222" s="1108"/>
      <c r="E222" s="1108"/>
      <c r="F222" s="1108"/>
      <c r="G222" s="1108"/>
      <c r="H222" s="1108"/>
      <c r="I222" s="1108"/>
      <c r="J222" s="1108"/>
      <c r="K222" s="1108"/>
      <c r="L222" s="1108"/>
      <c r="M222" s="1108"/>
      <c r="N222" s="1108"/>
      <c r="O222" s="1108"/>
      <c r="P222" s="1108"/>
      <c r="Q222" s="1109"/>
    </row>
    <row r="223" spans="1:31" ht="3" customHeight="1">
      <c r="A223" s="846"/>
      <c r="B223" s="181"/>
      <c r="C223" s="853"/>
      <c r="D223" s="853"/>
      <c r="E223" s="853"/>
      <c r="F223" s="853"/>
      <c r="G223" s="853"/>
      <c r="H223" s="853"/>
      <c r="I223" s="853"/>
      <c r="J223" s="853"/>
      <c r="K223" s="853"/>
      <c r="L223" s="853"/>
      <c r="M223" s="853"/>
      <c r="Q223" s="846"/>
    </row>
    <row r="224" spans="1:31" ht="13.9" customHeight="1">
      <c r="A224" s="854">
        <v>14</v>
      </c>
      <c r="B224" s="5" t="s">
        <v>3560</v>
      </c>
      <c r="C224" s="5"/>
      <c r="D224" s="116"/>
      <c r="E224" s="116"/>
      <c r="F224" s="116"/>
      <c r="G224" s="116"/>
      <c r="H224" s="853"/>
      <c r="I224" s="853"/>
      <c r="J224" s="853"/>
      <c r="K224" s="853"/>
      <c r="L224" s="853"/>
      <c r="M224" s="853"/>
      <c r="O224" s="182" t="s">
        <v>350</v>
      </c>
      <c r="P224" s="1111"/>
      <c r="Q224" s="1112"/>
    </row>
    <row r="225" spans="1:32" ht="4.9000000000000004" customHeight="1"/>
    <row r="226" spans="1:32" ht="11.45" customHeight="1">
      <c r="B226" s="55" t="s">
        <v>2308</v>
      </c>
      <c r="C226" s="63" t="s">
        <v>1354</v>
      </c>
      <c r="D226" s="50"/>
      <c r="E226" s="63"/>
      <c r="F226" s="63"/>
      <c r="G226" s="63"/>
      <c r="H226" s="63"/>
      <c r="I226" s="50"/>
      <c r="J226" s="50"/>
      <c r="K226" s="50"/>
      <c r="L226" s="60" t="s">
        <v>2308</v>
      </c>
      <c r="M226" s="1570" t="s">
        <v>4092</v>
      </c>
      <c r="N226" s="1571"/>
      <c r="O226" s="1572"/>
      <c r="P226" s="1145" t="s">
        <v>2102</v>
      </c>
      <c r="Q226" s="1146"/>
    </row>
    <row r="227" spans="1:32" ht="11.45" customHeight="1">
      <c r="B227" s="55" t="s">
        <v>2311</v>
      </c>
      <c r="C227" s="63" t="s">
        <v>3265</v>
      </c>
      <c r="D227" s="63"/>
      <c r="E227" s="63"/>
      <c r="F227" s="63"/>
      <c r="G227" s="63"/>
      <c r="H227" s="63"/>
      <c r="I227" s="50"/>
      <c r="J227" s="50"/>
      <c r="K227" s="50"/>
      <c r="L227" s="60" t="s">
        <v>2311</v>
      </c>
      <c r="M227" s="1598">
        <v>41067</v>
      </c>
      <c r="N227" s="1599"/>
      <c r="O227" s="1600"/>
      <c r="P227" s="1143"/>
      <c r="Q227" s="1144"/>
    </row>
    <row r="228" spans="1:32" s="200" customFormat="1" ht="11.45" customHeight="1">
      <c r="B228" s="55" t="s">
        <v>2783</v>
      </c>
      <c r="C228" s="63" t="s">
        <v>3880</v>
      </c>
      <c r="D228" s="63"/>
      <c r="E228" s="63"/>
      <c r="F228" s="63"/>
      <c r="G228" s="63"/>
      <c r="H228" s="63"/>
      <c r="I228" s="127"/>
      <c r="J228" s="127"/>
      <c r="K228" s="127"/>
      <c r="L228" s="60" t="s">
        <v>2783</v>
      </c>
      <c r="M228" s="1570" t="s">
        <v>4093</v>
      </c>
      <c r="N228" s="1571"/>
      <c r="O228" s="1572"/>
      <c r="P228" s="1145"/>
      <c r="Q228" s="1146"/>
      <c r="AE228" s="806"/>
      <c r="AF228" s="806"/>
    </row>
    <row r="229" spans="1:32" s="200" customFormat="1" ht="11.45" customHeight="1">
      <c r="B229" s="55" t="s">
        <v>2482</v>
      </c>
      <c r="C229" s="63" t="s">
        <v>3851</v>
      </c>
      <c r="D229" s="63"/>
      <c r="E229" s="63"/>
      <c r="F229" s="63"/>
      <c r="G229" s="63"/>
      <c r="H229" s="63"/>
      <c r="I229" s="127"/>
      <c r="J229" s="127"/>
      <c r="K229" s="127"/>
      <c r="L229" s="127"/>
      <c r="M229" s="127"/>
      <c r="O229" s="60" t="s">
        <v>2482</v>
      </c>
      <c r="P229" s="1560" t="s">
        <v>4060</v>
      </c>
      <c r="Q229" s="234"/>
      <c r="AE229" s="806"/>
      <c r="AF229" s="806"/>
    </row>
    <row r="230" spans="1:32" s="200" customFormat="1" ht="22.15" customHeight="1">
      <c r="B230" s="193" t="s">
        <v>3745</v>
      </c>
      <c r="C230" s="1110" t="s">
        <v>1370</v>
      </c>
      <c r="D230" s="1110"/>
      <c r="E230" s="1110"/>
      <c r="F230" s="1110"/>
      <c r="G230" s="1110"/>
      <c r="H230" s="1110"/>
      <c r="I230" s="1110"/>
      <c r="J230" s="1110"/>
      <c r="K230" s="1110"/>
      <c r="L230" s="1110"/>
      <c r="M230" s="1110"/>
      <c r="N230" s="1110"/>
      <c r="O230" s="221" t="s">
        <v>3745</v>
      </c>
      <c r="P230" s="1560" t="s">
        <v>4086</v>
      </c>
      <c r="Q230" s="234"/>
      <c r="AE230" s="806"/>
      <c r="AF230" s="806"/>
    </row>
    <row r="231" spans="1:32" ht="11.25" customHeight="1">
      <c r="B231" s="192" t="s">
        <v>348</v>
      </c>
      <c r="D231" s="192"/>
      <c r="E231" s="192"/>
      <c r="F231" s="192"/>
      <c r="G231" s="192"/>
      <c r="H231" s="48"/>
      <c r="I231" s="181"/>
      <c r="J231" s="181"/>
      <c r="K231" s="181"/>
      <c r="L231" s="846"/>
      <c r="M231" s="846"/>
      <c r="N231" s="846"/>
      <c r="O231" s="846"/>
      <c r="P231" s="846"/>
      <c r="Q231" s="61"/>
    </row>
    <row r="232" spans="1:32" ht="13.15" customHeight="1">
      <c r="A232" s="1564" t="s">
        <v>1349</v>
      </c>
      <c r="B232" s="1565"/>
      <c r="C232" s="1565"/>
      <c r="D232" s="1565"/>
      <c r="E232" s="1565"/>
      <c r="F232" s="1565"/>
      <c r="G232" s="1565"/>
      <c r="H232" s="1565"/>
      <c r="I232" s="1565"/>
      <c r="J232" s="1565"/>
      <c r="K232" s="1565"/>
      <c r="L232" s="1565"/>
      <c r="M232" s="1565"/>
      <c r="N232" s="1565"/>
      <c r="O232" s="1565"/>
      <c r="P232" s="1565"/>
      <c r="Q232" s="1566"/>
      <c r="R232" s="738" t="s">
        <v>3276</v>
      </c>
      <c r="S232" s="739"/>
      <c r="U232" s="187"/>
      <c r="V232" s="187"/>
      <c r="W232" s="187"/>
      <c r="X232" s="187"/>
      <c r="Y232" s="187"/>
      <c r="Z232" s="187"/>
      <c r="AA232" s="187"/>
      <c r="AB232" s="187"/>
      <c r="AC232" s="187"/>
      <c r="AD232" s="187"/>
      <c r="AE232" s="804"/>
    </row>
    <row r="233" spans="1:32" ht="10.9" customHeight="1">
      <c r="B233" s="188" t="s">
        <v>349</v>
      </c>
      <c r="C233" s="189"/>
      <c r="D233" s="853"/>
      <c r="E233" s="853"/>
      <c r="F233" s="853"/>
      <c r="G233" s="853"/>
      <c r="H233" s="853"/>
      <c r="I233" s="853"/>
      <c r="J233" s="853"/>
      <c r="K233" s="853"/>
      <c r="L233" s="853"/>
      <c r="M233" s="853"/>
      <c r="N233" s="853"/>
      <c r="O233" s="853"/>
      <c r="P233" s="853"/>
      <c r="Q233" s="853"/>
    </row>
    <row r="234" spans="1:32" ht="13.15" customHeight="1">
      <c r="A234" s="1107"/>
      <c r="B234" s="1108"/>
      <c r="C234" s="1108"/>
      <c r="D234" s="1108"/>
      <c r="E234" s="1108"/>
      <c r="F234" s="1108"/>
      <c r="G234" s="1108"/>
      <c r="H234" s="1108"/>
      <c r="I234" s="1108"/>
      <c r="J234" s="1108"/>
      <c r="K234" s="1108"/>
      <c r="L234" s="1108"/>
      <c r="M234" s="1108"/>
      <c r="N234" s="1108"/>
      <c r="O234" s="1108"/>
      <c r="P234" s="1108"/>
      <c r="Q234" s="1109"/>
    </row>
    <row r="235" spans="1:32" ht="3" customHeight="1">
      <c r="A235" s="846"/>
      <c r="B235" s="181"/>
      <c r="C235" s="853"/>
      <c r="D235" s="853"/>
      <c r="E235" s="853"/>
      <c r="F235" s="853"/>
      <c r="G235" s="853"/>
      <c r="H235" s="853"/>
      <c r="I235" s="853"/>
      <c r="J235" s="853"/>
      <c r="K235" s="853"/>
      <c r="L235" s="853"/>
      <c r="M235" s="853"/>
      <c r="Q235" s="846"/>
    </row>
    <row r="236" spans="1:32" ht="13.9" customHeight="1">
      <c r="A236" s="854">
        <v>15</v>
      </c>
      <c r="B236" s="5" t="s">
        <v>3561</v>
      </c>
      <c r="C236" s="5"/>
      <c r="D236" s="116"/>
      <c r="E236" s="116"/>
      <c r="F236" s="116"/>
      <c r="G236" s="116"/>
      <c r="H236" s="853"/>
      <c r="I236" s="853"/>
      <c r="J236" s="853"/>
      <c r="K236" s="853"/>
      <c r="L236" s="853"/>
      <c r="M236" s="853"/>
      <c r="O236" s="182" t="s">
        <v>350</v>
      </c>
      <c r="P236" s="1111"/>
      <c r="Q236" s="1112"/>
    </row>
    <row r="237" spans="1:32" ht="3" customHeight="1"/>
    <row r="238" spans="1:32" s="664" customFormat="1" ht="11.25" customHeight="1">
      <c r="B238" s="193" t="s">
        <v>2308</v>
      </c>
      <c r="C238" s="1110" t="s">
        <v>3604</v>
      </c>
      <c r="D238" s="1110"/>
      <c r="E238" s="1110"/>
      <c r="F238" s="1110"/>
      <c r="G238" s="1110"/>
      <c r="H238" s="1110"/>
      <c r="I238" s="1110"/>
      <c r="J238" s="1110"/>
      <c r="K238" s="1110"/>
      <c r="L238" s="1110"/>
      <c r="M238" s="1110"/>
      <c r="N238" s="1110"/>
      <c r="O238" s="221" t="s">
        <v>2308</v>
      </c>
      <c r="P238" s="1581" t="s">
        <v>4060</v>
      </c>
      <c r="Q238" s="356"/>
      <c r="AE238" s="807"/>
      <c r="AF238" s="807"/>
    </row>
    <row r="239" spans="1:32" s="200" customFormat="1" ht="11.45" customHeight="1">
      <c r="B239" s="55" t="s">
        <v>2311</v>
      </c>
      <c r="C239" s="63" t="s">
        <v>1482</v>
      </c>
      <c r="D239" s="63"/>
      <c r="E239" s="63"/>
      <c r="F239" s="63"/>
      <c r="G239" s="63"/>
      <c r="H239" s="63"/>
      <c r="I239" s="63"/>
      <c r="J239" s="63"/>
      <c r="K239" s="63"/>
      <c r="L239" s="63"/>
      <c r="M239" s="63"/>
      <c r="O239" s="60" t="s">
        <v>2311</v>
      </c>
      <c r="P239" s="1560" t="s">
        <v>4060</v>
      </c>
      <c r="Q239" s="234"/>
      <c r="AE239" s="806"/>
      <c r="AF239" s="806"/>
    </row>
    <row r="240" spans="1:32" ht="11.25" customHeight="1">
      <c r="B240" s="192" t="s">
        <v>348</v>
      </c>
      <c r="D240" s="192"/>
      <c r="E240" s="192"/>
      <c r="F240" s="192"/>
      <c r="G240" s="192"/>
      <c r="H240" s="48"/>
      <c r="I240" s="181"/>
      <c r="J240" s="181"/>
      <c r="K240" s="181"/>
      <c r="L240" s="846"/>
      <c r="M240" s="846"/>
      <c r="N240" s="846"/>
      <c r="O240" s="846"/>
      <c r="P240" s="846"/>
      <c r="Q240" s="61"/>
    </row>
    <row r="241" spans="1:32" ht="13.15" customHeight="1">
      <c r="A241" s="1564" t="s">
        <v>374</v>
      </c>
      <c r="B241" s="1565"/>
      <c r="C241" s="1565"/>
      <c r="D241" s="1565"/>
      <c r="E241" s="1565"/>
      <c r="F241" s="1565"/>
      <c r="G241" s="1565"/>
      <c r="H241" s="1565"/>
      <c r="I241" s="1565"/>
      <c r="J241" s="1565"/>
      <c r="K241" s="1565"/>
      <c r="L241" s="1565"/>
      <c r="M241" s="1565"/>
      <c r="N241" s="1565"/>
      <c r="O241" s="1565"/>
      <c r="P241" s="1565"/>
      <c r="Q241" s="1566"/>
      <c r="R241" s="738" t="s">
        <v>3276</v>
      </c>
      <c r="S241" s="739"/>
      <c r="U241" s="187"/>
      <c r="V241" s="187"/>
      <c r="W241" s="187"/>
      <c r="X241" s="187"/>
      <c r="Y241" s="187"/>
      <c r="Z241" s="187"/>
      <c r="AA241" s="187"/>
      <c r="AB241" s="187"/>
      <c r="AC241" s="187"/>
      <c r="AD241" s="187"/>
      <c r="AE241" s="804"/>
    </row>
    <row r="242" spans="1:32" ht="11.25" customHeight="1">
      <c r="B242" s="188" t="s">
        <v>349</v>
      </c>
      <c r="C242" s="189"/>
      <c r="D242" s="853"/>
      <c r="E242" s="853"/>
      <c r="F242" s="853"/>
      <c r="G242" s="853"/>
      <c r="H242" s="853"/>
      <c r="I242" s="853"/>
      <c r="J242" s="853"/>
      <c r="K242" s="853"/>
      <c r="L242" s="853"/>
      <c r="M242" s="853"/>
      <c r="N242" s="853"/>
      <c r="O242" s="853"/>
      <c r="P242" s="853"/>
      <c r="Q242" s="853"/>
    </row>
    <row r="243" spans="1:32" ht="13.15" customHeight="1">
      <c r="A243" s="1107"/>
      <c r="B243" s="1108"/>
      <c r="C243" s="1108"/>
      <c r="D243" s="1108"/>
      <c r="E243" s="1108"/>
      <c r="F243" s="1108"/>
      <c r="G243" s="1108"/>
      <c r="H243" s="1108"/>
      <c r="I243" s="1108"/>
      <c r="J243" s="1108"/>
      <c r="K243" s="1108"/>
      <c r="L243" s="1108"/>
      <c r="M243" s="1108"/>
      <c r="N243" s="1108"/>
      <c r="O243" s="1108"/>
      <c r="P243" s="1108"/>
      <c r="Q243" s="1109"/>
    </row>
    <row r="244" spans="1:32" ht="3" customHeight="1">
      <c r="A244" s="846"/>
      <c r="B244" s="181"/>
      <c r="C244" s="853"/>
      <c r="D244" s="853"/>
      <c r="E244" s="853"/>
      <c r="F244" s="853"/>
      <c r="G244" s="853"/>
      <c r="H244" s="853"/>
      <c r="I244" s="853"/>
      <c r="J244" s="853"/>
      <c r="K244" s="853"/>
      <c r="L244" s="853"/>
      <c r="M244" s="853"/>
      <c r="N244" s="853"/>
      <c r="O244" s="853"/>
      <c r="P244" s="182"/>
      <c r="Q244" s="61"/>
    </row>
    <row r="245" spans="1:32" ht="13.9" customHeight="1">
      <c r="A245" s="854">
        <v>16</v>
      </c>
      <c r="B245" s="854" t="s">
        <v>3562</v>
      </c>
      <c r="C245" s="854"/>
      <c r="D245" s="853"/>
      <c r="E245" s="853"/>
      <c r="F245" s="853"/>
      <c r="G245" s="853"/>
      <c r="H245" s="853"/>
      <c r="I245" s="853"/>
      <c r="J245" s="853"/>
      <c r="K245" s="853"/>
      <c r="L245" s="853"/>
      <c r="M245" s="853"/>
      <c r="O245" s="182" t="s">
        <v>350</v>
      </c>
      <c r="P245" s="1111"/>
      <c r="Q245" s="1112"/>
    </row>
    <row r="246" spans="1:32" ht="3" customHeight="1"/>
    <row r="247" spans="1:32" s="664" customFormat="1" ht="24" customHeight="1">
      <c r="B247" s="193" t="s">
        <v>2308</v>
      </c>
      <c r="C247" s="1114" t="s">
        <v>3866</v>
      </c>
      <c r="D247" s="1004"/>
      <c r="E247" s="1004"/>
      <c r="F247" s="1004"/>
      <c r="G247" s="1004"/>
      <c r="H247" s="1004"/>
      <c r="I247" s="1004"/>
      <c r="J247" s="1004"/>
      <c r="K247" s="1004"/>
      <c r="L247" s="1004"/>
      <c r="M247" s="1004"/>
      <c r="N247" s="1004"/>
      <c r="O247" s="221" t="s">
        <v>2308</v>
      </c>
      <c r="P247" s="1560" t="s">
        <v>4086</v>
      </c>
      <c r="Q247" s="234"/>
      <c r="AE247" s="807"/>
      <c r="AF247" s="807"/>
    </row>
    <row r="248" spans="1:32" s="664" customFormat="1" ht="24" customHeight="1">
      <c r="B248" s="193" t="s">
        <v>2311</v>
      </c>
      <c r="C248" s="1114" t="s">
        <v>3867</v>
      </c>
      <c r="D248" s="1004"/>
      <c r="E248" s="1004"/>
      <c r="F248" s="1004"/>
      <c r="G248" s="1004"/>
      <c r="H248" s="1004"/>
      <c r="I248" s="1004"/>
      <c r="J248" s="1004"/>
      <c r="K248" s="1004"/>
      <c r="L248" s="1004"/>
      <c r="M248" s="1004"/>
      <c r="N248" s="1004"/>
      <c r="O248" s="221" t="s">
        <v>2311</v>
      </c>
      <c r="P248" s="1560" t="s">
        <v>4086</v>
      </c>
      <c r="Q248" s="234"/>
      <c r="AE248" s="807"/>
      <c r="AF248" s="807"/>
    </row>
    <row r="249" spans="1:32" ht="11.25" customHeight="1">
      <c r="B249" s="192" t="s">
        <v>348</v>
      </c>
      <c r="D249" s="192"/>
      <c r="E249" s="192"/>
      <c r="F249" s="192"/>
      <c r="G249" s="192"/>
      <c r="H249" s="48"/>
      <c r="I249" s="181"/>
      <c r="J249" s="181"/>
      <c r="K249" s="181"/>
      <c r="L249" s="846"/>
      <c r="M249" s="846"/>
      <c r="N249" s="846"/>
      <c r="O249" s="846"/>
      <c r="P249" s="846"/>
      <c r="Q249" s="61"/>
    </row>
    <row r="250" spans="1:32" ht="13.15" customHeight="1">
      <c r="A250" s="1564" t="s">
        <v>1350</v>
      </c>
      <c r="B250" s="1565"/>
      <c r="C250" s="1565"/>
      <c r="D250" s="1565"/>
      <c r="E250" s="1565"/>
      <c r="F250" s="1565"/>
      <c r="G250" s="1565"/>
      <c r="H250" s="1565"/>
      <c r="I250" s="1565"/>
      <c r="J250" s="1565"/>
      <c r="K250" s="1565"/>
      <c r="L250" s="1565"/>
      <c r="M250" s="1565"/>
      <c r="N250" s="1565"/>
      <c r="O250" s="1565"/>
      <c r="P250" s="1565"/>
      <c r="Q250" s="1566"/>
      <c r="R250" s="738" t="s">
        <v>3276</v>
      </c>
      <c r="S250" s="739"/>
      <c r="U250" s="187"/>
      <c r="V250" s="187"/>
      <c r="W250" s="187"/>
      <c r="X250" s="187"/>
      <c r="Y250" s="187"/>
      <c r="Z250" s="187"/>
      <c r="AA250" s="187"/>
      <c r="AB250" s="187"/>
      <c r="AC250" s="187"/>
      <c r="AD250" s="187"/>
      <c r="AE250" s="804"/>
    </row>
    <row r="251" spans="1:32" ht="11.25" customHeight="1">
      <c r="B251" s="188" t="s">
        <v>349</v>
      </c>
      <c r="C251" s="189"/>
      <c r="D251" s="853"/>
      <c r="E251" s="853"/>
      <c r="F251" s="853"/>
      <c r="G251" s="853"/>
      <c r="H251" s="853"/>
      <c r="I251" s="853"/>
      <c r="J251" s="853"/>
      <c r="K251" s="853"/>
      <c r="L251" s="853"/>
      <c r="M251" s="853"/>
      <c r="N251" s="853"/>
      <c r="O251" s="853"/>
      <c r="P251" s="853"/>
      <c r="Q251" s="853"/>
    </row>
    <row r="252" spans="1:32" ht="13.15" customHeight="1">
      <c r="A252" s="1107"/>
      <c r="B252" s="1108"/>
      <c r="C252" s="1108"/>
      <c r="D252" s="1108"/>
      <c r="E252" s="1108"/>
      <c r="F252" s="1108"/>
      <c r="G252" s="1108"/>
      <c r="H252" s="1108"/>
      <c r="I252" s="1108"/>
      <c r="J252" s="1108"/>
      <c r="K252" s="1108"/>
      <c r="L252" s="1108"/>
      <c r="M252" s="1108"/>
      <c r="N252" s="1108"/>
      <c r="O252" s="1108"/>
      <c r="P252" s="1108"/>
      <c r="Q252" s="1109"/>
    </row>
    <row r="253" spans="1:32" ht="5.45" customHeight="1">
      <c r="A253" s="846"/>
      <c r="B253" s="181"/>
      <c r="C253" s="853"/>
      <c r="D253" s="853"/>
      <c r="E253" s="853"/>
      <c r="F253" s="853"/>
      <c r="G253" s="853"/>
      <c r="H253" s="853"/>
      <c r="I253" s="853"/>
      <c r="J253" s="853"/>
      <c r="K253" s="853"/>
      <c r="L253" s="853"/>
      <c r="M253" s="853"/>
      <c r="Q253" s="846"/>
    </row>
    <row r="254" spans="1:32" ht="13.9" customHeight="1">
      <c r="A254" s="854">
        <v>17</v>
      </c>
      <c r="B254" s="854" t="s">
        <v>3563</v>
      </c>
      <c r="C254" s="202"/>
      <c r="D254" s="855"/>
      <c r="E254" s="853"/>
      <c r="F254" s="853"/>
      <c r="G254" s="853"/>
      <c r="H254" s="853"/>
      <c r="I254" s="853"/>
      <c r="J254" s="853"/>
      <c r="K254" s="853"/>
      <c r="L254" s="853"/>
      <c r="M254" s="853"/>
      <c r="O254" s="182" t="s">
        <v>350</v>
      </c>
      <c r="P254" s="1111"/>
      <c r="Q254" s="1112"/>
    </row>
    <row r="255" spans="1:32" s="200" customFormat="1" ht="46.5" customHeight="1">
      <c r="B255" s="193" t="s">
        <v>2308</v>
      </c>
      <c r="C255" s="1114" t="s">
        <v>3591</v>
      </c>
      <c r="D255" s="1114"/>
      <c r="E255" s="1114"/>
      <c r="F255" s="1114"/>
      <c r="G255" s="1114"/>
      <c r="H255" s="1114"/>
      <c r="I255" s="1114"/>
      <c r="J255" s="1114"/>
      <c r="K255" s="1114"/>
      <c r="L255" s="1114"/>
      <c r="M255" s="1114"/>
      <c r="N255" s="1114"/>
      <c r="O255" s="221" t="s">
        <v>2308</v>
      </c>
      <c r="P255" s="1581" t="s">
        <v>4060</v>
      </c>
      <c r="Q255" s="234"/>
      <c r="AE255" s="806"/>
      <c r="AF255" s="806"/>
    </row>
    <row r="256" spans="1:32" s="127" customFormat="1">
      <c r="B256" s="55" t="s">
        <v>2311</v>
      </c>
      <c r="C256" s="1090" t="s">
        <v>3592</v>
      </c>
      <c r="D256" s="1090"/>
      <c r="E256" s="1090"/>
      <c r="F256" s="1090"/>
      <c r="G256" s="1090"/>
      <c r="H256" s="1090"/>
      <c r="I256" s="1090"/>
      <c r="J256" s="1090"/>
      <c r="K256" s="1090"/>
      <c r="L256" s="1090"/>
      <c r="M256" s="1090"/>
      <c r="N256" s="1090"/>
      <c r="O256" s="60" t="s">
        <v>2311</v>
      </c>
      <c r="P256" s="1560" t="s">
        <v>4060</v>
      </c>
      <c r="Q256" s="234"/>
      <c r="AE256" s="808"/>
      <c r="AF256" s="808"/>
    </row>
    <row r="257" spans="1:256" s="664" customFormat="1" ht="22.9" customHeight="1">
      <c r="B257" s="193" t="s">
        <v>2783</v>
      </c>
      <c r="C257" s="1114" t="s">
        <v>318</v>
      </c>
      <c r="D257" s="1004"/>
      <c r="E257" s="1004"/>
      <c r="F257" s="1004"/>
      <c r="G257" s="1004"/>
      <c r="H257" s="1004"/>
      <c r="I257" s="1004"/>
      <c r="J257" s="1004"/>
      <c r="K257" s="1004"/>
      <c r="L257" s="1004"/>
      <c r="M257" s="1004"/>
      <c r="N257" s="1004"/>
      <c r="O257" s="221" t="s">
        <v>2783</v>
      </c>
      <c r="P257" s="1581" t="s">
        <v>4060</v>
      </c>
      <c r="Q257" s="356"/>
      <c r="AE257" s="807"/>
      <c r="AF257" s="807"/>
    </row>
    <row r="258" spans="1:256" s="200" customFormat="1" ht="12" customHeight="1">
      <c r="B258" s="55" t="s">
        <v>2482</v>
      </c>
      <c r="C258" s="38" t="s">
        <v>319</v>
      </c>
      <c r="D258" s="734"/>
      <c r="E258" s="734"/>
      <c r="F258" s="734"/>
      <c r="G258" s="734"/>
      <c r="H258" s="734"/>
      <c r="I258" s="734"/>
      <c r="J258" s="734"/>
      <c r="K258" s="734"/>
      <c r="L258" s="734"/>
      <c r="M258" s="734"/>
      <c r="N258" s="733"/>
      <c r="O258" s="60" t="s">
        <v>2482</v>
      </c>
      <c r="P258" s="1560" t="s">
        <v>4060</v>
      </c>
      <c r="Q258" s="234"/>
      <c r="AE258" s="806"/>
      <c r="AF258" s="806"/>
    </row>
    <row r="259" spans="1:256" s="664" customFormat="1" ht="24.75" customHeight="1">
      <c r="B259" s="193" t="s">
        <v>3745</v>
      </c>
      <c r="C259" s="1114" t="s">
        <v>2139</v>
      </c>
      <c r="D259" s="1004"/>
      <c r="E259" s="1004"/>
      <c r="F259" s="1004"/>
      <c r="G259" s="1004"/>
      <c r="H259" s="1004"/>
      <c r="I259" s="1004"/>
      <c r="J259" s="1004"/>
      <c r="K259" s="1004"/>
      <c r="L259" s="1004"/>
      <c r="M259" s="1004"/>
      <c r="N259" s="1004"/>
      <c r="O259" s="221" t="s">
        <v>3745</v>
      </c>
      <c r="P259" s="1581" t="s">
        <v>4060</v>
      </c>
      <c r="Q259" s="356"/>
      <c r="AE259" s="807"/>
      <c r="AF259" s="807"/>
    </row>
    <row r="260" spans="1:256" ht="11.25" customHeight="1">
      <c r="B260" s="192" t="s">
        <v>348</v>
      </c>
      <c r="D260" s="192"/>
      <c r="E260" s="192"/>
      <c r="F260" s="192"/>
      <c r="G260" s="192"/>
      <c r="H260" s="48"/>
      <c r="I260" s="181"/>
      <c r="J260" s="181"/>
      <c r="K260" s="181"/>
      <c r="L260" s="846"/>
      <c r="M260" s="846"/>
      <c r="N260" s="846"/>
      <c r="O260" s="846"/>
      <c r="P260" s="846"/>
      <c r="Q260" s="61"/>
    </row>
    <row r="261" spans="1:256" ht="11.45" customHeight="1">
      <c r="A261" s="1564" t="s">
        <v>1351</v>
      </c>
      <c r="B261" s="1565"/>
      <c r="C261" s="1565"/>
      <c r="D261" s="1565"/>
      <c r="E261" s="1565"/>
      <c r="F261" s="1565"/>
      <c r="G261" s="1565"/>
      <c r="H261" s="1565"/>
      <c r="I261" s="1565"/>
      <c r="J261" s="1565"/>
      <c r="K261" s="1565"/>
      <c r="L261" s="1565"/>
      <c r="M261" s="1565"/>
      <c r="N261" s="1565"/>
      <c r="O261" s="1565"/>
      <c r="P261" s="1565"/>
      <c r="Q261" s="1566"/>
      <c r="R261" s="738" t="s">
        <v>3276</v>
      </c>
      <c r="S261" s="739"/>
      <c r="U261" s="187"/>
      <c r="V261" s="187"/>
      <c r="W261" s="187"/>
      <c r="X261" s="187"/>
      <c r="Y261" s="187"/>
      <c r="Z261" s="187"/>
      <c r="AA261" s="187"/>
      <c r="AB261" s="187"/>
      <c r="AC261" s="187"/>
      <c r="AD261" s="187"/>
      <c r="AE261" s="804"/>
    </row>
    <row r="262" spans="1:256" ht="11.25" customHeight="1">
      <c r="B262" s="188" t="s">
        <v>349</v>
      </c>
      <c r="C262" s="189"/>
      <c r="D262" s="853"/>
      <c r="E262" s="853"/>
      <c r="F262" s="853"/>
      <c r="G262" s="853"/>
      <c r="H262" s="853"/>
      <c r="I262" s="853"/>
      <c r="J262" s="853"/>
      <c r="K262" s="853"/>
      <c r="L262" s="853"/>
      <c r="M262" s="853"/>
      <c r="N262" s="853"/>
      <c r="O262" s="853"/>
      <c r="P262" s="853"/>
      <c r="Q262" s="853"/>
    </row>
    <row r="263" spans="1:256" ht="11.45" customHeight="1">
      <c r="A263" s="1107"/>
      <c r="B263" s="1108"/>
      <c r="C263" s="1108"/>
      <c r="D263" s="1108"/>
      <c r="E263" s="1108"/>
      <c r="F263" s="1108"/>
      <c r="G263" s="1108"/>
      <c r="H263" s="1108"/>
      <c r="I263" s="1108"/>
      <c r="J263" s="1108"/>
      <c r="K263" s="1108"/>
      <c r="L263" s="1108"/>
      <c r="M263" s="1108"/>
      <c r="N263" s="1108"/>
      <c r="O263" s="1108"/>
      <c r="P263" s="1108"/>
      <c r="Q263" s="1109"/>
    </row>
    <row r="264" spans="1:256" ht="13.9" customHeight="1">
      <c r="A264" s="854">
        <v>18</v>
      </c>
      <c r="B264" s="11" t="s">
        <v>3564</v>
      </c>
      <c r="C264" s="11"/>
      <c r="D264" s="11"/>
      <c r="E264" s="11"/>
      <c r="F264" s="11"/>
      <c r="G264" s="11"/>
      <c r="H264" s="853"/>
      <c r="I264" s="853"/>
      <c r="J264" s="853"/>
      <c r="K264" s="853"/>
      <c r="L264" s="853"/>
      <c r="M264" s="853"/>
      <c r="O264" s="182" t="s">
        <v>350</v>
      </c>
      <c r="P264" s="1124"/>
      <c r="Q264" s="1125"/>
    </row>
    <row r="265" spans="1:256" ht="11.45" customHeight="1">
      <c r="B265" s="196" t="s">
        <v>3624</v>
      </c>
      <c r="P265" s="1560" t="s">
        <v>4061</v>
      </c>
      <c r="Q265" s="234"/>
    </row>
    <row r="266" spans="1:256" ht="12" customHeight="1">
      <c r="B266" s="198" t="s">
        <v>2960</v>
      </c>
      <c r="C266" s="198"/>
      <c r="D266" s="198"/>
      <c r="E266" s="198"/>
      <c r="F266" s="198"/>
      <c r="G266" s="198"/>
      <c r="H266" s="198"/>
      <c r="I266" s="198"/>
      <c r="J266" s="198"/>
      <c r="K266" s="198"/>
      <c r="L266" s="198"/>
      <c r="P266" s="1560" t="s">
        <v>4060</v>
      </c>
      <c r="Q266" s="234"/>
    </row>
    <row r="267" spans="1:256" ht="11.45" customHeight="1">
      <c r="B267" s="193" t="s">
        <v>2308</v>
      </c>
      <c r="C267" s="261" t="s">
        <v>599</v>
      </c>
      <c r="D267" s="38"/>
      <c r="E267" s="38"/>
      <c r="F267" s="38"/>
      <c r="G267" s="38"/>
      <c r="H267" s="38"/>
      <c r="I267" s="38"/>
      <c r="J267" s="38"/>
      <c r="K267" s="38"/>
      <c r="L267" s="38"/>
      <c r="M267" s="38"/>
      <c r="N267" s="221"/>
    </row>
    <row r="268" spans="1:256" ht="33.6" customHeight="1">
      <c r="A268" s="195"/>
      <c r="C268" s="1114" t="s">
        <v>4022</v>
      </c>
      <c r="D268" s="1114"/>
      <c r="E268" s="1114"/>
      <c r="F268" s="1114"/>
      <c r="G268" s="1114"/>
      <c r="H268" s="1114"/>
      <c r="I268" s="1114"/>
      <c r="J268" s="1114"/>
      <c r="K268" s="1114"/>
      <c r="L268" s="1114"/>
      <c r="M268" s="1114"/>
      <c r="N268" s="1114"/>
      <c r="O268" s="221" t="s">
        <v>2308</v>
      </c>
      <c r="P268" s="1581" t="s">
        <v>4060</v>
      </c>
      <c r="Q268" s="356"/>
    </row>
    <row r="269" spans="1:256" ht="3" customHeight="1">
      <c r="A269" s="846"/>
      <c r="B269" s="846"/>
      <c r="C269" s="846"/>
      <c r="D269" s="846"/>
      <c r="E269" s="846"/>
      <c r="F269" s="846"/>
      <c r="G269" s="846"/>
      <c r="H269" s="846"/>
      <c r="I269" s="846"/>
      <c r="J269" s="846"/>
      <c r="K269" s="846"/>
      <c r="L269" s="846"/>
      <c r="M269" s="846"/>
      <c r="N269" s="846"/>
      <c r="O269" s="846"/>
      <c r="P269" s="846"/>
      <c r="Q269" s="846"/>
      <c r="R269" s="846"/>
      <c r="S269" s="846"/>
      <c r="T269" s="846"/>
      <c r="U269" s="846"/>
      <c r="V269" s="846"/>
      <c r="W269" s="846"/>
      <c r="X269" s="846"/>
      <c r="Y269" s="846"/>
      <c r="Z269" s="846"/>
      <c r="AA269" s="846"/>
      <c r="AB269" s="846"/>
      <c r="AC269" s="846"/>
      <c r="AD269" s="846"/>
      <c r="AE269" s="61"/>
      <c r="AF269" s="61"/>
      <c r="AG269" s="846"/>
      <c r="AH269" s="846"/>
      <c r="AI269" s="846"/>
      <c r="AJ269" s="846"/>
      <c r="AK269" s="846"/>
      <c r="AL269" s="846"/>
      <c r="AM269" s="846"/>
      <c r="AN269" s="846"/>
      <c r="AO269" s="846"/>
      <c r="AP269" s="846"/>
      <c r="AQ269" s="846"/>
      <c r="AR269" s="846"/>
      <c r="AS269" s="846"/>
      <c r="AT269" s="846"/>
      <c r="AU269" s="846"/>
      <c r="AV269" s="846"/>
      <c r="AW269" s="846"/>
      <c r="AX269" s="846"/>
      <c r="AY269" s="846"/>
      <c r="AZ269" s="846"/>
      <c r="BA269" s="846"/>
      <c r="BB269" s="846"/>
      <c r="BC269" s="846"/>
      <c r="BD269" s="846"/>
      <c r="BE269" s="846"/>
      <c r="BF269" s="846"/>
      <c r="BG269" s="846"/>
      <c r="BH269" s="846"/>
      <c r="BI269" s="846"/>
      <c r="BJ269" s="846"/>
      <c r="BK269" s="846"/>
      <c r="BL269" s="846"/>
      <c r="BM269" s="846"/>
      <c r="BN269" s="846"/>
      <c r="BO269" s="846"/>
      <c r="BP269" s="846"/>
      <c r="BQ269" s="846"/>
      <c r="BR269" s="846"/>
      <c r="BS269" s="846"/>
      <c r="BT269" s="846"/>
      <c r="BU269" s="846"/>
      <c r="BV269" s="846"/>
      <c r="BW269" s="846"/>
      <c r="BX269" s="846"/>
      <c r="BY269" s="846"/>
      <c r="BZ269" s="846"/>
      <c r="CA269" s="846"/>
      <c r="CB269" s="846"/>
      <c r="CC269" s="846"/>
      <c r="CD269" s="846"/>
      <c r="CE269" s="846"/>
      <c r="CF269" s="846"/>
      <c r="CG269" s="846"/>
      <c r="CH269" s="846"/>
      <c r="CI269" s="846"/>
      <c r="CJ269" s="846"/>
      <c r="CK269" s="846"/>
      <c r="CL269" s="846"/>
      <c r="CM269" s="846"/>
      <c r="CN269" s="846"/>
      <c r="CO269" s="846"/>
      <c r="CP269" s="846"/>
      <c r="CQ269" s="846"/>
      <c r="CR269" s="846"/>
      <c r="CS269" s="846"/>
      <c r="CT269" s="846"/>
      <c r="CU269" s="846"/>
      <c r="CV269" s="846"/>
      <c r="CW269" s="846"/>
      <c r="CX269" s="846"/>
      <c r="CY269" s="846"/>
      <c r="CZ269" s="846"/>
      <c r="DA269" s="846"/>
      <c r="DB269" s="846"/>
      <c r="DC269" s="846"/>
      <c r="DD269" s="846"/>
      <c r="DE269" s="846"/>
      <c r="DF269" s="846"/>
      <c r="DG269" s="846"/>
      <c r="DH269" s="846"/>
      <c r="DI269" s="846"/>
      <c r="DJ269" s="846"/>
      <c r="DK269" s="846"/>
      <c r="DL269" s="846"/>
      <c r="DM269" s="846"/>
      <c r="DN269" s="846"/>
      <c r="DO269" s="846"/>
      <c r="DP269" s="846"/>
      <c r="DQ269" s="846"/>
      <c r="DR269" s="846"/>
      <c r="DS269" s="846"/>
      <c r="DT269" s="846"/>
      <c r="DU269" s="846"/>
      <c r="DV269" s="846"/>
      <c r="DW269" s="846"/>
      <c r="DX269" s="846"/>
      <c r="DY269" s="846"/>
      <c r="DZ269" s="846"/>
      <c r="EA269" s="846"/>
      <c r="EB269" s="846"/>
      <c r="EC269" s="846"/>
      <c r="ED269" s="846"/>
      <c r="EE269" s="846"/>
      <c r="EF269" s="846"/>
      <c r="EG269" s="846"/>
      <c r="EH269" s="846"/>
      <c r="EI269" s="846"/>
      <c r="EJ269" s="846"/>
      <c r="EK269" s="846"/>
      <c r="EL269" s="846"/>
      <c r="EM269" s="846"/>
      <c r="EN269" s="846"/>
      <c r="EO269" s="846"/>
      <c r="EP269" s="846"/>
      <c r="EQ269" s="846"/>
      <c r="ER269" s="846"/>
      <c r="ES269" s="846"/>
      <c r="ET269" s="846"/>
      <c r="EU269" s="846"/>
      <c r="EV269" s="846"/>
      <c r="EW269" s="846"/>
      <c r="EX269" s="846"/>
      <c r="EY269" s="846"/>
      <c r="EZ269" s="846"/>
      <c r="FA269" s="846"/>
      <c r="FB269" s="846"/>
      <c r="FC269" s="846"/>
      <c r="FD269" s="846"/>
      <c r="FE269" s="846"/>
      <c r="FF269" s="846"/>
      <c r="FG269" s="846"/>
      <c r="FH269" s="846"/>
      <c r="FI269" s="846"/>
      <c r="FJ269" s="846"/>
      <c r="FK269" s="846"/>
      <c r="FL269" s="846"/>
      <c r="FM269" s="846"/>
      <c r="FN269" s="846"/>
      <c r="FO269" s="846"/>
      <c r="FP269" s="846"/>
      <c r="FQ269" s="846"/>
      <c r="FR269" s="846"/>
      <c r="FS269" s="846"/>
      <c r="FT269" s="846"/>
      <c r="FU269" s="846"/>
      <c r="FV269" s="846"/>
      <c r="FW269" s="846"/>
      <c r="FX269" s="846"/>
      <c r="FY269" s="846"/>
      <c r="FZ269" s="846"/>
      <c r="GA269" s="846"/>
      <c r="GB269" s="846"/>
      <c r="GC269" s="846"/>
      <c r="GD269" s="846"/>
      <c r="GE269" s="846"/>
      <c r="GF269" s="846"/>
      <c r="GG269" s="846"/>
      <c r="GH269" s="846"/>
      <c r="GI269" s="846"/>
      <c r="GJ269" s="846"/>
      <c r="GK269" s="846"/>
      <c r="GL269" s="846"/>
      <c r="GM269" s="846"/>
      <c r="GN269" s="846"/>
      <c r="GO269" s="846"/>
      <c r="GP269" s="846"/>
      <c r="GQ269" s="846"/>
      <c r="GR269" s="846"/>
      <c r="GS269" s="846"/>
      <c r="GT269" s="846"/>
      <c r="GU269" s="846"/>
      <c r="GV269" s="846"/>
      <c r="GW269" s="846"/>
      <c r="GX269" s="846"/>
      <c r="GY269" s="846"/>
      <c r="GZ269" s="846"/>
      <c r="HA269" s="846"/>
      <c r="HB269" s="846"/>
      <c r="HC269" s="846"/>
      <c r="HD269" s="846"/>
      <c r="HE269" s="846"/>
      <c r="HF269" s="846"/>
      <c r="HG269" s="846"/>
      <c r="HH269" s="846"/>
      <c r="HI269" s="846"/>
      <c r="HJ269" s="846"/>
      <c r="HK269" s="846"/>
      <c r="HL269" s="846"/>
      <c r="HM269" s="846"/>
      <c r="HN269" s="846"/>
      <c r="HO269" s="846"/>
      <c r="HP269" s="846"/>
      <c r="HQ269" s="846"/>
      <c r="HR269" s="846"/>
      <c r="HS269" s="846"/>
      <c r="HT269" s="846"/>
      <c r="HU269" s="846"/>
      <c r="HV269" s="846"/>
      <c r="HW269" s="846"/>
      <c r="HX269" s="846"/>
      <c r="HY269" s="846"/>
      <c r="HZ269" s="846"/>
      <c r="IA269" s="846"/>
      <c r="IB269" s="846"/>
      <c r="IC269" s="846"/>
      <c r="ID269" s="846"/>
      <c r="IE269" s="846"/>
      <c r="IF269" s="846"/>
      <c r="IG269" s="846"/>
      <c r="IH269" s="846"/>
      <c r="II269" s="846"/>
      <c r="IJ269" s="846"/>
      <c r="IK269" s="846"/>
      <c r="IL269" s="846"/>
      <c r="IM269" s="846"/>
      <c r="IN269" s="846"/>
      <c r="IO269" s="846"/>
      <c r="IP269" s="846"/>
      <c r="IQ269" s="846"/>
      <c r="IR269" s="846"/>
      <c r="IS269" s="846"/>
      <c r="IT269" s="846"/>
      <c r="IU269" s="846"/>
      <c r="IV269" s="846"/>
    </row>
    <row r="270" spans="1:256" ht="12.6" customHeight="1">
      <c r="B270" s="193" t="s">
        <v>2311</v>
      </c>
      <c r="C270" s="1123" t="s">
        <v>600</v>
      </c>
      <c r="D270" s="1123"/>
      <c r="E270" s="1123"/>
      <c r="F270" s="1123"/>
      <c r="G270" s="1123"/>
      <c r="H270" s="1123"/>
      <c r="I270" s="1123"/>
      <c r="J270" s="1123"/>
      <c r="K270" s="1123"/>
      <c r="L270" s="1123"/>
      <c r="M270" s="1123"/>
      <c r="O270" s="221" t="s">
        <v>2311</v>
      </c>
      <c r="P270" s="846"/>
      <c r="Q270" s="61"/>
    </row>
    <row r="271" spans="1:256" ht="23.25" customHeight="1">
      <c r="A271" s="195"/>
      <c r="C271" s="296" t="s">
        <v>3747</v>
      </c>
      <c r="D271" s="297" t="s">
        <v>1221</v>
      </c>
      <c r="E271" s="183"/>
      <c r="F271" s="183"/>
      <c r="G271" s="1601" t="s">
        <v>1224</v>
      </c>
      <c r="H271" s="1602"/>
      <c r="I271" s="1602"/>
      <c r="J271" s="1602"/>
      <c r="K271" s="1602"/>
      <c r="L271" s="1602"/>
      <c r="M271" s="1602"/>
      <c r="N271" s="1603"/>
      <c r="O271" s="300" t="s">
        <v>3747</v>
      </c>
      <c r="P271" s="1581" t="s">
        <v>4060</v>
      </c>
      <c r="Q271" s="356"/>
    </row>
    <row r="272" spans="1:256" ht="23.25" customHeight="1">
      <c r="A272" s="195"/>
      <c r="C272" s="296" t="s">
        <v>3748</v>
      </c>
      <c r="D272" s="1147" t="s">
        <v>1222</v>
      </c>
      <c r="E272" s="1148"/>
      <c r="F272" s="1149"/>
      <c r="G272" s="1564" t="s">
        <v>3546</v>
      </c>
      <c r="H272" s="1434"/>
      <c r="I272" s="1434"/>
      <c r="J272" s="1434"/>
      <c r="K272" s="1434"/>
      <c r="L272" s="1434"/>
      <c r="M272" s="1434"/>
      <c r="N272" s="1435"/>
      <c r="O272" s="300" t="s">
        <v>3748</v>
      </c>
      <c r="P272" s="1581" t="s">
        <v>4060</v>
      </c>
      <c r="Q272" s="356"/>
    </row>
    <row r="273" spans="1:256" ht="3" customHeight="1">
      <c r="A273" s="846"/>
      <c r="B273" s="846"/>
      <c r="C273" s="846"/>
      <c r="D273" s="846"/>
      <c r="E273" s="846"/>
      <c r="F273" s="846"/>
      <c r="G273" s="846"/>
      <c r="H273" s="846"/>
      <c r="I273" s="846"/>
      <c r="J273" s="846"/>
      <c r="K273" s="846"/>
      <c r="L273" s="846"/>
      <c r="M273" s="846"/>
      <c r="N273" s="846"/>
      <c r="O273" s="846"/>
      <c r="P273" s="846"/>
      <c r="Q273" s="846"/>
      <c r="R273" s="846"/>
      <c r="S273" s="846"/>
      <c r="T273" s="846"/>
      <c r="U273" s="846"/>
      <c r="V273" s="846"/>
      <c r="W273" s="846"/>
      <c r="X273" s="846"/>
      <c r="Y273" s="846"/>
      <c r="Z273" s="846"/>
      <c r="AA273" s="846"/>
      <c r="AB273" s="846"/>
      <c r="AC273" s="846"/>
      <c r="AD273" s="846"/>
      <c r="AE273" s="61"/>
      <c r="AF273" s="61"/>
      <c r="AG273" s="846"/>
      <c r="AH273" s="846"/>
      <c r="AI273" s="846"/>
      <c r="AJ273" s="846"/>
      <c r="AK273" s="846"/>
      <c r="AL273" s="846"/>
      <c r="AM273" s="846"/>
      <c r="AN273" s="846"/>
      <c r="AO273" s="846"/>
      <c r="AP273" s="846"/>
      <c r="AQ273" s="846"/>
      <c r="AR273" s="846"/>
      <c r="AS273" s="846"/>
      <c r="AT273" s="846"/>
      <c r="AU273" s="846"/>
      <c r="AV273" s="846"/>
      <c r="AW273" s="846"/>
      <c r="AX273" s="846"/>
      <c r="AY273" s="846"/>
      <c r="AZ273" s="846"/>
      <c r="BA273" s="846"/>
      <c r="BB273" s="846"/>
      <c r="BC273" s="846"/>
      <c r="BD273" s="846"/>
      <c r="BE273" s="846"/>
      <c r="BF273" s="846"/>
      <c r="BG273" s="846"/>
      <c r="BH273" s="846"/>
      <c r="BI273" s="846"/>
      <c r="BJ273" s="846"/>
      <c r="BK273" s="846"/>
      <c r="BL273" s="846"/>
      <c r="BM273" s="846"/>
      <c r="BN273" s="846"/>
      <c r="BO273" s="846"/>
      <c r="BP273" s="846"/>
      <c r="BQ273" s="846"/>
      <c r="BR273" s="846"/>
      <c r="BS273" s="846"/>
      <c r="BT273" s="846"/>
      <c r="BU273" s="846"/>
      <c r="BV273" s="846"/>
      <c r="BW273" s="846"/>
      <c r="BX273" s="846"/>
      <c r="BY273" s="846"/>
      <c r="BZ273" s="846"/>
      <c r="CA273" s="846"/>
      <c r="CB273" s="846"/>
      <c r="CC273" s="846"/>
      <c r="CD273" s="846"/>
      <c r="CE273" s="846"/>
      <c r="CF273" s="846"/>
      <c r="CG273" s="846"/>
      <c r="CH273" s="846"/>
      <c r="CI273" s="846"/>
      <c r="CJ273" s="846"/>
      <c r="CK273" s="846"/>
      <c r="CL273" s="846"/>
      <c r="CM273" s="846"/>
      <c r="CN273" s="846"/>
      <c r="CO273" s="846"/>
      <c r="CP273" s="846"/>
      <c r="CQ273" s="846"/>
      <c r="CR273" s="846"/>
      <c r="CS273" s="846"/>
      <c r="CT273" s="846"/>
      <c r="CU273" s="846"/>
      <c r="CV273" s="846"/>
      <c r="CW273" s="846"/>
      <c r="CX273" s="846"/>
      <c r="CY273" s="846"/>
      <c r="CZ273" s="846"/>
      <c r="DA273" s="846"/>
      <c r="DB273" s="846"/>
      <c r="DC273" s="846"/>
      <c r="DD273" s="846"/>
      <c r="DE273" s="846"/>
      <c r="DF273" s="846"/>
      <c r="DG273" s="846"/>
      <c r="DH273" s="846"/>
      <c r="DI273" s="846"/>
      <c r="DJ273" s="846"/>
      <c r="DK273" s="846"/>
      <c r="DL273" s="846"/>
      <c r="DM273" s="846"/>
      <c r="DN273" s="846"/>
      <c r="DO273" s="846"/>
      <c r="DP273" s="846"/>
      <c r="DQ273" s="846"/>
      <c r="DR273" s="846"/>
      <c r="DS273" s="846"/>
      <c r="DT273" s="846"/>
      <c r="DU273" s="846"/>
      <c r="DV273" s="846"/>
      <c r="DW273" s="846"/>
      <c r="DX273" s="846"/>
      <c r="DY273" s="846"/>
      <c r="DZ273" s="846"/>
      <c r="EA273" s="846"/>
      <c r="EB273" s="846"/>
      <c r="EC273" s="846"/>
      <c r="ED273" s="846"/>
      <c r="EE273" s="846"/>
      <c r="EF273" s="846"/>
      <c r="EG273" s="846"/>
      <c r="EH273" s="846"/>
      <c r="EI273" s="846"/>
      <c r="EJ273" s="846"/>
      <c r="EK273" s="846"/>
      <c r="EL273" s="846"/>
      <c r="EM273" s="846"/>
      <c r="EN273" s="846"/>
      <c r="EO273" s="846"/>
      <c r="EP273" s="846"/>
      <c r="EQ273" s="846"/>
      <c r="ER273" s="846"/>
      <c r="ES273" s="846"/>
      <c r="ET273" s="846"/>
      <c r="EU273" s="846"/>
      <c r="EV273" s="846"/>
      <c r="EW273" s="846"/>
      <c r="EX273" s="846"/>
      <c r="EY273" s="846"/>
      <c r="EZ273" s="846"/>
      <c r="FA273" s="846"/>
      <c r="FB273" s="846"/>
      <c r="FC273" s="846"/>
      <c r="FD273" s="846"/>
      <c r="FE273" s="846"/>
      <c r="FF273" s="846"/>
      <c r="FG273" s="846"/>
      <c r="FH273" s="846"/>
      <c r="FI273" s="846"/>
      <c r="FJ273" s="846"/>
      <c r="FK273" s="846"/>
      <c r="FL273" s="846"/>
      <c r="FM273" s="846"/>
      <c r="FN273" s="846"/>
      <c r="FO273" s="846"/>
      <c r="FP273" s="846"/>
      <c r="FQ273" s="846"/>
      <c r="FR273" s="846"/>
      <c r="FS273" s="846"/>
      <c r="FT273" s="846"/>
      <c r="FU273" s="846"/>
      <c r="FV273" s="846"/>
      <c r="FW273" s="846"/>
      <c r="FX273" s="846"/>
      <c r="FY273" s="846"/>
      <c r="FZ273" s="846"/>
      <c r="GA273" s="846"/>
      <c r="GB273" s="846"/>
      <c r="GC273" s="846"/>
      <c r="GD273" s="846"/>
      <c r="GE273" s="846"/>
      <c r="GF273" s="846"/>
      <c r="GG273" s="846"/>
      <c r="GH273" s="846"/>
      <c r="GI273" s="846"/>
      <c r="GJ273" s="846"/>
      <c r="GK273" s="846"/>
      <c r="GL273" s="846"/>
      <c r="GM273" s="846"/>
      <c r="GN273" s="846"/>
      <c r="GO273" s="846"/>
      <c r="GP273" s="846"/>
      <c r="GQ273" s="846"/>
      <c r="GR273" s="846"/>
      <c r="GS273" s="846"/>
      <c r="GT273" s="846"/>
      <c r="GU273" s="846"/>
      <c r="GV273" s="846"/>
      <c r="GW273" s="846"/>
      <c r="GX273" s="846"/>
      <c r="GY273" s="846"/>
      <c r="GZ273" s="846"/>
      <c r="HA273" s="846"/>
      <c r="HB273" s="846"/>
      <c r="HC273" s="846"/>
      <c r="HD273" s="846"/>
      <c r="HE273" s="846"/>
      <c r="HF273" s="846"/>
      <c r="HG273" s="846"/>
      <c r="HH273" s="846"/>
      <c r="HI273" s="846"/>
      <c r="HJ273" s="846"/>
      <c r="HK273" s="846"/>
      <c r="HL273" s="846"/>
      <c r="HM273" s="846"/>
      <c r="HN273" s="846"/>
      <c r="HO273" s="846"/>
      <c r="HP273" s="846"/>
      <c r="HQ273" s="846"/>
      <c r="HR273" s="846"/>
      <c r="HS273" s="846"/>
      <c r="HT273" s="846"/>
      <c r="HU273" s="846"/>
      <c r="HV273" s="846"/>
      <c r="HW273" s="846"/>
      <c r="HX273" s="846"/>
      <c r="HY273" s="846"/>
      <c r="HZ273" s="846"/>
      <c r="IA273" s="846"/>
      <c r="IB273" s="846"/>
      <c r="IC273" s="846"/>
      <c r="ID273" s="846"/>
      <c r="IE273" s="846"/>
      <c r="IF273" s="846"/>
      <c r="IG273" s="846"/>
      <c r="IH273" s="846"/>
      <c r="II273" s="846"/>
      <c r="IJ273" s="846"/>
      <c r="IK273" s="846"/>
      <c r="IL273" s="846"/>
      <c r="IM273" s="846"/>
      <c r="IN273" s="846"/>
      <c r="IO273" s="846"/>
      <c r="IP273" s="846"/>
      <c r="IQ273" s="846"/>
      <c r="IR273" s="846"/>
      <c r="IS273" s="846"/>
      <c r="IT273" s="846"/>
      <c r="IU273" s="846"/>
      <c r="IV273" s="846"/>
    </row>
    <row r="274" spans="1:256" s="183" customFormat="1" ht="23.25" customHeight="1">
      <c r="B274" s="193" t="s">
        <v>2783</v>
      </c>
      <c r="C274" s="1126" t="s">
        <v>3593</v>
      </c>
      <c r="D274" s="1126"/>
      <c r="E274" s="1126"/>
      <c r="F274" s="1126"/>
      <c r="G274" s="1126"/>
      <c r="H274" s="1126"/>
      <c r="I274" s="1126"/>
      <c r="J274" s="1126"/>
      <c r="K274" s="1126"/>
      <c r="L274" s="1126"/>
      <c r="M274" s="1126"/>
      <c r="N274" s="1126"/>
      <c r="O274" s="221" t="s">
        <v>2783</v>
      </c>
      <c r="P274" s="846"/>
      <c r="Q274" s="61"/>
      <c r="AE274" s="805"/>
      <c r="AF274" s="805"/>
    </row>
    <row r="275" spans="1:256" s="183" customFormat="1" ht="11.25" customHeight="1">
      <c r="A275" s="195"/>
      <c r="C275" s="296" t="s">
        <v>3747</v>
      </c>
      <c r="D275" s="1564"/>
      <c r="E275" s="1565"/>
      <c r="F275" s="1565"/>
      <c r="G275" s="1565"/>
      <c r="H275" s="1565"/>
      <c r="I275" s="1565"/>
      <c r="J275" s="1565"/>
      <c r="K275" s="1565"/>
      <c r="L275" s="1565"/>
      <c r="M275" s="1565"/>
      <c r="N275" s="1566"/>
      <c r="O275" s="300" t="s">
        <v>3747</v>
      </c>
      <c r="P275" s="1581"/>
      <c r="Q275" s="356"/>
      <c r="AE275" s="805"/>
      <c r="AF275" s="805"/>
    </row>
    <row r="276" spans="1:256" s="183" customFormat="1" ht="11.25" customHeight="1">
      <c r="A276" s="195"/>
      <c r="C276" s="296" t="s">
        <v>3748</v>
      </c>
      <c r="D276" s="1564"/>
      <c r="E276" s="1565"/>
      <c r="F276" s="1565"/>
      <c r="G276" s="1565"/>
      <c r="H276" s="1565"/>
      <c r="I276" s="1565"/>
      <c r="J276" s="1565"/>
      <c r="K276" s="1565"/>
      <c r="L276" s="1565"/>
      <c r="M276" s="1565"/>
      <c r="N276" s="1566"/>
      <c r="O276" s="300" t="s">
        <v>3748</v>
      </c>
      <c r="P276" s="1581"/>
      <c r="Q276" s="356"/>
      <c r="AE276" s="805"/>
      <c r="AF276" s="805"/>
    </row>
    <row r="277" spans="1:256" ht="3" customHeight="1">
      <c r="A277" s="846"/>
      <c r="B277" s="846"/>
      <c r="C277" s="846"/>
      <c r="D277" s="846"/>
      <c r="E277" s="846"/>
      <c r="F277" s="846"/>
      <c r="G277" s="846"/>
      <c r="H277" s="846"/>
      <c r="I277" s="846"/>
      <c r="J277" s="846"/>
      <c r="K277" s="846"/>
      <c r="L277" s="846"/>
      <c r="M277" s="846"/>
      <c r="N277" s="846"/>
      <c r="O277" s="846"/>
      <c r="P277" s="846"/>
      <c r="Q277" s="846"/>
      <c r="R277" s="846"/>
      <c r="S277" s="846"/>
      <c r="T277" s="846"/>
      <c r="U277" s="846"/>
      <c r="V277" s="846"/>
      <c r="W277" s="846"/>
      <c r="X277" s="846"/>
      <c r="Y277" s="846"/>
      <c r="Z277" s="846"/>
      <c r="AA277" s="846"/>
      <c r="AB277" s="846"/>
      <c r="AC277" s="846"/>
      <c r="AD277" s="846"/>
      <c r="AE277" s="61"/>
      <c r="AF277" s="61"/>
      <c r="AG277" s="846"/>
      <c r="AH277" s="846"/>
      <c r="AI277" s="846"/>
      <c r="AJ277" s="846"/>
      <c r="AK277" s="846"/>
      <c r="AL277" s="846"/>
      <c r="AM277" s="846"/>
      <c r="AN277" s="846"/>
      <c r="AO277" s="846"/>
      <c r="AP277" s="846"/>
      <c r="AQ277" s="846"/>
      <c r="AR277" s="846"/>
      <c r="AS277" s="846"/>
      <c r="AT277" s="846"/>
      <c r="AU277" s="846"/>
      <c r="AV277" s="846"/>
      <c r="AW277" s="846"/>
      <c r="AX277" s="846"/>
      <c r="AY277" s="846"/>
      <c r="AZ277" s="846"/>
      <c r="BA277" s="846"/>
      <c r="BB277" s="846"/>
      <c r="BC277" s="846"/>
      <c r="BD277" s="846"/>
      <c r="BE277" s="846"/>
      <c r="BF277" s="846"/>
      <c r="BG277" s="846"/>
      <c r="BH277" s="846"/>
      <c r="BI277" s="846"/>
      <c r="BJ277" s="846"/>
      <c r="BK277" s="846"/>
      <c r="BL277" s="846"/>
      <c r="BM277" s="846"/>
      <c r="BN277" s="846"/>
      <c r="BO277" s="846"/>
      <c r="BP277" s="846"/>
      <c r="BQ277" s="846"/>
      <c r="BR277" s="846"/>
      <c r="BS277" s="846"/>
      <c r="BT277" s="846"/>
      <c r="BU277" s="846"/>
      <c r="BV277" s="846"/>
      <c r="BW277" s="846"/>
      <c r="BX277" s="846"/>
      <c r="BY277" s="846"/>
      <c r="BZ277" s="846"/>
      <c r="CA277" s="846"/>
      <c r="CB277" s="846"/>
      <c r="CC277" s="846"/>
      <c r="CD277" s="846"/>
      <c r="CE277" s="846"/>
      <c r="CF277" s="846"/>
      <c r="CG277" s="846"/>
      <c r="CH277" s="846"/>
      <c r="CI277" s="846"/>
      <c r="CJ277" s="846"/>
      <c r="CK277" s="846"/>
      <c r="CL277" s="846"/>
      <c r="CM277" s="846"/>
      <c r="CN277" s="846"/>
      <c r="CO277" s="846"/>
      <c r="CP277" s="846"/>
      <c r="CQ277" s="846"/>
      <c r="CR277" s="846"/>
      <c r="CS277" s="846"/>
      <c r="CT277" s="846"/>
      <c r="CU277" s="846"/>
      <c r="CV277" s="846"/>
      <c r="CW277" s="846"/>
      <c r="CX277" s="846"/>
      <c r="CY277" s="846"/>
      <c r="CZ277" s="846"/>
      <c r="DA277" s="846"/>
      <c r="DB277" s="846"/>
      <c r="DC277" s="846"/>
      <c r="DD277" s="846"/>
      <c r="DE277" s="846"/>
      <c r="DF277" s="846"/>
      <c r="DG277" s="846"/>
      <c r="DH277" s="846"/>
      <c r="DI277" s="846"/>
      <c r="DJ277" s="846"/>
      <c r="DK277" s="846"/>
      <c r="DL277" s="846"/>
      <c r="DM277" s="846"/>
      <c r="DN277" s="846"/>
      <c r="DO277" s="846"/>
      <c r="DP277" s="846"/>
      <c r="DQ277" s="846"/>
      <c r="DR277" s="846"/>
      <c r="DS277" s="846"/>
      <c r="DT277" s="846"/>
      <c r="DU277" s="846"/>
      <c r="DV277" s="846"/>
      <c r="DW277" s="846"/>
      <c r="DX277" s="846"/>
      <c r="DY277" s="846"/>
      <c r="DZ277" s="846"/>
      <c r="EA277" s="846"/>
      <c r="EB277" s="846"/>
      <c r="EC277" s="846"/>
      <c r="ED277" s="846"/>
      <c r="EE277" s="846"/>
      <c r="EF277" s="846"/>
      <c r="EG277" s="846"/>
      <c r="EH277" s="846"/>
      <c r="EI277" s="846"/>
      <c r="EJ277" s="846"/>
      <c r="EK277" s="846"/>
      <c r="EL277" s="846"/>
      <c r="EM277" s="846"/>
      <c r="EN277" s="846"/>
      <c r="EO277" s="846"/>
      <c r="EP277" s="846"/>
      <c r="EQ277" s="846"/>
      <c r="ER277" s="846"/>
      <c r="ES277" s="846"/>
      <c r="ET277" s="846"/>
      <c r="EU277" s="846"/>
      <c r="EV277" s="846"/>
      <c r="EW277" s="846"/>
      <c r="EX277" s="846"/>
      <c r="EY277" s="846"/>
      <c r="EZ277" s="846"/>
      <c r="FA277" s="846"/>
      <c r="FB277" s="846"/>
      <c r="FC277" s="846"/>
      <c r="FD277" s="846"/>
      <c r="FE277" s="846"/>
      <c r="FF277" s="846"/>
      <c r="FG277" s="846"/>
      <c r="FH277" s="846"/>
      <c r="FI277" s="846"/>
      <c r="FJ277" s="846"/>
      <c r="FK277" s="846"/>
      <c r="FL277" s="846"/>
      <c r="FM277" s="846"/>
      <c r="FN277" s="846"/>
      <c r="FO277" s="846"/>
      <c r="FP277" s="846"/>
      <c r="FQ277" s="846"/>
      <c r="FR277" s="846"/>
      <c r="FS277" s="846"/>
      <c r="FT277" s="846"/>
      <c r="FU277" s="846"/>
      <c r="FV277" s="846"/>
      <c r="FW277" s="846"/>
      <c r="FX277" s="846"/>
      <c r="FY277" s="846"/>
      <c r="FZ277" s="846"/>
      <c r="GA277" s="846"/>
      <c r="GB277" s="846"/>
      <c r="GC277" s="846"/>
      <c r="GD277" s="846"/>
      <c r="GE277" s="846"/>
      <c r="GF277" s="846"/>
      <c r="GG277" s="846"/>
      <c r="GH277" s="846"/>
      <c r="GI277" s="846"/>
      <c r="GJ277" s="846"/>
      <c r="GK277" s="846"/>
      <c r="GL277" s="846"/>
      <c r="GM277" s="846"/>
      <c r="GN277" s="846"/>
      <c r="GO277" s="846"/>
      <c r="GP277" s="846"/>
      <c r="GQ277" s="846"/>
      <c r="GR277" s="846"/>
      <c r="GS277" s="846"/>
      <c r="GT277" s="846"/>
      <c r="GU277" s="846"/>
      <c r="GV277" s="846"/>
      <c r="GW277" s="846"/>
      <c r="GX277" s="846"/>
      <c r="GY277" s="846"/>
      <c r="GZ277" s="846"/>
      <c r="HA277" s="846"/>
      <c r="HB277" s="846"/>
      <c r="HC277" s="846"/>
      <c r="HD277" s="846"/>
      <c r="HE277" s="846"/>
      <c r="HF277" s="846"/>
      <c r="HG277" s="846"/>
      <c r="HH277" s="846"/>
      <c r="HI277" s="846"/>
      <c r="HJ277" s="846"/>
      <c r="HK277" s="846"/>
      <c r="HL277" s="846"/>
      <c r="HM277" s="846"/>
      <c r="HN277" s="846"/>
      <c r="HO277" s="846"/>
      <c r="HP277" s="846"/>
      <c r="HQ277" s="846"/>
      <c r="HR277" s="846"/>
      <c r="HS277" s="846"/>
      <c r="HT277" s="846"/>
      <c r="HU277" s="846"/>
      <c r="HV277" s="846"/>
      <c r="HW277" s="846"/>
      <c r="HX277" s="846"/>
      <c r="HY277" s="846"/>
      <c r="HZ277" s="846"/>
      <c r="IA277" s="846"/>
      <c r="IB277" s="846"/>
      <c r="IC277" s="846"/>
      <c r="ID277" s="846"/>
      <c r="IE277" s="846"/>
      <c r="IF277" s="846"/>
      <c r="IG277" s="846"/>
      <c r="IH277" s="846"/>
      <c r="II277" s="846"/>
      <c r="IJ277" s="846"/>
      <c r="IK277" s="846"/>
      <c r="IL277" s="846"/>
      <c r="IM277" s="846"/>
      <c r="IN277" s="846"/>
      <c r="IO277" s="846"/>
      <c r="IP277" s="846"/>
      <c r="IQ277" s="846"/>
      <c r="IR277" s="846"/>
      <c r="IS277" s="846"/>
      <c r="IT277" s="846"/>
      <c r="IU277" s="846"/>
      <c r="IV277" s="846"/>
    </row>
    <row r="278" spans="1:256" ht="11.25" customHeight="1">
      <c r="B278" s="192" t="s">
        <v>348</v>
      </c>
      <c r="D278" s="192"/>
      <c r="E278" s="192"/>
      <c r="F278" s="192"/>
      <c r="G278" s="192"/>
      <c r="H278" s="48"/>
      <c r="I278" s="181"/>
      <c r="J278" s="181"/>
      <c r="K278" s="181"/>
      <c r="L278" s="846"/>
      <c r="M278" s="846"/>
      <c r="N278" s="846"/>
      <c r="O278" s="846"/>
      <c r="P278" s="846"/>
      <c r="Q278" s="61"/>
    </row>
    <row r="279" spans="1:256" ht="11.45" customHeight="1">
      <c r="A279" s="1564" t="s">
        <v>375</v>
      </c>
      <c r="B279" s="1565"/>
      <c r="C279" s="1565"/>
      <c r="D279" s="1565"/>
      <c r="E279" s="1565"/>
      <c r="F279" s="1565"/>
      <c r="G279" s="1565"/>
      <c r="H279" s="1565"/>
      <c r="I279" s="1565"/>
      <c r="J279" s="1565"/>
      <c r="K279" s="1565"/>
      <c r="L279" s="1565"/>
      <c r="M279" s="1565"/>
      <c r="N279" s="1565"/>
      <c r="O279" s="1565"/>
      <c r="P279" s="1565"/>
      <c r="Q279" s="1566"/>
      <c r="R279" s="803" t="s">
        <v>3276</v>
      </c>
      <c r="S279" s="169"/>
      <c r="U279" s="187"/>
      <c r="V279" s="187"/>
      <c r="W279" s="187"/>
      <c r="X279" s="187"/>
      <c r="Y279" s="187"/>
      <c r="Z279" s="187"/>
      <c r="AA279" s="187"/>
      <c r="AB279" s="187"/>
      <c r="AC279" s="187"/>
      <c r="AD279" s="187"/>
      <c r="AE279" s="804"/>
    </row>
    <row r="280" spans="1:256" ht="11.25" customHeight="1">
      <c r="B280" s="188" t="s">
        <v>349</v>
      </c>
      <c r="C280" s="189"/>
      <c r="D280" s="853"/>
      <c r="E280" s="853"/>
      <c r="F280" s="853"/>
      <c r="G280" s="853"/>
      <c r="H280" s="853"/>
      <c r="I280" s="853"/>
      <c r="J280" s="853"/>
      <c r="K280" s="853"/>
      <c r="L280" s="853"/>
      <c r="M280" s="853"/>
      <c r="N280" s="853"/>
      <c r="O280" s="853"/>
      <c r="P280" s="853"/>
      <c r="Q280" s="853"/>
    </row>
    <row r="281" spans="1:256" ht="11.45" customHeight="1">
      <c r="A281" s="1107"/>
      <c r="B281" s="1108"/>
      <c r="C281" s="1108"/>
      <c r="D281" s="1108"/>
      <c r="E281" s="1108"/>
      <c r="F281" s="1108"/>
      <c r="G281" s="1108"/>
      <c r="H281" s="1108"/>
      <c r="I281" s="1108"/>
      <c r="J281" s="1108"/>
      <c r="K281" s="1108"/>
      <c r="L281" s="1108"/>
      <c r="M281" s="1108"/>
      <c r="N281" s="1108"/>
      <c r="O281" s="1108"/>
      <c r="P281" s="1108"/>
      <c r="Q281" s="1109"/>
    </row>
    <row r="282" spans="1:256" ht="3" customHeight="1">
      <c r="A282" s="846"/>
      <c r="B282" s="181"/>
      <c r="C282" s="853"/>
      <c r="D282" s="853"/>
      <c r="E282" s="853"/>
      <c r="F282" s="853"/>
      <c r="G282" s="853"/>
      <c r="H282" s="853"/>
      <c r="I282" s="853"/>
      <c r="J282" s="853"/>
      <c r="K282" s="853"/>
      <c r="L282" s="853"/>
      <c r="M282" s="853"/>
      <c r="N282" s="853"/>
      <c r="O282" s="853"/>
      <c r="P282" s="853"/>
      <c r="Q282" s="846"/>
    </row>
    <row r="283" spans="1:256" ht="13.9" customHeight="1">
      <c r="A283" s="854">
        <v>19</v>
      </c>
      <c r="B283" s="854" t="s">
        <v>3565</v>
      </c>
      <c r="C283" s="854"/>
      <c r="D283" s="853"/>
      <c r="E283" s="853"/>
      <c r="F283" s="853"/>
      <c r="G283" s="853"/>
      <c r="H283" s="853"/>
      <c r="O283" s="182" t="s">
        <v>350</v>
      </c>
      <c r="P283" s="1111"/>
      <c r="Q283" s="1112"/>
    </row>
    <row r="284" spans="1:256" ht="3" customHeight="1"/>
    <row r="285" spans="1:256" ht="11.45" customHeight="1">
      <c r="B285" s="196" t="s">
        <v>2795</v>
      </c>
      <c r="P285" s="1560" t="s">
        <v>4061</v>
      </c>
      <c r="Q285" s="234"/>
    </row>
    <row r="286" spans="1:256" ht="11.45" customHeight="1">
      <c r="B286" s="196" t="s">
        <v>2796</v>
      </c>
      <c r="P286" s="1560"/>
      <c r="Q286" s="234"/>
    </row>
    <row r="287" spans="1:256" ht="11.45" customHeight="1">
      <c r="B287" s="196" t="s">
        <v>816</v>
      </c>
      <c r="L287" s="1604"/>
      <c r="M287" s="1605"/>
      <c r="N287" s="1605"/>
      <c r="O287" s="1606"/>
    </row>
    <row r="288" spans="1:256" ht="11.45" customHeight="1">
      <c r="B288" s="656" t="s">
        <v>2797</v>
      </c>
      <c r="L288" s="1151"/>
      <c r="M288" s="1152"/>
      <c r="N288" s="1152"/>
      <c r="O288" s="1153"/>
    </row>
    <row r="289" spans="1:31" ht="11.25" customHeight="1">
      <c r="B289" s="192" t="s">
        <v>348</v>
      </c>
      <c r="D289" s="192"/>
      <c r="E289" s="192"/>
      <c r="F289" s="192"/>
      <c r="G289" s="192"/>
      <c r="H289" s="48"/>
      <c r="I289" s="181"/>
      <c r="J289" s="181"/>
      <c r="K289" s="181"/>
      <c r="L289" s="846"/>
      <c r="M289" s="846"/>
      <c r="N289" s="846"/>
      <c r="O289" s="846"/>
      <c r="P289" s="846"/>
      <c r="Q289" s="61"/>
    </row>
    <row r="290" spans="1:31" ht="23.25" customHeight="1">
      <c r="A290" s="1564" t="s">
        <v>449</v>
      </c>
      <c r="B290" s="1565"/>
      <c r="C290" s="1565"/>
      <c r="D290" s="1565"/>
      <c r="E290" s="1565"/>
      <c r="F290" s="1565"/>
      <c r="G290" s="1565"/>
      <c r="H290" s="1565"/>
      <c r="I290" s="1565"/>
      <c r="J290" s="1565"/>
      <c r="K290" s="1565"/>
      <c r="L290" s="1565"/>
      <c r="M290" s="1565"/>
      <c r="N290" s="1565"/>
      <c r="O290" s="1565"/>
      <c r="P290" s="1565"/>
      <c r="Q290" s="1566"/>
      <c r="R290" s="738" t="s">
        <v>3276</v>
      </c>
      <c r="S290" s="739"/>
      <c r="U290" s="187"/>
      <c r="V290" s="187"/>
      <c r="W290" s="187"/>
      <c r="X290" s="187"/>
      <c r="Y290" s="187"/>
      <c r="Z290" s="187"/>
      <c r="AA290" s="187"/>
      <c r="AB290" s="187"/>
      <c r="AC290" s="187"/>
      <c r="AD290" s="187"/>
      <c r="AE290" s="804"/>
    </row>
    <row r="291" spans="1:31" ht="11.25" customHeight="1">
      <c r="B291" s="188" t="s">
        <v>349</v>
      </c>
      <c r="C291" s="189"/>
      <c r="D291" s="853"/>
      <c r="E291" s="853"/>
      <c r="F291" s="853"/>
      <c r="G291" s="853"/>
      <c r="H291" s="853"/>
      <c r="I291" s="853"/>
      <c r="J291" s="853"/>
      <c r="K291" s="853"/>
      <c r="L291" s="853"/>
      <c r="M291" s="853"/>
      <c r="N291" s="853"/>
      <c r="O291" s="853"/>
      <c r="P291" s="853"/>
      <c r="Q291" s="853"/>
    </row>
    <row r="292" spans="1:31" ht="13.15" customHeight="1">
      <c r="A292" s="1107"/>
      <c r="B292" s="1108"/>
      <c r="C292" s="1108"/>
      <c r="D292" s="1108"/>
      <c r="E292" s="1108"/>
      <c r="F292" s="1108"/>
      <c r="G292" s="1108"/>
      <c r="H292" s="1108"/>
      <c r="I292" s="1108"/>
      <c r="J292" s="1108"/>
      <c r="K292" s="1108"/>
      <c r="L292" s="1108"/>
      <c r="M292" s="1108"/>
      <c r="N292" s="1108"/>
      <c r="O292" s="1108"/>
      <c r="P292" s="1108"/>
      <c r="Q292" s="1109"/>
    </row>
    <row r="293" spans="1:31" ht="4.1500000000000004" customHeight="1">
      <c r="B293" s="181"/>
      <c r="C293" s="853"/>
      <c r="D293" s="853"/>
      <c r="E293" s="853"/>
      <c r="F293" s="853"/>
      <c r="G293" s="853"/>
      <c r="H293" s="853"/>
      <c r="I293" s="853"/>
      <c r="J293" s="853"/>
      <c r="K293" s="853"/>
      <c r="L293" s="853"/>
      <c r="M293" s="853"/>
      <c r="Q293" s="61"/>
    </row>
    <row r="294" spans="1:31" ht="13.9" customHeight="1">
      <c r="A294" s="854">
        <v>20</v>
      </c>
      <c r="B294" s="5" t="s">
        <v>3566</v>
      </c>
      <c r="C294" s="5"/>
      <c r="D294" s="116"/>
      <c r="E294" s="853"/>
      <c r="F294" s="853"/>
      <c r="G294" s="853"/>
      <c r="H294" s="853"/>
      <c r="I294" s="853"/>
      <c r="J294" s="853"/>
      <c r="K294" s="853"/>
      <c r="L294" s="853"/>
      <c r="M294" s="853"/>
      <c r="O294" s="182" t="s">
        <v>350</v>
      </c>
      <c r="P294" s="1111"/>
      <c r="Q294" s="1112"/>
    </row>
    <row r="295" spans="1:31" ht="3" customHeight="1"/>
    <row r="296" spans="1:31" ht="22.15" customHeight="1">
      <c r="B296" s="193" t="s">
        <v>2308</v>
      </c>
      <c r="C296" s="1110" t="s">
        <v>3594</v>
      </c>
      <c r="D296" s="1110"/>
      <c r="E296" s="1110"/>
      <c r="F296" s="1110"/>
      <c r="G296" s="1110"/>
      <c r="H296" s="1110"/>
      <c r="I296" s="1110"/>
      <c r="J296" s="1110"/>
      <c r="K296" s="1110"/>
      <c r="L296" s="1110"/>
      <c r="M296" s="1110"/>
      <c r="N296" s="1110"/>
      <c r="O296" s="221" t="s">
        <v>2308</v>
      </c>
      <c r="P296" s="1560" t="s">
        <v>4060</v>
      </c>
      <c r="Q296" s="234"/>
    </row>
    <row r="297" spans="1:31" ht="11.45" customHeight="1">
      <c r="B297" s="193" t="s">
        <v>2311</v>
      </c>
      <c r="C297" s="1110" t="s">
        <v>3868</v>
      </c>
      <c r="D297" s="1110"/>
      <c r="E297" s="1110"/>
      <c r="F297" s="1110"/>
      <c r="G297" s="1110"/>
      <c r="H297" s="1110"/>
      <c r="I297" s="1110"/>
      <c r="J297" s="1110"/>
      <c r="K297" s="1110"/>
      <c r="L297" s="1110"/>
      <c r="M297" s="1110"/>
      <c r="N297" s="1110"/>
      <c r="O297" s="221" t="s">
        <v>2311</v>
      </c>
      <c r="P297" s="1560" t="s">
        <v>4060</v>
      </c>
      <c r="Q297" s="234"/>
    </row>
    <row r="298" spans="1:31" ht="11.45" customHeight="1">
      <c r="B298" s="193" t="s">
        <v>2783</v>
      </c>
      <c r="C298" s="198" t="s">
        <v>3595</v>
      </c>
      <c r="D298" s="198"/>
      <c r="E298" s="198"/>
      <c r="F298" s="198"/>
      <c r="G298" s="198"/>
      <c r="H298" s="198"/>
      <c r="I298" s="198"/>
      <c r="J298" s="198"/>
      <c r="K298" s="198"/>
      <c r="L298" s="198"/>
      <c r="M298" s="198"/>
      <c r="O298" s="221" t="s">
        <v>2783</v>
      </c>
      <c r="P298" s="1560" t="s">
        <v>4060</v>
      </c>
      <c r="Q298" s="234"/>
    </row>
    <row r="299" spans="1:31" ht="22.15" customHeight="1">
      <c r="B299" s="193" t="s">
        <v>2482</v>
      </c>
      <c r="C299" s="1110" t="s">
        <v>2165</v>
      </c>
      <c r="D299" s="1110"/>
      <c r="E299" s="1110"/>
      <c r="F299" s="1110"/>
      <c r="G299" s="1110"/>
      <c r="H299" s="1110"/>
      <c r="I299" s="1110"/>
      <c r="J299" s="1110"/>
      <c r="K299" s="1110"/>
      <c r="L299" s="1110"/>
      <c r="M299" s="1110"/>
      <c r="N299" s="1110"/>
      <c r="O299" s="221" t="s">
        <v>2482</v>
      </c>
      <c r="P299" s="1560" t="s">
        <v>4060</v>
      </c>
      <c r="Q299" s="234"/>
    </row>
    <row r="300" spans="1:31" ht="11.25" customHeight="1">
      <c r="B300" s="192" t="s">
        <v>348</v>
      </c>
      <c r="D300" s="192"/>
      <c r="E300" s="192"/>
      <c r="F300" s="192"/>
      <c r="G300" s="192"/>
      <c r="H300" s="48"/>
      <c r="I300" s="181"/>
      <c r="J300" s="181"/>
      <c r="K300" s="181"/>
      <c r="L300" s="846"/>
      <c r="M300" s="846"/>
      <c r="N300" s="846"/>
      <c r="O300" s="846"/>
      <c r="P300" s="846"/>
      <c r="Q300" s="61"/>
    </row>
    <row r="301" spans="1:31" ht="11.45" customHeight="1">
      <c r="A301" s="1564" t="s">
        <v>448</v>
      </c>
      <c r="B301" s="1565"/>
      <c r="C301" s="1565"/>
      <c r="D301" s="1565"/>
      <c r="E301" s="1565"/>
      <c r="F301" s="1565"/>
      <c r="G301" s="1565"/>
      <c r="H301" s="1565"/>
      <c r="I301" s="1565"/>
      <c r="J301" s="1565"/>
      <c r="K301" s="1565"/>
      <c r="L301" s="1565"/>
      <c r="M301" s="1565"/>
      <c r="N301" s="1565"/>
      <c r="O301" s="1565"/>
      <c r="P301" s="1565"/>
      <c r="Q301" s="1566"/>
      <c r="U301" s="187"/>
      <c r="V301" s="187"/>
      <c r="W301" s="187"/>
      <c r="X301" s="187"/>
      <c r="Y301" s="187"/>
      <c r="Z301" s="187"/>
      <c r="AA301" s="187"/>
      <c r="AB301" s="187"/>
      <c r="AC301" s="187"/>
      <c r="AD301" s="187"/>
      <c r="AE301" s="804"/>
    </row>
    <row r="302" spans="1:31" ht="11.25" customHeight="1">
      <c r="B302" s="188" t="s">
        <v>349</v>
      </c>
      <c r="C302" s="189"/>
      <c r="D302" s="853"/>
      <c r="E302" s="853"/>
      <c r="F302" s="853"/>
      <c r="G302" s="853"/>
      <c r="H302" s="853"/>
      <c r="I302" s="853"/>
      <c r="J302" s="853"/>
      <c r="K302" s="853"/>
      <c r="L302" s="853"/>
      <c r="M302" s="853"/>
      <c r="N302" s="853"/>
      <c r="O302" s="853"/>
      <c r="P302" s="853"/>
      <c r="Q302" s="853"/>
    </row>
    <row r="303" spans="1:31" ht="11.45" customHeight="1">
      <c r="A303" s="1107"/>
      <c r="B303" s="1108"/>
      <c r="C303" s="1108"/>
      <c r="D303" s="1108"/>
      <c r="E303" s="1108"/>
      <c r="F303" s="1108"/>
      <c r="G303" s="1108"/>
      <c r="H303" s="1108"/>
      <c r="I303" s="1108"/>
      <c r="J303" s="1108"/>
      <c r="K303" s="1108"/>
      <c r="L303" s="1108"/>
      <c r="M303" s="1108"/>
      <c r="N303" s="1108"/>
      <c r="O303" s="1108"/>
      <c r="P303" s="1108"/>
      <c r="Q303" s="1109"/>
    </row>
    <row r="304" spans="1:31" ht="2.25" customHeight="1">
      <c r="A304" s="846"/>
      <c r="B304" s="181"/>
      <c r="C304" s="853"/>
      <c r="D304" s="853"/>
      <c r="E304" s="853"/>
      <c r="F304" s="853"/>
      <c r="G304" s="853"/>
      <c r="H304" s="853"/>
      <c r="I304" s="853"/>
      <c r="J304" s="853"/>
      <c r="K304" s="853"/>
      <c r="L304" s="853"/>
      <c r="M304" s="853"/>
      <c r="N304" s="853"/>
      <c r="O304" s="853"/>
      <c r="P304" s="853"/>
      <c r="Q304" s="61"/>
      <c r="R304" s="9"/>
      <c r="S304" s="9"/>
    </row>
    <row r="305" spans="1:32" ht="13.9" customHeight="1">
      <c r="A305" s="854">
        <v>21</v>
      </c>
      <c r="B305" s="5" t="s">
        <v>2172</v>
      </c>
      <c r="C305" s="5"/>
      <c r="D305" s="5"/>
      <c r="E305" s="5"/>
      <c r="F305" s="5"/>
      <c r="G305" s="5"/>
      <c r="H305" s="853"/>
      <c r="I305" s="853"/>
      <c r="J305" s="853"/>
      <c r="K305" s="853"/>
      <c r="L305" s="853"/>
      <c r="M305" s="853"/>
      <c r="O305" s="182" t="s">
        <v>350</v>
      </c>
      <c r="P305" s="1111"/>
      <c r="Q305" s="1112"/>
    </row>
    <row r="306" spans="1:32" ht="12" customHeight="1">
      <c r="B306" s="55" t="s">
        <v>2308</v>
      </c>
      <c r="C306" s="162" t="s">
        <v>2167</v>
      </c>
      <c r="D306" s="858"/>
      <c r="E306" s="858"/>
      <c r="F306" s="858"/>
      <c r="G306" s="858"/>
      <c r="H306" s="858"/>
      <c r="I306" s="50"/>
      <c r="J306" s="60" t="s">
        <v>2308</v>
      </c>
      <c r="K306" s="1570" t="s">
        <v>450</v>
      </c>
      <c r="L306" s="1571"/>
      <c r="M306" s="1571"/>
      <c r="N306" s="1571"/>
      <c r="O306" s="1571"/>
      <c r="P306" s="1572"/>
      <c r="Q306" s="234"/>
    </row>
    <row r="307" spans="1:32" ht="22.5" customHeight="1">
      <c r="B307" s="193" t="s">
        <v>2311</v>
      </c>
      <c r="C307" s="1090" t="s">
        <v>2166</v>
      </c>
      <c r="D307" s="1090"/>
      <c r="E307" s="1090"/>
      <c r="F307" s="1090"/>
      <c r="G307" s="1090"/>
      <c r="H307" s="1090"/>
      <c r="I307" s="1090"/>
      <c r="J307" s="1090"/>
      <c r="K307" s="1090"/>
      <c r="L307" s="1090"/>
      <c r="M307" s="1090"/>
      <c r="N307" s="1090"/>
      <c r="O307" s="221" t="s">
        <v>2311</v>
      </c>
      <c r="P307" s="1581" t="s">
        <v>4060</v>
      </c>
      <c r="Q307" s="234"/>
    </row>
    <row r="308" spans="1:32" ht="11.45" customHeight="1">
      <c r="B308" s="55" t="s">
        <v>2783</v>
      </c>
      <c r="C308" s="63" t="s">
        <v>2168</v>
      </c>
      <c r="D308" s="63"/>
      <c r="E308" s="63"/>
      <c r="F308" s="63"/>
      <c r="G308" s="63"/>
      <c r="H308" s="63"/>
      <c r="I308" s="63"/>
      <c r="J308" s="63"/>
      <c r="K308" s="63"/>
      <c r="L308" s="38"/>
      <c r="M308" s="38"/>
      <c r="O308" s="60" t="s">
        <v>2783</v>
      </c>
      <c r="P308" s="1560" t="s">
        <v>4060</v>
      </c>
      <c r="Q308" s="234"/>
    </row>
    <row r="309" spans="1:32" ht="11.45" customHeight="1">
      <c r="B309" s="55" t="s">
        <v>2482</v>
      </c>
      <c r="C309" s="63" t="s">
        <v>2169</v>
      </c>
      <c r="D309" s="63"/>
      <c r="E309" s="63"/>
      <c r="F309" s="63"/>
      <c r="G309" s="63"/>
      <c r="H309" s="63"/>
      <c r="I309" s="63"/>
      <c r="J309" s="63"/>
      <c r="K309" s="63"/>
      <c r="L309" s="63"/>
      <c r="M309" s="63"/>
      <c r="O309" s="60" t="s">
        <v>2482</v>
      </c>
      <c r="P309" s="1560" t="s">
        <v>4060</v>
      </c>
      <c r="Q309" s="234"/>
    </row>
    <row r="310" spans="1:32" s="183" customFormat="1" ht="11.45" customHeight="1">
      <c r="B310" s="193" t="s">
        <v>3745</v>
      </c>
      <c r="C310" s="1110" t="s">
        <v>2174</v>
      </c>
      <c r="D310" s="1110"/>
      <c r="E310" s="1110"/>
      <c r="F310" s="1110"/>
      <c r="G310" s="1110"/>
      <c r="H310" s="1110"/>
      <c r="I310" s="1110"/>
      <c r="J310" s="1110"/>
      <c r="K310" s="1110"/>
      <c r="L310" s="1110"/>
      <c r="M310" s="1110"/>
      <c r="N310" s="1110"/>
      <c r="O310" s="221" t="s">
        <v>3745</v>
      </c>
      <c r="P310" s="1581" t="s">
        <v>4060</v>
      </c>
      <c r="Q310" s="356"/>
      <c r="AE310" s="805"/>
      <c r="AF310" s="805"/>
    </row>
    <row r="311" spans="1:32" s="183" customFormat="1" ht="11.45" customHeight="1">
      <c r="B311" s="193" t="s">
        <v>3746</v>
      </c>
      <c r="C311" s="1110" t="s">
        <v>3869</v>
      </c>
      <c r="D311" s="1110"/>
      <c r="E311" s="1110"/>
      <c r="F311" s="1110"/>
      <c r="G311" s="1110"/>
      <c r="H311" s="1110"/>
      <c r="I311" s="1110"/>
      <c r="J311" s="1110"/>
      <c r="K311" s="1110"/>
      <c r="L311" s="1110"/>
      <c r="M311" s="1110"/>
      <c r="N311" s="1110"/>
      <c r="O311" s="221" t="s">
        <v>3746</v>
      </c>
      <c r="P311" s="1581" t="s">
        <v>4060</v>
      </c>
      <c r="Q311" s="356"/>
      <c r="AE311" s="805"/>
      <c r="AF311" s="805"/>
    </row>
    <row r="312" spans="1:32" ht="11.45" customHeight="1">
      <c r="B312" s="55" t="s">
        <v>3882</v>
      </c>
      <c r="C312" s="63" t="s">
        <v>2170</v>
      </c>
      <c r="D312" s="63"/>
      <c r="E312" s="63"/>
      <c r="F312" s="63"/>
      <c r="G312" s="63"/>
      <c r="H312" s="63"/>
      <c r="I312" s="63"/>
      <c r="J312" s="63"/>
      <c r="K312" s="63"/>
      <c r="L312" s="63"/>
      <c r="M312" s="63"/>
      <c r="O312" s="60" t="s">
        <v>3882</v>
      </c>
      <c r="P312" s="1560" t="s">
        <v>4060</v>
      </c>
      <c r="Q312" s="234"/>
    </row>
    <row r="313" spans="1:32" ht="11.25" customHeight="1">
      <c r="B313" s="192" t="s">
        <v>348</v>
      </c>
      <c r="D313" s="192"/>
      <c r="E313" s="192"/>
      <c r="F313" s="192"/>
      <c r="G313" s="192"/>
      <c r="H313" s="48"/>
      <c r="I313" s="181"/>
      <c r="J313" s="181"/>
      <c r="K313" s="181"/>
      <c r="L313" s="846"/>
      <c r="M313" s="846"/>
      <c r="N313" s="846"/>
      <c r="O313" s="846"/>
      <c r="P313" s="846"/>
      <c r="Q313" s="61"/>
    </row>
    <row r="314" spans="1:32" ht="11.45" customHeight="1">
      <c r="A314" s="1564" t="s">
        <v>451</v>
      </c>
      <c r="B314" s="1565"/>
      <c r="C314" s="1565"/>
      <c r="D314" s="1565"/>
      <c r="E314" s="1565"/>
      <c r="F314" s="1565"/>
      <c r="G314" s="1565"/>
      <c r="H314" s="1565"/>
      <c r="I314" s="1565"/>
      <c r="J314" s="1565"/>
      <c r="K314" s="1565"/>
      <c r="L314" s="1565"/>
      <c r="M314" s="1565"/>
      <c r="N314" s="1565"/>
      <c r="O314" s="1565"/>
      <c r="P314" s="1565"/>
      <c r="Q314" s="1566"/>
      <c r="U314" s="187"/>
      <c r="V314" s="187"/>
      <c r="W314" s="187"/>
      <c r="X314" s="187"/>
      <c r="Y314" s="187"/>
      <c r="Z314" s="187"/>
      <c r="AA314" s="187"/>
      <c r="AB314" s="187"/>
      <c r="AC314" s="187"/>
      <c r="AD314" s="187"/>
      <c r="AE314" s="804"/>
    </row>
    <row r="315" spans="1:32" ht="11.25" customHeight="1">
      <c r="B315" s="188" t="s">
        <v>349</v>
      </c>
      <c r="C315" s="189"/>
      <c r="D315" s="853"/>
      <c r="E315" s="853"/>
      <c r="F315" s="853"/>
      <c r="G315" s="853"/>
      <c r="H315" s="853"/>
      <c r="I315" s="853"/>
      <c r="J315" s="853"/>
      <c r="K315" s="853"/>
      <c r="L315" s="853"/>
      <c r="M315" s="853"/>
      <c r="N315" s="853"/>
      <c r="O315" s="853"/>
      <c r="P315" s="853"/>
      <c r="Q315" s="853"/>
    </row>
    <row r="316" spans="1:32" ht="11.45" customHeight="1">
      <c r="A316" s="1107"/>
      <c r="B316" s="1108"/>
      <c r="C316" s="1108"/>
      <c r="D316" s="1108"/>
      <c r="E316" s="1108"/>
      <c r="F316" s="1108"/>
      <c r="G316" s="1108"/>
      <c r="H316" s="1108"/>
      <c r="I316" s="1108"/>
      <c r="J316" s="1108"/>
      <c r="K316" s="1108"/>
      <c r="L316" s="1108"/>
      <c r="M316" s="1108"/>
      <c r="N316" s="1108"/>
      <c r="O316" s="1108"/>
      <c r="P316" s="1108"/>
      <c r="Q316" s="1109"/>
    </row>
    <row r="317" spans="1:32" ht="6" customHeight="1">
      <c r="A317" s="846"/>
      <c r="B317" s="181"/>
      <c r="C317" s="853"/>
      <c r="D317" s="853"/>
      <c r="E317" s="853"/>
      <c r="F317" s="853"/>
      <c r="G317" s="853"/>
      <c r="H317" s="853"/>
      <c r="I317" s="853"/>
      <c r="J317" s="853"/>
      <c r="K317" s="853"/>
      <c r="L317" s="853"/>
      <c r="M317" s="853"/>
      <c r="Q317" s="61"/>
    </row>
    <row r="318" spans="1:32" ht="13.9" customHeight="1">
      <c r="A318" s="854">
        <v>22</v>
      </c>
      <c r="B318" s="5" t="s">
        <v>4017</v>
      </c>
      <c r="C318" s="5"/>
      <c r="D318" s="5"/>
      <c r="E318" s="5"/>
      <c r="F318" s="5"/>
      <c r="G318" s="5"/>
      <c r="H318" s="853"/>
      <c r="I318" s="853"/>
      <c r="J318" s="853"/>
      <c r="O318" s="182" t="s">
        <v>350</v>
      </c>
      <c r="P318" s="1111"/>
      <c r="Q318" s="1112"/>
    </row>
    <row r="319" spans="1:32" ht="13.9" customHeight="1">
      <c r="A319" s="854"/>
      <c r="B319" s="150" t="s">
        <v>3572</v>
      </c>
      <c r="C319" s="5"/>
      <c r="D319" s="5"/>
      <c r="E319" s="5"/>
      <c r="F319" s="5"/>
      <c r="G319" s="5"/>
      <c r="H319" s="853"/>
      <c r="I319" s="853"/>
      <c r="J319" s="853"/>
    </row>
    <row r="320" spans="1:32" ht="11.45" customHeight="1">
      <c r="B320" s="55" t="s">
        <v>2308</v>
      </c>
      <c r="C320" s="656" t="s">
        <v>3575</v>
      </c>
      <c r="D320" s="66"/>
      <c r="E320" s="858"/>
      <c r="F320" s="858"/>
      <c r="G320" s="858"/>
      <c r="H320" s="858"/>
      <c r="I320" s="50"/>
      <c r="O320" s="60" t="s">
        <v>2308</v>
      </c>
    </row>
    <row r="321" spans="2:32" s="183" customFormat="1" ht="21.75" customHeight="1">
      <c r="B321" s="193"/>
      <c r="C321" s="203" t="s">
        <v>3747</v>
      </c>
      <c r="D321" s="1122" t="s">
        <v>3573</v>
      </c>
      <c r="E321" s="1122"/>
      <c r="F321" s="1122"/>
      <c r="G321" s="1122"/>
      <c r="H321" s="1122"/>
      <c r="I321" s="1122"/>
      <c r="J321" s="1122"/>
      <c r="K321" s="1122"/>
      <c r="L321" s="1122"/>
      <c r="M321" s="1122"/>
      <c r="N321" s="1122"/>
      <c r="O321" s="203" t="s">
        <v>3747</v>
      </c>
      <c r="P321" s="1581"/>
      <c r="Q321" s="356"/>
      <c r="AE321" s="805"/>
      <c r="AF321" s="805"/>
    </row>
    <row r="322" spans="2:32" s="183" customFormat="1" ht="21.75" customHeight="1">
      <c r="C322" s="203" t="s">
        <v>3748</v>
      </c>
      <c r="D322" s="1114" t="s">
        <v>3574</v>
      </c>
      <c r="E322" s="1114"/>
      <c r="F322" s="1114"/>
      <c r="G322" s="1114"/>
      <c r="H322" s="1114"/>
      <c r="I322" s="1114"/>
      <c r="J322" s="1114"/>
      <c r="K322" s="1114"/>
      <c r="L322" s="1114"/>
      <c r="M322" s="1114"/>
      <c r="N322" s="1114"/>
      <c r="O322" s="203" t="s">
        <v>3748</v>
      </c>
      <c r="P322" s="1581"/>
      <c r="Q322" s="356"/>
      <c r="AE322" s="805"/>
      <c r="AF322" s="805"/>
    </row>
    <row r="323" spans="2:32" s="183" customFormat="1" ht="21.75" customHeight="1">
      <c r="B323" s="193"/>
      <c r="C323" s="203" t="s">
        <v>3749</v>
      </c>
      <c r="D323" s="1114" t="s">
        <v>3577</v>
      </c>
      <c r="E323" s="1114"/>
      <c r="F323" s="1114"/>
      <c r="G323" s="1114"/>
      <c r="H323" s="1114"/>
      <c r="I323" s="1114"/>
      <c r="J323" s="1114"/>
      <c r="K323" s="1114"/>
      <c r="L323" s="1114"/>
      <c r="M323" s="1114"/>
      <c r="N323" s="1114"/>
      <c r="O323" s="203" t="s">
        <v>3749</v>
      </c>
      <c r="P323" s="1581"/>
      <c r="Q323" s="356"/>
      <c r="AE323" s="805"/>
      <c r="AF323" s="805"/>
    </row>
    <row r="324" spans="2:32" s="183" customFormat="1" ht="22.15" customHeight="1">
      <c r="B324" s="193"/>
      <c r="C324" s="203" t="s">
        <v>2842</v>
      </c>
      <c r="D324" s="1114" t="s">
        <v>3578</v>
      </c>
      <c r="E324" s="1114"/>
      <c r="F324" s="1114"/>
      <c r="G324" s="1114"/>
      <c r="H324" s="1114"/>
      <c r="I324" s="1114"/>
      <c r="J324" s="1114"/>
      <c r="K324" s="1114"/>
      <c r="L324" s="1114"/>
      <c r="M324" s="1114"/>
      <c r="N324" s="1114"/>
      <c r="O324" s="203" t="s">
        <v>2842</v>
      </c>
      <c r="P324" s="1581"/>
      <c r="Q324" s="356"/>
      <c r="AE324" s="805"/>
      <c r="AF324" s="805"/>
    </row>
    <row r="325" spans="2:32" s="183" customFormat="1" ht="21.75" customHeight="1">
      <c r="B325" s="193"/>
      <c r="C325" s="203" t="s">
        <v>3514</v>
      </c>
      <c r="D325" s="1114" t="s">
        <v>3579</v>
      </c>
      <c r="E325" s="1114"/>
      <c r="F325" s="1114"/>
      <c r="G325" s="1114"/>
      <c r="H325" s="1114"/>
      <c r="I325" s="1114"/>
      <c r="J325" s="1114"/>
      <c r="K325" s="1114"/>
      <c r="L325" s="1114"/>
      <c r="M325" s="1114"/>
      <c r="N325" s="1114"/>
      <c r="O325" s="203" t="s">
        <v>3514</v>
      </c>
      <c r="P325" s="1581"/>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2311</v>
      </c>
      <c r="C327" s="298" t="s">
        <v>3576</v>
      </c>
      <c r="D327" s="184"/>
      <c r="E327" s="184"/>
      <c r="F327" s="184"/>
      <c r="G327" s="184"/>
      <c r="H327" s="184"/>
      <c r="I327" s="184"/>
      <c r="J327" s="184"/>
      <c r="K327" s="184"/>
      <c r="L327" s="184"/>
      <c r="M327" s="184"/>
      <c r="N327" s="184"/>
      <c r="O327" s="60" t="s">
        <v>2311</v>
      </c>
      <c r="P327" s="201"/>
      <c r="Q327" s="201"/>
    </row>
    <row r="328" spans="2:32" ht="11.25" customHeight="1">
      <c r="B328" s="55"/>
      <c r="C328" s="80" t="s">
        <v>3747</v>
      </c>
      <c r="D328" s="702" t="s">
        <v>3580</v>
      </c>
      <c r="E328" s="702"/>
      <c r="F328" s="702"/>
      <c r="G328" s="702"/>
      <c r="H328" s="702"/>
      <c r="I328" s="702"/>
      <c r="J328" s="702"/>
      <c r="K328" s="702"/>
      <c r="L328" s="702"/>
      <c r="M328" s="702"/>
      <c r="N328" s="731"/>
      <c r="P328" s="80" t="s">
        <v>3747</v>
      </c>
      <c r="Q328" s="234"/>
    </row>
    <row r="329" spans="2:32" ht="11.25" customHeight="1">
      <c r="B329" s="55"/>
      <c r="C329" s="80" t="s">
        <v>3748</v>
      </c>
      <c r="D329" s="185" t="s">
        <v>3581</v>
      </c>
      <c r="E329" s="185"/>
      <c r="F329" s="185"/>
      <c r="G329" s="185"/>
      <c r="H329" s="185"/>
      <c r="I329" s="44"/>
      <c r="J329" s="731"/>
      <c r="K329" s="731"/>
      <c r="L329" s="731"/>
      <c r="M329" s="731"/>
      <c r="N329" s="731"/>
      <c r="P329" s="80" t="s">
        <v>3748</v>
      </c>
      <c r="Q329" s="234"/>
    </row>
    <row r="330" spans="2:32" ht="11.25" customHeight="1">
      <c r="B330" s="55"/>
      <c r="C330" s="80" t="s">
        <v>3749</v>
      </c>
      <c r="D330" s="63" t="s">
        <v>3582</v>
      </c>
      <c r="E330" s="63"/>
      <c r="F330" s="63"/>
      <c r="G330" s="63"/>
      <c r="H330" s="63"/>
      <c r="I330" s="63"/>
      <c r="J330" s="63"/>
      <c r="K330" s="63"/>
      <c r="L330" s="38"/>
      <c r="M330" s="38"/>
      <c r="N330" s="731"/>
      <c r="P330" s="80" t="s">
        <v>3749</v>
      </c>
      <c r="Q330" s="234"/>
    </row>
    <row r="331" spans="2:32" ht="11.25" customHeight="1">
      <c r="B331" s="55"/>
      <c r="C331" s="80" t="s">
        <v>2842</v>
      </c>
      <c r="D331" s="63" t="s">
        <v>3583</v>
      </c>
      <c r="E331" s="63"/>
      <c r="F331" s="63"/>
      <c r="G331" s="63"/>
      <c r="H331" s="63"/>
      <c r="I331" s="63"/>
      <c r="J331" s="63"/>
      <c r="K331" s="63"/>
      <c r="L331" s="63"/>
      <c r="M331" s="63"/>
      <c r="N331" s="63"/>
      <c r="P331" s="80" t="s">
        <v>2842</v>
      </c>
      <c r="Q331" s="234"/>
    </row>
    <row r="332" spans="2:32" ht="11.25" customHeight="1">
      <c r="B332" s="55"/>
      <c r="C332" s="80" t="s">
        <v>3514</v>
      </c>
      <c r="D332" s="63" t="s">
        <v>3584</v>
      </c>
      <c r="E332" s="63"/>
      <c r="F332" s="63"/>
      <c r="G332" s="63"/>
      <c r="H332" s="63"/>
      <c r="I332" s="63"/>
      <c r="J332" s="63"/>
      <c r="K332" s="63"/>
      <c r="L332" s="63"/>
      <c r="M332" s="63"/>
      <c r="N332" s="63"/>
      <c r="P332" s="80" t="s">
        <v>3514</v>
      </c>
      <c r="Q332" s="234"/>
    </row>
    <row r="333" spans="2:32" ht="11.25" customHeight="1">
      <c r="B333" s="193"/>
      <c r="C333" s="60" t="s">
        <v>3515</v>
      </c>
      <c r="D333" s="191" t="s">
        <v>3585</v>
      </c>
      <c r="E333" s="191"/>
      <c r="F333" s="191"/>
      <c r="G333" s="191"/>
      <c r="H333" s="191"/>
      <c r="I333" s="191"/>
      <c r="J333" s="191"/>
      <c r="K333" s="191"/>
      <c r="L333" s="191"/>
      <c r="M333" s="191"/>
      <c r="N333" s="191"/>
      <c r="P333" s="60" t="s">
        <v>3515</v>
      </c>
      <c r="Q333" s="234"/>
    </row>
    <row r="334" spans="2:32" ht="11.25" customHeight="1">
      <c r="B334" s="193"/>
      <c r="C334" s="60" t="s">
        <v>1613</v>
      </c>
      <c r="D334" s="63" t="s">
        <v>3586</v>
      </c>
      <c r="E334" s="63"/>
      <c r="F334" s="63"/>
      <c r="G334" s="63"/>
      <c r="H334" s="63"/>
      <c r="I334" s="63"/>
      <c r="J334" s="63"/>
      <c r="K334" s="63"/>
      <c r="L334" s="63"/>
      <c r="M334" s="63"/>
      <c r="N334" s="63"/>
      <c r="P334" s="60" t="s">
        <v>1613</v>
      </c>
      <c r="Q334" s="234"/>
    </row>
    <row r="335" spans="2:32" ht="11.25" customHeight="1">
      <c r="B335" s="55"/>
      <c r="C335" s="60" t="s">
        <v>709</v>
      </c>
      <c r="D335" s="702" t="s">
        <v>3587</v>
      </c>
      <c r="E335" s="702"/>
      <c r="F335" s="702"/>
      <c r="G335" s="702"/>
      <c r="H335" s="702"/>
      <c r="I335" s="702"/>
      <c r="J335" s="702"/>
      <c r="K335" s="702"/>
      <c r="L335" s="702"/>
      <c r="M335" s="702"/>
      <c r="N335" s="731"/>
      <c r="P335" s="60" t="s">
        <v>709</v>
      </c>
      <c r="Q335" s="234"/>
    </row>
    <row r="336" spans="2:32" ht="11.25" customHeight="1">
      <c r="B336" s="192" t="s">
        <v>348</v>
      </c>
      <c r="D336" s="192"/>
      <c r="E336" s="192"/>
      <c r="F336" s="192"/>
      <c r="G336" s="192"/>
      <c r="H336" s="48"/>
      <c r="I336" s="181"/>
      <c r="J336" s="181"/>
      <c r="K336" s="181"/>
      <c r="L336" s="846"/>
      <c r="M336" s="846"/>
      <c r="N336" s="846"/>
      <c r="O336" s="846"/>
      <c r="P336" s="846"/>
      <c r="Q336" s="61"/>
    </row>
    <row r="337" spans="1:31" ht="11.45" customHeight="1">
      <c r="A337" s="1564"/>
      <c r="B337" s="1565"/>
      <c r="C337" s="1565"/>
      <c r="D337" s="1565"/>
      <c r="E337" s="1565"/>
      <c r="F337" s="1565"/>
      <c r="G337" s="1565"/>
      <c r="H337" s="1565"/>
      <c r="I337" s="1565"/>
      <c r="J337" s="1565"/>
      <c r="K337" s="1565"/>
      <c r="L337" s="1565"/>
      <c r="M337" s="1565"/>
      <c r="N337" s="1565"/>
      <c r="O337" s="1565"/>
      <c r="P337" s="1565"/>
      <c r="Q337" s="1566"/>
      <c r="U337" s="187"/>
      <c r="V337" s="187"/>
      <c r="W337" s="187"/>
      <c r="X337" s="187"/>
      <c r="Y337" s="187"/>
      <c r="Z337" s="187"/>
      <c r="AA337" s="187"/>
      <c r="AB337" s="187"/>
      <c r="AC337" s="187"/>
      <c r="AD337" s="187"/>
      <c r="AE337" s="804"/>
    </row>
    <row r="338" spans="1:31" ht="11.25" customHeight="1">
      <c r="B338" s="188" t="s">
        <v>349</v>
      </c>
      <c r="C338" s="189"/>
      <c r="D338" s="853"/>
      <c r="E338" s="853"/>
      <c r="F338" s="853"/>
      <c r="G338" s="853"/>
      <c r="H338" s="853"/>
      <c r="I338" s="853"/>
      <c r="J338" s="853"/>
      <c r="K338" s="853"/>
      <c r="L338" s="853"/>
      <c r="M338" s="853"/>
      <c r="N338" s="853"/>
      <c r="O338" s="853"/>
      <c r="P338" s="853"/>
      <c r="Q338" s="853"/>
    </row>
    <row r="339" spans="1:31" ht="11.45" customHeight="1">
      <c r="A339" s="1107"/>
      <c r="B339" s="1108"/>
      <c r="C339" s="1108"/>
      <c r="D339" s="1108"/>
      <c r="E339" s="1108"/>
      <c r="F339" s="1108"/>
      <c r="G339" s="1108"/>
      <c r="H339" s="1108"/>
      <c r="I339" s="1108"/>
      <c r="J339" s="1108"/>
      <c r="K339" s="1108"/>
      <c r="L339" s="1108"/>
      <c r="M339" s="1108"/>
      <c r="N339" s="1108"/>
      <c r="O339" s="1108"/>
      <c r="P339" s="1108"/>
      <c r="Q339" s="1109"/>
    </row>
    <row r="340" spans="1:31" ht="6" customHeight="1">
      <c r="A340" s="846"/>
      <c r="B340" s="181"/>
      <c r="C340" s="853"/>
      <c r="D340" s="853"/>
      <c r="E340" s="853"/>
      <c r="F340" s="853"/>
      <c r="G340" s="853"/>
      <c r="H340" s="853"/>
      <c r="I340" s="853"/>
      <c r="J340" s="853"/>
      <c r="K340" s="853"/>
      <c r="L340" s="853"/>
      <c r="M340" s="853"/>
      <c r="Q340" s="61"/>
    </row>
    <row r="341" spans="1:31" ht="13.9" customHeight="1">
      <c r="A341" s="854">
        <v>23</v>
      </c>
      <c r="B341" s="5" t="s">
        <v>3870</v>
      </c>
      <c r="C341" s="5"/>
      <c r="D341" s="5"/>
      <c r="E341" s="5"/>
      <c r="F341" s="5"/>
      <c r="G341" s="5"/>
      <c r="H341" s="853"/>
      <c r="I341" s="853"/>
      <c r="J341" s="853"/>
      <c r="O341" s="182" t="s">
        <v>350</v>
      </c>
      <c r="P341" s="1111"/>
      <c r="Q341" s="1112"/>
    </row>
    <row r="342" spans="1:31" ht="11.45" customHeight="1">
      <c r="B342" s="55" t="s">
        <v>2308</v>
      </c>
      <c r="C342" s="162" t="s">
        <v>1115</v>
      </c>
      <c r="E342" s="1570"/>
      <c r="F342" s="1571"/>
      <c r="G342" s="1571"/>
      <c r="H342" s="1571"/>
      <c r="I342" s="1572"/>
      <c r="J342" s="1115" t="s">
        <v>3590</v>
      </c>
      <c r="K342" s="1116"/>
      <c r="L342" s="1117"/>
      <c r="M342" s="1570"/>
      <c r="N342" s="1571"/>
      <c r="O342" s="1571"/>
      <c r="P342" s="1571"/>
      <c r="Q342" s="1572"/>
    </row>
    <row r="343" spans="1:31" ht="11.45" customHeight="1">
      <c r="B343" s="55" t="s">
        <v>2311</v>
      </c>
      <c r="C343" s="63" t="s">
        <v>3750</v>
      </c>
      <c r="D343" s="63"/>
      <c r="E343" s="63"/>
      <c r="F343" s="63"/>
      <c r="G343" s="63"/>
      <c r="H343" s="63"/>
      <c r="I343" s="63"/>
      <c r="J343" s="63"/>
      <c r="K343" s="63"/>
      <c r="L343" s="38"/>
      <c r="M343" s="38"/>
      <c r="O343" s="60" t="s">
        <v>2311</v>
      </c>
      <c r="P343" s="1560"/>
      <c r="Q343" s="234"/>
    </row>
    <row r="344" spans="1:31" ht="11.45" customHeight="1">
      <c r="B344" s="55" t="s">
        <v>2783</v>
      </c>
      <c r="C344" s="63" t="s">
        <v>3369</v>
      </c>
      <c r="D344" s="63"/>
      <c r="E344" s="63"/>
      <c r="F344" s="63"/>
      <c r="G344" s="63"/>
      <c r="H344" s="63"/>
      <c r="I344" s="63"/>
      <c r="J344" s="63"/>
      <c r="K344" s="63"/>
      <c r="L344" s="63"/>
      <c r="M344" s="63"/>
      <c r="O344" s="60" t="s">
        <v>2783</v>
      </c>
      <c r="P344" s="1560"/>
      <c r="Q344" s="234"/>
    </row>
    <row r="345" spans="1:31" ht="11.45" customHeight="1">
      <c r="B345" s="55" t="s">
        <v>2482</v>
      </c>
      <c r="C345" s="63" t="s">
        <v>2171</v>
      </c>
      <c r="D345" s="63"/>
      <c r="E345" s="63"/>
      <c r="F345" s="63"/>
      <c r="G345" s="63"/>
      <c r="H345" s="63"/>
      <c r="I345" s="63"/>
      <c r="J345" s="63"/>
      <c r="K345" s="63"/>
      <c r="L345" s="63"/>
      <c r="M345" s="63"/>
      <c r="O345" s="60" t="s">
        <v>2482</v>
      </c>
      <c r="P345" s="1560"/>
      <c r="Q345" s="234"/>
    </row>
    <row r="346" spans="1:31" ht="21.75" customHeight="1">
      <c r="B346" s="193" t="s">
        <v>3745</v>
      </c>
      <c r="C346" s="1110" t="s">
        <v>562</v>
      </c>
      <c r="D346" s="1110"/>
      <c r="E346" s="1110"/>
      <c r="F346" s="1110"/>
      <c r="G346" s="1110"/>
      <c r="H346" s="1110"/>
      <c r="I346" s="1110"/>
      <c r="J346" s="1110"/>
      <c r="K346" s="1110"/>
      <c r="L346" s="1110"/>
      <c r="M346" s="1110"/>
      <c r="N346" s="1110"/>
      <c r="O346" s="221" t="s">
        <v>3745</v>
      </c>
      <c r="P346" s="1560"/>
      <c r="Q346" s="234"/>
    </row>
    <row r="347" spans="1:31" ht="21.75" customHeight="1">
      <c r="B347" s="193" t="s">
        <v>3746</v>
      </c>
      <c r="C347" s="1090" t="s">
        <v>2010</v>
      </c>
      <c r="D347" s="1090"/>
      <c r="E347" s="1090"/>
      <c r="F347" s="1090"/>
      <c r="G347" s="1090"/>
      <c r="H347" s="1090"/>
      <c r="I347" s="1090"/>
      <c r="J347" s="1090"/>
      <c r="K347" s="1090"/>
      <c r="L347" s="1090"/>
      <c r="M347" s="1090"/>
      <c r="N347" s="1090"/>
      <c r="O347" s="221" t="s">
        <v>3746</v>
      </c>
      <c r="P347" s="1581"/>
      <c r="Q347" s="234"/>
    </row>
    <row r="348" spans="1:31" ht="11.45" customHeight="1">
      <c r="B348" s="55" t="s">
        <v>3882</v>
      </c>
      <c r="C348" s="38" t="s">
        <v>758</v>
      </c>
      <c r="D348" s="205"/>
      <c r="E348" s="205"/>
      <c r="F348" s="205"/>
      <c r="G348" s="205"/>
      <c r="H348" s="205"/>
      <c r="I348" s="205"/>
      <c r="J348" s="205"/>
      <c r="K348" s="205"/>
      <c r="L348" s="205"/>
      <c r="M348" s="205"/>
      <c r="O348" s="60" t="s">
        <v>3882</v>
      </c>
      <c r="P348" s="1560"/>
      <c r="Q348" s="234"/>
    </row>
    <row r="349" spans="1:31" ht="11.25" customHeight="1">
      <c r="B349" s="192" t="s">
        <v>348</v>
      </c>
      <c r="D349" s="192"/>
      <c r="E349" s="192"/>
      <c r="F349" s="192"/>
      <c r="G349" s="192"/>
      <c r="H349" s="48"/>
      <c r="I349" s="181"/>
      <c r="J349" s="181"/>
      <c r="K349" s="181"/>
      <c r="L349" s="846"/>
      <c r="M349" s="846"/>
      <c r="N349" s="846"/>
      <c r="O349" s="846"/>
      <c r="P349" s="846"/>
      <c r="Q349" s="61"/>
    </row>
    <row r="350" spans="1:31" ht="11.45" customHeight="1">
      <c r="A350" s="1564"/>
      <c r="B350" s="1565"/>
      <c r="C350" s="1565"/>
      <c r="D350" s="1565"/>
      <c r="E350" s="1565"/>
      <c r="F350" s="1565"/>
      <c r="G350" s="1565"/>
      <c r="H350" s="1565"/>
      <c r="I350" s="1565"/>
      <c r="J350" s="1565"/>
      <c r="K350" s="1565"/>
      <c r="L350" s="1565"/>
      <c r="M350" s="1565"/>
      <c r="N350" s="1565"/>
      <c r="O350" s="1565"/>
      <c r="P350" s="1565"/>
      <c r="Q350" s="1566"/>
      <c r="U350" s="187"/>
      <c r="V350" s="187"/>
      <c r="W350" s="187"/>
      <c r="X350" s="187"/>
      <c r="Y350" s="187"/>
      <c r="Z350" s="187"/>
      <c r="AA350" s="187"/>
      <c r="AB350" s="187"/>
      <c r="AC350" s="187"/>
      <c r="AD350" s="187"/>
      <c r="AE350" s="804"/>
    </row>
    <row r="351" spans="1:31" ht="11.25" customHeight="1">
      <c r="B351" s="188" t="s">
        <v>349</v>
      </c>
      <c r="C351" s="189"/>
      <c r="D351" s="853"/>
      <c r="E351" s="853"/>
      <c r="F351" s="853"/>
      <c r="G351" s="853"/>
      <c r="H351" s="853"/>
      <c r="I351" s="853"/>
      <c r="J351" s="853"/>
      <c r="K351" s="853"/>
      <c r="L351" s="853"/>
      <c r="M351" s="853"/>
      <c r="N351" s="853"/>
      <c r="O351" s="853"/>
      <c r="P351" s="853"/>
      <c r="Q351" s="853"/>
    </row>
    <row r="352" spans="1:31" ht="11.45" customHeight="1">
      <c r="A352" s="1107"/>
      <c r="B352" s="1108"/>
      <c r="C352" s="1108"/>
      <c r="D352" s="1108"/>
      <c r="E352" s="1108"/>
      <c r="F352" s="1108"/>
      <c r="G352" s="1108"/>
      <c r="H352" s="1108"/>
      <c r="I352" s="1108"/>
      <c r="J352" s="1108"/>
      <c r="K352" s="1108"/>
      <c r="L352" s="1108"/>
      <c r="M352" s="1108"/>
      <c r="N352" s="1108"/>
      <c r="O352" s="1108"/>
      <c r="P352" s="1108"/>
      <c r="Q352" s="1109"/>
    </row>
    <row r="353" spans="1:32" ht="3.6" customHeight="1">
      <c r="A353" s="846"/>
      <c r="B353" s="181"/>
      <c r="C353" s="853"/>
      <c r="D353" s="853"/>
      <c r="E353" s="853"/>
      <c r="F353" s="853"/>
      <c r="G353" s="853"/>
      <c r="H353" s="853"/>
      <c r="I353" s="853"/>
      <c r="J353" s="853"/>
      <c r="K353" s="853"/>
      <c r="L353" s="853"/>
      <c r="M353" s="853"/>
      <c r="Q353" s="61"/>
    </row>
    <row r="354" spans="1:32" ht="13.9" customHeight="1">
      <c r="A354" s="854">
        <v>24</v>
      </c>
      <c r="B354" s="5" t="s">
        <v>3588</v>
      </c>
      <c r="C354" s="5"/>
      <c r="D354" s="116"/>
      <c r="E354" s="853"/>
      <c r="F354" s="853"/>
      <c r="G354" s="853"/>
      <c r="H354" s="853"/>
      <c r="I354" s="853"/>
      <c r="J354" s="853"/>
      <c r="K354" s="853"/>
      <c r="L354" s="853"/>
      <c r="M354" s="853"/>
      <c r="O354" s="182" t="s">
        <v>350</v>
      </c>
      <c r="P354" s="1111"/>
      <c r="Q354" s="1112"/>
    </row>
    <row r="355" spans="1:32" s="2" customFormat="1" ht="23.45" customHeight="1">
      <c r="B355" s="193" t="s">
        <v>2308</v>
      </c>
      <c r="C355" s="1110" t="s">
        <v>115</v>
      </c>
      <c r="D355" s="1110"/>
      <c r="E355" s="1110"/>
      <c r="F355" s="1110"/>
      <c r="G355" s="1110"/>
      <c r="H355" s="1110"/>
      <c r="I355" s="1110"/>
      <c r="J355" s="1110"/>
      <c r="K355" s="1110"/>
      <c r="L355" s="1110"/>
      <c r="M355" s="221" t="s">
        <v>2308</v>
      </c>
      <c r="N355" s="1607" t="s">
        <v>2102</v>
      </c>
      <c r="O355" s="1608"/>
      <c r="P355" s="1120" t="s">
        <v>2102</v>
      </c>
      <c r="Q355" s="1121"/>
      <c r="AE355" s="6"/>
      <c r="AF355" s="6"/>
    </row>
    <row r="356" spans="1:32" s="2" customFormat="1" ht="12" customHeight="1">
      <c r="B356" s="55" t="s">
        <v>2311</v>
      </c>
      <c r="C356" s="159" t="s">
        <v>1507</v>
      </c>
      <c r="D356" s="205"/>
      <c r="E356" s="205"/>
      <c r="G356" s="60" t="s">
        <v>2311</v>
      </c>
      <c r="H356" s="1582"/>
      <c r="I356" s="1583"/>
      <c r="J356" s="1583"/>
      <c r="K356" s="1583"/>
      <c r="L356" s="1583"/>
      <c r="M356" s="1583"/>
      <c r="N356" s="1583"/>
      <c r="O356" s="1583"/>
      <c r="P356" s="1584"/>
      <c r="Q356" s="234"/>
      <c r="AE356" s="6"/>
      <c r="AF356" s="6"/>
    </row>
    <row r="357" spans="1:32" s="2" customFormat="1" ht="12" customHeight="1">
      <c r="B357" s="55" t="s">
        <v>2783</v>
      </c>
      <c r="C357" s="38" t="s">
        <v>1494</v>
      </c>
      <c r="D357" s="12"/>
      <c r="E357" s="12"/>
      <c r="F357" s="12"/>
      <c r="G357" s="8"/>
      <c r="H357" s="8"/>
      <c r="I357" s="38"/>
      <c r="K357" s="8"/>
      <c r="L357" s="8"/>
      <c r="M357" s="8"/>
      <c r="O357" s="60" t="s">
        <v>2783</v>
      </c>
      <c r="P357" s="1560"/>
      <c r="Q357" s="234"/>
      <c r="AE357" s="6"/>
      <c r="AF357" s="6"/>
    </row>
    <row r="358" spans="1:32" ht="11.25" customHeight="1">
      <c r="B358" s="192" t="s">
        <v>348</v>
      </c>
      <c r="D358" s="192"/>
      <c r="E358" s="192"/>
      <c r="F358" s="192"/>
      <c r="G358" s="192"/>
      <c r="H358" s="48"/>
      <c r="I358" s="181"/>
      <c r="J358" s="181"/>
      <c r="K358" s="181"/>
      <c r="L358" s="846"/>
      <c r="M358" s="846"/>
      <c r="N358" s="846"/>
      <c r="O358" s="846"/>
      <c r="P358" s="846"/>
      <c r="Q358" s="61"/>
    </row>
    <row r="359" spans="1:32" ht="11.45" customHeight="1">
      <c r="A359" s="1564"/>
      <c r="B359" s="1565"/>
      <c r="C359" s="1565"/>
      <c r="D359" s="1565"/>
      <c r="E359" s="1565"/>
      <c r="F359" s="1565"/>
      <c r="G359" s="1565"/>
      <c r="H359" s="1565"/>
      <c r="I359" s="1565"/>
      <c r="J359" s="1565"/>
      <c r="K359" s="1565"/>
      <c r="L359" s="1565"/>
      <c r="M359" s="1565"/>
      <c r="N359" s="1565"/>
      <c r="O359" s="1565"/>
      <c r="P359" s="1565"/>
      <c r="Q359" s="1566"/>
      <c r="R359" s="739" t="s">
        <v>3276</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349</v>
      </c>
      <c r="C361" s="189"/>
      <c r="D361" s="853"/>
      <c r="E361" s="853"/>
      <c r="F361" s="853"/>
      <c r="G361" s="853"/>
      <c r="H361" s="853"/>
      <c r="I361" s="853"/>
      <c r="J361" s="853"/>
      <c r="K361" s="853"/>
      <c r="L361" s="853"/>
      <c r="M361" s="853"/>
      <c r="N361" s="853"/>
      <c r="O361" s="853"/>
      <c r="P361" s="853"/>
      <c r="Q361" s="853"/>
    </row>
    <row r="362" spans="1:32" ht="11.45" customHeight="1">
      <c r="A362" s="1107"/>
      <c r="B362" s="1108"/>
      <c r="C362" s="1108"/>
      <c r="D362" s="1108"/>
      <c r="E362" s="1108"/>
      <c r="F362" s="1108"/>
      <c r="G362" s="1108"/>
      <c r="H362" s="1108"/>
      <c r="I362" s="1108"/>
      <c r="J362" s="1108"/>
      <c r="K362" s="1108"/>
      <c r="L362" s="1108"/>
      <c r="M362" s="1108"/>
      <c r="N362" s="1108"/>
      <c r="O362" s="1108"/>
      <c r="P362" s="1108"/>
      <c r="Q362" s="1109"/>
    </row>
    <row r="363" spans="1:32" ht="6" customHeight="1">
      <c r="A363" s="846"/>
      <c r="B363" s="181"/>
      <c r="C363" s="853"/>
      <c r="D363" s="853"/>
      <c r="E363" s="853"/>
      <c r="F363" s="853"/>
      <c r="G363" s="853"/>
      <c r="H363" s="853"/>
      <c r="I363" s="853"/>
      <c r="J363" s="853"/>
      <c r="K363" s="853"/>
      <c r="L363" s="853"/>
      <c r="M363" s="853"/>
      <c r="N363" s="853"/>
      <c r="O363" s="853"/>
      <c r="P363" s="853"/>
      <c r="Q363" s="846"/>
    </row>
    <row r="364" spans="1:32" ht="13.9" customHeight="1">
      <c r="A364" s="854">
        <v>25</v>
      </c>
      <c r="B364" s="5" t="s">
        <v>3567</v>
      </c>
      <c r="C364" s="5"/>
      <c r="D364" s="5"/>
      <c r="E364" s="853"/>
      <c r="G364" s="191" t="s">
        <v>2614</v>
      </c>
      <c r="H364" s="853"/>
      <c r="I364" s="853"/>
      <c r="J364" s="853"/>
      <c r="K364" s="853"/>
      <c r="L364" s="853"/>
      <c r="M364" s="853"/>
      <c r="O364" s="182" t="s">
        <v>350</v>
      </c>
      <c r="P364" s="1111"/>
      <c r="Q364" s="1113"/>
    </row>
    <row r="365" spans="1:32" ht="12" customHeight="1">
      <c r="A365" s="195"/>
      <c r="B365" s="55" t="s">
        <v>2308</v>
      </c>
      <c r="C365" s="63" t="s">
        <v>3596</v>
      </c>
      <c r="D365" s="201"/>
      <c r="E365" s="201"/>
      <c r="H365" s="191"/>
      <c r="O365" s="60" t="s">
        <v>2308</v>
      </c>
      <c r="P365" s="1560" t="s">
        <v>4061</v>
      </c>
      <c r="Q365" s="234"/>
    </row>
    <row r="366" spans="1:32" ht="12" customHeight="1">
      <c r="A366" s="195"/>
      <c r="B366" s="55" t="s">
        <v>2311</v>
      </c>
      <c r="C366" s="63" t="s">
        <v>3597</v>
      </c>
      <c r="D366" s="201"/>
      <c r="E366" s="201"/>
      <c r="O366" s="60" t="s">
        <v>2311</v>
      </c>
      <c r="P366" s="1560" t="s">
        <v>4061</v>
      </c>
      <c r="Q366" s="234"/>
    </row>
    <row r="367" spans="1:32" ht="12" customHeight="1">
      <c r="A367" s="195"/>
      <c r="B367" s="55" t="s">
        <v>2783</v>
      </c>
      <c r="C367" s="63" t="s">
        <v>3871</v>
      </c>
      <c r="D367" s="201"/>
      <c r="E367" s="201"/>
      <c r="O367" s="60" t="s">
        <v>2783</v>
      </c>
      <c r="P367" s="1560" t="s">
        <v>4060</v>
      </c>
      <c r="Q367" s="234"/>
    </row>
    <row r="368" spans="1:32" ht="12" customHeight="1">
      <c r="A368" s="195"/>
      <c r="B368" s="55" t="s">
        <v>2482</v>
      </c>
      <c r="C368" s="63" t="s">
        <v>3589</v>
      </c>
      <c r="E368" s="191"/>
      <c r="O368" s="60" t="s">
        <v>2482</v>
      </c>
      <c r="P368" s="1560" t="s">
        <v>4061</v>
      </c>
      <c r="Q368" s="234"/>
    </row>
    <row r="369" spans="1:31" ht="12" customHeight="1">
      <c r="B369" s="55" t="s">
        <v>3745</v>
      </c>
      <c r="C369" s="63" t="s">
        <v>3964</v>
      </c>
      <c r="E369" s="191"/>
      <c r="G369" s="60" t="s">
        <v>3745</v>
      </c>
      <c r="H369" s="1582"/>
      <c r="I369" s="1583"/>
      <c r="J369" s="1583"/>
      <c r="K369" s="1583"/>
      <c r="L369" s="1583"/>
      <c r="M369" s="1583"/>
      <c r="N369" s="1583"/>
      <c r="O369" s="1584"/>
      <c r="P369" s="1560" t="s">
        <v>4061</v>
      </c>
      <c r="Q369" s="234"/>
    </row>
    <row r="370" spans="1:31" ht="11.25" customHeight="1">
      <c r="B370" s="192" t="s">
        <v>348</v>
      </c>
      <c r="D370" s="192"/>
      <c r="E370" s="192"/>
      <c r="F370" s="192"/>
      <c r="G370" s="192"/>
      <c r="H370" s="48"/>
      <c r="I370" s="181"/>
      <c r="J370" s="181"/>
      <c r="K370" s="181"/>
      <c r="L370" s="846"/>
      <c r="M370" s="846"/>
      <c r="N370" s="846"/>
      <c r="O370" s="846"/>
      <c r="P370" s="846"/>
      <c r="Q370" s="61"/>
    </row>
    <row r="371" spans="1:31" ht="11.45" customHeight="1">
      <c r="A371" s="1564" t="s">
        <v>452</v>
      </c>
      <c r="B371" s="1565"/>
      <c r="C371" s="1565"/>
      <c r="D371" s="1565"/>
      <c r="E371" s="1565"/>
      <c r="F371" s="1565"/>
      <c r="G371" s="1565"/>
      <c r="H371" s="1565"/>
      <c r="I371" s="1565"/>
      <c r="J371" s="1565"/>
      <c r="K371" s="1565"/>
      <c r="L371" s="1565"/>
      <c r="M371" s="1565"/>
      <c r="N371" s="1565"/>
      <c r="O371" s="1565"/>
      <c r="P371" s="1565"/>
      <c r="Q371" s="1566"/>
      <c r="U371" s="187"/>
      <c r="V371" s="187"/>
      <c r="W371" s="187"/>
      <c r="X371" s="187"/>
      <c r="Y371" s="187"/>
      <c r="Z371" s="187"/>
      <c r="AA371" s="187"/>
      <c r="AB371" s="187"/>
      <c r="AC371" s="187"/>
      <c r="AD371" s="187"/>
      <c r="AE371" s="804"/>
    </row>
    <row r="372" spans="1:31" ht="11.25" customHeight="1">
      <c r="B372" s="188" t="s">
        <v>349</v>
      </c>
      <c r="C372" s="189"/>
      <c r="D372" s="853"/>
      <c r="E372" s="853"/>
      <c r="F372" s="853"/>
      <c r="G372" s="853"/>
      <c r="H372" s="853"/>
      <c r="I372" s="853"/>
      <c r="J372" s="853"/>
      <c r="K372" s="853"/>
      <c r="L372" s="853"/>
      <c r="M372" s="853"/>
      <c r="N372" s="853"/>
      <c r="O372" s="853"/>
      <c r="P372" s="853"/>
      <c r="Q372" s="853"/>
    </row>
    <row r="373" spans="1:31" ht="11.45" customHeight="1">
      <c r="A373" s="1107"/>
      <c r="B373" s="1108"/>
      <c r="C373" s="1108"/>
      <c r="D373" s="1108"/>
      <c r="E373" s="1108"/>
      <c r="F373" s="1108"/>
      <c r="G373" s="1108"/>
      <c r="H373" s="1108"/>
      <c r="I373" s="1108"/>
      <c r="J373" s="1108"/>
      <c r="K373" s="1108"/>
      <c r="L373" s="1108"/>
      <c r="M373" s="1108"/>
      <c r="N373" s="1108"/>
      <c r="O373" s="1108"/>
      <c r="P373" s="1108"/>
      <c r="Q373" s="1109"/>
    </row>
    <row r="374" spans="1:31" ht="6" customHeight="1">
      <c r="A374" s="846"/>
      <c r="B374" s="181"/>
      <c r="C374" s="853"/>
      <c r="D374" s="853"/>
      <c r="E374" s="853"/>
      <c r="F374" s="853"/>
      <c r="G374" s="853"/>
      <c r="H374" s="853"/>
      <c r="I374" s="853"/>
      <c r="J374" s="853"/>
      <c r="K374" s="853"/>
      <c r="L374" s="853"/>
      <c r="M374" s="853"/>
      <c r="N374" s="853"/>
      <c r="O374" s="853"/>
      <c r="P374" s="853"/>
      <c r="Q374" s="846"/>
    </row>
    <row r="375" spans="1:31" ht="13.9" customHeight="1">
      <c r="A375" s="854">
        <v>26</v>
      </c>
      <c r="B375" s="1119" t="s">
        <v>3568</v>
      </c>
      <c r="C375" s="1119"/>
      <c r="D375" s="1119"/>
      <c r="E375" s="1119"/>
      <c r="F375" s="1119"/>
      <c r="G375" s="1119"/>
      <c r="H375" s="853"/>
      <c r="I375" s="853"/>
      <c r="J375" s="853"/>
      <c r="K375" s="853"/>
      <c r="L375" s="853"/>
      <c r="M375" s="853"/>
      <c r="O375" s="182" t="s">
        <v>350</v>
      </c>
      <c r="P375" s="1111"/>
      <c r="Q375" s="1113"/>
    </row>
    <row r="376" spans="1:31" ht="21.75" customHeight="1">
      <c r="A376" s="190"/>
      <c r="B376" s="193" t="s">
        <v>2308</v>
      </c>
      <c r="C376" s="1110" t="s">
        <v>803</v>
      </c>
      <c r="D376" s="1110"/>
      <c r="E376" s="1110"/>
      <c r="F376" s="1110"/>
      <c r="G376" s="1110"/>
      <c r="H376" s="1110"/>
      <c r="I376" s="1110"/>
      <c r="J376" s="1110"/>
      <c r="K376" s="1110"/>
      <c r="L376" s="1110"/>
      <c r="M376" s="1110"/>
      <c r="N376" s="1110"/>
      <c r="O376" s="221" t="s">
        <v>2308</v>
      </c>
      <c r="P376" s="1560" t="s">
        <v>4086</v>
      </c>
      <c r="Q376" s="234"/>
    </row>
    <row r="377" spans="1:31" ht="12" customHeight="1">
      <c r="A377" s="190"/>
      <c r="B377" s="55" t="s">
        <v>2311</v>
      </c>
      <c r="C377" s="198" t="s">
        <v>759</v>
      </c>
      <c r="D377" s="853"/>
      <c r="E377" s="853"/>
      <c r="F377" s="853"/>
      <c r="G377" s="853"/>
      <c r="H377" s="853"/>
      <c r="I377" s="853"/>
      <c r="J377" s="853"/>
      <c r="K377" s="853"/>
      <c r="L377" s="853"/>
      <c r="M377" s="853"/>
      <c r="O377" s="60" t="s">
        <v>2311</v>
      </c>
      <c r="P377" s="1560" t="s">
        <v>4060</v>
      </c>
      <c r="Q377" s="234"/>
    </row>
    <row r="378" spans="1:31" ht="11.25" customHeight="1">
      <c r="B378" s="128" t="s">
        <v>348</v>
      </c>
      <c r="D378" s="128"/>
      <c r="E378" s="128"/>
      <c r="F378" s="128"/>
      <c r="G378" s="128"/>
      <c r="H378" s="48"/>
      <c r="I378" s="181"/>
      <c r="J378" s="181"/>
      <c r="K378" s="188" t="s">
        <v>349</v>
      </c>
      <c r="L378" s="846"/>
      <c r="M378" s="846"/>
      <c r="N378" s="846"/>
      <c r="O378" s="237"/>
      <c r="P378" s="846"/>
      <c r="Q378" s="61"/>
    </row>
    <row r="379" spans="1:31" ht="11.45" customHeight="1">
      <c r="A379" s="1564" t="s">
        <v>453</v>
      </c>
      <c r="B379" s="1565"/>
      <c r="C379" s="1565"/>
      <c r="D379" s="1565"/>
      <c r="E379" s="1565"/>
      <c r="F379" s="1565"/>
      <c r="G379" s="1565"/>
      <c r="H379" s="1565"/>
      <c r="I379" s="1565"/>
      <c r="J379" s="1566"/>
      <c r="K379" s="1107"/>
      <c r="L379" s="1108"/>
      <c r="M379" s="1108"/>
      <c r="N379" s="1108"/>
      <c r="O379" s="1108"/>
      <c r="P379" s="1108"/>
      <c r="Q379" s="1109"/>
      <c r="U379" s="187"/>
      <c r="V379" s="187"/>
      <c r="W379" s="187"/>
      <c r="X379" s="187"/>
      <c r="Y379" s="187"/>
      <c r="Z379" s="187"/>
      <c r="AA379" s="187"/>
      <c r="AB379" s="187"/>
      <c r="AC379" s="187"/>
      <c r="AD379" s="187"/>
      <c r="AE379" s="804"/>
    </row>
    <row r="380" spans="1:31" ht="6" customHeight="1">
      <c r="A380" s="846"/>
      <c r="B380" s="181"/>
      <c r="C380" s="853"/>
      <c r="D380" s="853"/>
      <c r="E380" s="853"/>
      <c r="F380" s="853"/>
      <c r="G380" s="853"/>
      <c r="H380" s="853"/>
      <c r="I380" s="853"/>
      <c r="J380" s="853"/>
      <c r="K380" s="853"/>
      <c r="L380" s="853"/>
      <c r="M380" s="853"/>
      <c r="N380" s="853"/>
      <c r="O380" s="853"/>
      <c r="P380" s="182"/>
      <c r="Q380" s="61"/>
    </row>
    <row r="381" spans="1:31" ht="13.9" customHeight="1">
      <c r="A381" s="854">
        <v>27</v>
      </c>
      <c r="B381" s="5" t="s">
        <v>3569</v>
      </c>
      <c r="C381" s="5"/>
      <c r="D381" s="5"/>
      <c r="E381" s="5"/>
      <c r="F381" s="5"/>
      <c r="G381" s="5"/>
      <c r="H381" s="853"/>
      <c r="I381" s="853"/>
      <c r="J381" s="853"/>
      <c r="K381" s="853"/>
      <c r="L381" s="853"/>
      <c r="M381" s="853"/>
      <c r="O381" s="182" t="s">
        <v>350</v>
      </c>
      <c r="P381" s="1111"/>
      <c r="Q381" s="1113"/>
    </row>
    <row r="382" spans="1:31" ht="12" customHeight="1">
      <c r="A382" s="50"/>
      <c r="B382" s="55" t="s">
        <v>2308</v>
      </c>
      <c r="C382" s="47" t="s">
        <v>902</v>
      </c>
      <c r="D382" s="50"/>
      <c r="E382" s="50"/>
      <c r="F382" s="50"/>
      <c r="G382" s="50"/>
      <c r="H382" s="50"/>
      <c r="I382" s="50"/>
      <c r="J382" s="50"/>
      <c r="K382" s="50"/>
      <c r="L382" s="50"/>
      <c r="M382" s="50"/>
      <c r="N382" s="50"/>
      <c r="O382" s="60" t="s">
        <v>2308</v>
      </c>
      <c r="P382" s="1560" t="s">
        <v>4061</v>
      </c>
      <c r="Q382" s="234"/>
    </row>
    <row r="383" spans="1:31" ht="12" customHeight="1">
      <c r="A383" s="50"/>
      <c r="B383" s="55" t="s">
        <v>2311</v>
      </c>
      <c r="C383" s="47" t="s">
        <v>2949</v>
      </c>
      <c r="D383" s="50"/>
      <c r="E383" s="50"/>
      <c r="F383" s="50"/>
      <c r="G383" s="50"/>
      <c r="H383" s="50"/>
      <c r="I383" s="50"/>
      <c r="J383" s="50"/>
      <c r="K383" s="50"/>
      <c r="L383" s="50"/>
      <c r="M383" s="50"/>
      <c r="N383" s="50"/>
      <c r="O383" s="60" t="s">
        <v>3391</v>
      </c>
      <c r="P383" s="1560"/>
      <c r="Q383" s="234"/>
    </row>
    <row r="384" spans="1:31" ht="12" customHeight="1">
      <c r="A384" s="50"/>
      <c r="B384" s="55"/>
      <c r="C384" s="63" t="s">
        <v>3439</v>
      </c>
      <c r="D384" s="63"/>
      <c r="E384" s="63"/>
      <c r="F384" s="63"/>
      <c r="G384" s="63"/>
      <c r="H384" s="63"/>
      <c r="I384" s="63"/>
      <c r="J384" s="63"/>
      <c r="K384" s="63"/>
      <c r="L384" s="63"/>
      <c r="M384" s="63"/>
      <c r="N384" s="50"/>
    </row>
    <row r="385" spans="1:32" ht="12" customHeight="1">
      <c r="A385" s="50"/>
      <c r="B385" s="55"/>
      <c r="C385" s="63" t="s">
        <v>2950</v>
      </c>
      <c r="D385" s="63"/>
      <c r="E385" s="63"/>
      <c r="F385" s="63"/>
      <c r="G385" s="63"/>
      <c r="H385" s="63"/>
      <c r="I385" s="63"/>
      <c r="J385" s="63"/>
      <c r="K385" s="63"/>
      <c r="L385" s="63"/>
      <c r="M385" s="63"/>
      <c r="N385" s="50"/>
      <c r="O385" s="60" t="s">
        <v>3748</v>
      </c>
      <c r="P385" s="1560"/>
      <c r="Q385" s="234"/>
    </row>
    <row r="386" spans="1:32" ht="12" customHeight="1">
      <c r="A386" s="50"/>
      <c r="B386" s="55" t="s">
        <v>2783</v>
      </c>
      <c r="C386" s="1090" t="s">
        <v>4111</v>
      </c>
      <c r="D386" s="1090"/>
      <c r="E386" s="1090"/>
      <c r="F386" s="1090"/>
      <c r="G386" s="1090"/>
      <c r="H386" s="1090"/>
      <c r="I386" s="1090"/>
      <c r="J386" s="1090"/>
      <c r="K386" s="1090"/>
      <c r="L386" s="1090"/>
      <c r="M386" s="1090"/>
      <c r="N386" s="1090"/>
      <c r="O386" s="60" t="s">
        <v>2783</v>
      </c>
      <c r="P386" s="1560"/>
      <c r="Q386" s="234"/>
    </row>
    <row r="387" spans="1:32" ht="12" customHeight="1">
      <c r="A387" s="50"/>
      <c r="B387" s="55" t="s">
        <v>2482</v>
      </c>
      <c r="C387" s="38" t="s">
        <v>1645</v>
      </c>
      <c r="D387" s="38"/>
      <c r="E387" s="38"/>
      <c r="F387" s="38"/>
      <c r="G387" s="38"/>
      <c r="H387" s="38"/>
      <c r="I387" s="38"/>
      <c r="J387" s="38"/>
      <c r="K387" s="38"/>
      <c r="L387" s="38"/>
      <c r="M387" s="38"/>
      <c r="N387" s="50"/>
      <c r="O387" s="60"/>
      <c r="P387" s="50"/>
      <c r="Q387" s="50"/>
    </row>
    <row r="388" spans="1:32" ht="12" customHeight="1">
      <c r="A388" s="50"/>
      <c r="B388" s="55"/>
      <c r="C388" s="185" t="s">
        <v>2951</v>
      </c>
      <c r="D388" s="44"/>
      <c r="E388" s="50"/>
      <c r="F388" s="38"/>
      <c r="G388" s="1609"/>
      <c r="H388" s="665" t="s">
        <v>217</v>
      </c>
      <c r="J388" s="185" t="s">
        <v>2954</v>
      </c>
      <c r="K388" s="38"/>
      <c r="N388" s="1609"/>
      <c r="O388" s="665" t="s">
        <v>217</v>
      </c>
    </row>
    <row r="389" spans="1:32" ht="12" customHeight="1">
      <c r="A389" s="50"/>
      <c r="B389" s="55"/>
      <c r="C389" s="185" t="s">
        <v>2952</v>
      </c>
      <c r="D389" s="44"/>
      <c r="E389" s="50"/>
      <c r="F389" s="38"/>
      <c r="G389" s="1609"/>
      <c r="H389" s="665"/>
      <c r="J389" s="185" t="s">
        <v>2955</v>
      </c>
      <c r="K389" s="38"/>
      <c r="N389" s="1609"/>
      <c r="O389" s="665"/>
    </row>
    <row r="390" spans="1:32" ht="12" customHeight="1">
      <c r="A390" s="50"/>
      <c r="B390" s="55"/>
      <c r="C390" s="185" t="s">
        <v>2953</v>
      </c>
      <c r="D390" s="44"/>
      <c r="E390" s="50"/>
      <c r="F390" s="38"/>
      <c r="G390" s="1609"/>
      <c r="H390" s="665" t="s">
        <v>217</v>
      </c>
      <c r="K390" s="38"/>
      <c r="L390" s="38"/>
      <c r="M390" s="38"/>
      <c r="N390" s="50"/>
      <c r="O390" s="60"/>
    </row>
    <row r="391" spans="1:32" ht="12" customHeight="1">
      <c r="A391" s="50"/>
      <c r="B391" s="55" t="s">
        <v>3745</v>
      </c>
      <c r="C391" s="38" t="s">
        <v>2869</v>
      </c>
      <c r="D391" s="38"/>
      <c r="E391" s="38"/>
      <c r="F391" s="38"/>
      <c r="G391" s="38"/>
      <c r="J391" s="50"/>
      <c r="K391" s="38"/>
      <c r="L391" s="38"/>
      <c r="M391" s="38"/>
      <c r="N391" s="50"/>
      <c r="O391" s="60"/>
      <c r="P391" s="60"/>
      <c r="Q391" s="60"/>
    </row>
    <row r="392" spans="1:32" ht="12" customHeight="1">
      <c r="A392" s="50"/>
      <c r="B392" s="55"/>
      <c r="C392" s="700" t="s">
        <v>2956</v>
      </c>
      <c r="D392" s="38"/>
      <c r="E392" s="38"/>
      <c r="F392" s="38"/>
      <c r="G392" s="1560"/>
      <c r="H392" s="234"/>
      <c r="J392" s="700" t="s">
        <v>1279</v>
      </c>
      <c r="K392" s="38"/>
      <c r="N392" s="1560"/>
      <c r="O392" s="234"/>
    </row>
    <row r="393" spans="1:32" ht="12" customHeight="1">
      <c r="A393" s="50"/>
      <c r="B393" s="55"/>
      <c r="C393" s="700" t="s">
        <v>1278</v>
      </c>
      <c r="D393" s="38"/>
      <c r="E393" s="38"/>
      <c r="F393" s="38"/>
      <c r="G393" s="1560"/>
      <c r="H393" s="234"/>
      <c r="J393" s="700" t="s">
        <v>3626</v>
      </c>
      <c r="N393" s="1610"/>
      <c r="O393" s="1611"/>
      <c r="P393" s="1611"/>
      <c r="Q393" s="1612"/>
    </row>
    <row r="394" spans="1:32" ht="12" customHeight="1">
      <c r="B394" s="192" t="s">
        <v>348</v>
      </c>
      <c r="D394" s="192"/>
      <c r="E394" s="192"/>
      <c r="F394" s="192"/>
      <c r="G394" s="192"/>
      <c r="H394" s="48"/>
      <c r="I394" s="181"/>
      <c r="J394" s="181"/>
      <c r="K394" s="181"/>
      <c r="P394" s="846"/>
      <c r="Q394" s="61"/>
    </row>
    <row r="395" spans="1:32" ht="12" customHeight="1">
      <c r="A395" s="1564" t="s">
        <v>454</v>
      </c>
      <c r="B395" s="1565"/>
      <c r="C395" s="1565"/>
      <c r="D395" s="1565"/>
      <c r="E395" s="1565"/>
      <c r="F395" s="1565"/>
      <c r="G395" s="1565"/>
      <c r="H395" s="1565"/>
      <c r="I395" s="1565"/>
      <c r="J395" s="1565"/>
      <c r="K395" s="1565"/>
      <c r="L395" s="1565"/>
      <c r="M395" s="1565"/>
      <c r="N395" s="1565"/>
      <c r="O395" s="1565"/>
      <c r="P395" s="1565"/>
      <c r="Q395" s="1566"/>
      <c r="U395" s="187"/>
      <c r="V395" s="187"/>
      <c r="W395" s="187"/>
      <c r="X395" s="187"/>
      <c r="Y395" s="187"/>
      <c r="Z395" s="187"/>
      <c r="AA395" s="187"/>
      <c r="AB395" s="187"/>
      <c r="AC395" s="187"/>
      <c r="AD395" s="187"/>
      <c r="AE395" s="804"/>
    </row>
    <row r="396" spans="1:32" ht="12" customHeight="1">
      <c r="B396" s="188" t="s">
        <v>349</v>
      </c>
      <c r="C396" s="189"/>
      <c r="D396" s="853"/>
      <c r="E396" s="853"/>
      <c r="F396" s="853"/>
      <c r="G396" s="853"/>
      <c r="H396" s="853"/>
      <c r="I396" s="853"/>
      <c r="J396" s="853"/>
      <c r="K396" s="853"/>
      <c r="L396" s="853"/>
      <c r="M396" s="853"/>
      <c r="N396" s="853"/>
      <c r="O396" s="853"/>
      <c r="P396" s="853"/>
      <c r="Q396" s="853"/>
    </row>
    <row r="397" spans="1:32" ht="12" customHeight="1">
      <c r="A397" s="1107"/>
      <c r="B397" s="1108"/>
      <c r="C397" s="1108"/>
      <c r="D397" s="1108"/>
      <c r="E397" s="1108"/>
      <c r="F397" s="1108"/>
      <c r="G397" s="1108"/>
      <c r="H397" s="1108"/>
      <c r="I397" s="1108"/>
      <c r="J397" s="1108"/>
      <c r="K397" s="1108"/>
      <c r="L397" s="1108"/>
      <c r="M397" s="1108"/>
      <c r="N397" s="1108"/>
      <c r="O397" s="1108"/>
      <c r="P397" s="1108"/>
      <c r="Q397" s="1109"/>
    </row>
    <row r="398" spans="1:32" ht="7.15" customHeight="1">
      <c r="A398" s="846"/>
      <c r="B398" s="181"/>
      <c r="C398" s="853"/>
      <c r="D398" s="853"/>
      <c r="E398" s="853"/>
      <c r="F398" s="853"/>
      <c r="G398" s="853"/>
      <c r="H398" s="853"/>
      <c r="I398" s="853"/>
      <c r="J398" s="853"/>
      <c r="K398" s="853"/>
      <c r="L398" s="853"/>
      <c r="M398" s="853"/>
      <c r="Q398" s="61"/>
    </row>
    <row r="399" spans="1:32" ht="13.9" customHeight="1">
      <c r="A399" s="854">
        <v>28</v>
      </c>
      <c r="B399" s="5" t="s">
        <v>3570</v>
      </c>
      <c r="C399" s="5"/>
      <c r="D399" s="116"/>
      <c r="E399" s="853"/>
      <c r="F399" s="853"/>
      <c r="G399" s="853"/>
      <c r="H399" s="853"/>
      <c r="O399" s="182" t="s">
        <v>350</v>
      </c>
      <c r="P399" s="1111"/>
      <c r="Q399" s="1112"/>
    </row>
    <row r="400" spans="1:32" s="183" customFormat="1" ht="21.75" customHeight="1">
      <c r="B400" s="193" t="s">
        <v>2308</v>
      </c>
      <c r="C400" s="1118" t="s">
        <v>2175</v>
      </c>
      <c r="D400" s="1118"/>
      <c r="E400" s="1118"/>
      <c r="F400" s="1118"/>
      <c r="G400" s="1118"/>
      <c r="H400" s="1118"/>
      <c r="I400" s="1118"/>
      <c r="J400" s="1118"/>
      <c r="K400" s="1118"/>
      <c r="L400" s="1118"/>
      <c r="M400" s="1118"/>
      <c r="N400" s="1118"/>
      <c r="O400" s="221" t="s">
        <v>2308</v>
      </c>
      <c r="P400" s="1581" t="s">
        <v>4086</v>
      </c>
      <c r="Q400" s="356"/>
      <c r="AE400" s="805"/>
      <c r="AF400" s="805"/>
    </row>
    <row r="401" spans="1:32" s="183" customFormat="1" ht="12" customHeight="1">
      <c r="B401" s="193" t="s">
        <v>2311</v>
      </c>
      <c r="C401" s="1118" t="s">
        <v>2176</v>
      </c>
      <c r="D401" s="1118"/>
      <c r="E401" s="1118"/>
      <c r="F401" s="1118"/>
      <c r="G401" s="1118"/>
      <c r="H401" s="1118"/>
      <c r="I401" s="1118"/>
      <c r="J401" s="1118"/>
      <c r="K401" s="1118"/>
      <c r="L401" s="1118"/>
      <c r="M401" s="1118"/>
      <c r="N401" s="1118"/>
      <c r="O401" s="221" t="s">
        <v>2311</v>
      </c>
      <c r="P401" s="1581" t="s">
        <v>4086</v>
      </c>
      <c r="Q401" s="356"/>
      <c r="AE401" s="805"/>
      <c r="AF401" s="805"/>
    </row>
    <row r="402" spans="1:32" s="183" customFormat="1" ht="21.75" customHeight="1">
      <c r="B402" s="193" t="s">
        <v>2783</v>
      </c>
      <c r="C402" s="1118" t="s">
        <v>2177</v>
      </c>
      <c r="D402" s="1118"/>
      <c r="E402" s="1118"/>
      <c r="F402" s="1118"/>
      <c r="G402" s="1118"/>
      <c r="H402" s="1118"/>
      <c r="I402" s="1118"/>
      <c r="J402" s="1118"/>
      <c r="K402" s="1118"/>
      <c r="L402" s="1118"/>
      <c r="M402" s="1118"/>
      <c r="N402" s="1118"/>
      <c r="O402" s="221" t="s">
        <v>2783</v>
      </c>
      <c r="P402" s="1581" t="s">
        <v>4086</v>
      </c>
      <c r="Q402" s="356"/>
      <c r="AE402" s="805"/>
      <c r="AF402" s="805"/>
    </row>
    <row r="403" spans="1:32" s="183" customFormat="1" ht="33.75" customHeight="1">
      <c r="B403" s="193" t="s">
        <v>2482</v>
      </c>
      <c r="C403" s="1118" t="s">
        <v>3860</v>
      </c>
      <c r="D403" s="1118"/>
      <c r="E403" s="1118"/>
      <c r="F403" s="1118"/>
      <c r="G403" s="1118"/>
      <c r="H403" s="1118"/>
      <c r="I403" s="1118"/>
      <c r="J403" s="1118"/>
      <c r="K403" s="1118"/>
      <c r="L403" s="1118"/>
      <c r="M403" s="1118"/>
      <c r="N403" s="1118"/>
      <c r="O403" s="221" t="s">
        <v>2482</v>
      </c>
      <c r="P403" s="1581" t="s">
        <v>4086</v>
      </c>
      <c r="Q403" s="356"/>
      <c r="AE403" s="805"/>
      <c r="AF403" s="805"/>
    </row>
    <row r="404" spans="1:32" s="183" customFormat="1" ht="23.45" customHeight="1">
      <c r="B404" s="193" t="s">
        <v>3745</v>
      </c>
      <c r="C404" s="1118" t="s">
        <v>3861</v>
      </c>
      <c r="D404" s="1118"/>
      <c r="E404" s="1118"/>
      <c r="F404" s="1118"/>
      <c r="G404" s="1118"/>
      <c r="H404" s="1118"/>
      <c r="I404" s="1118"/>
      <c r="J404" s="1118"/>
      <c r="K404" s="1118"/>
      <c r="L404" s="1118"/>
      <c r="M404" s="1118"/>
      <c r="N404" s="1118"/>
      <c r="O404" s="221" t="s">
        <v>3745</v>
      </c>
      <c r="P404" s="1581" t="s">
        <v>4086</v>
      </c>
      <c r="Q404" s="356"/>
      <c r="AE404" s="805"/>
      <c r="AF404" s="805"/>
    </row>
    <row r="405" spans="1:32" s="183" customFormat="1" ht="21.75" customHeight="1">
      <c r="B405" s="193" t="s">
        <v>3746</v>
      </c>
      <c r="C405" s="1118" t="s">
        <v>3862</v>
      </c>
      <c r="D405" s="1118"/>
      <c r="E405" s="1118"/>
      <c r="F405" s="1118"/>
      <c r="G405" s="1118"/>
      <c r="H405" s="1118"/>
      <c r="I405" s="1118"/>
      <c r="J405" s="1118"/>
      <c r="K405" s="1118"/>
      <c r="L405" s="1118"/>
      <c r="M405" s="1118"/>
      <c r="N405" s="1118"/>
      <c r="O405" s="221" t="s">
        <v>3746</v>
      </c>
      <c r="P405" s="1581" t="s">
        <v>4086</v>
      </c>
      <c r="Q405" s="356"/>
      <c r="AE405" s="805"/>
      <c r="AF405" s="805"/>
    </row>
    <row r="406" spans="1:32" ht="11.25" customHeight="1">
      <c r="B406" s="192" t="s">
        <v>348</v>
      </c>
      <c r="D406" s="192"/>
      <c r="E406" s="192"/>
      <c r="F406" s="192"/>
      <c r="G406" s="192"/>
      <c r="H406" s="48"/>
      <c r="I406" s="181"/>
      <c r="J406" s="181"/>
      <c r="K406" s="181"/>
      <c r="L406" s="846"/>
      <c r="M406" s="846"/>
      <c r="N406" s="846"/>
      <c r="O406" s="846"/>
      <c r="P406" s="846"/>
      <c r="Q406" s="61"/>
    </row>
    <row r="407" spans="1:32" ht="22.5" customHeight="1">
      <c r="A407" s="1564" t="s">
        <v>455</v>
      </c>
      <c r="B407" s="1565"/>
      <c r="C407" s="1565"/>
      <c r="D407" s="1565"/>
      <c r="E407" s="1565"/>
      <c r="F407" s="1565"/>
      <c r="G407" s="1565"/>
      <c r="H407" s="1565"/>
      <c r="I407" s="1565"/>
      <c r="J407" s="1565"/>
      <c r="K407" s="1565"/>
      <c r="L407" s="1565"/>
      <c r="M407" s="1565"/>
      <c r="N407" s="1565"/>
      <c r="O407" s="1565"/>
      <c r="P407" s="1565"/>
      <c r="Q407" s="1566"/>
      <c r="R407" s="738" t="s">
        <v>3276</v>
      </c>
      <c r="S407" s="739"/>
      <c r="U407" s="187"/>
      <c r="V407" s="187"/>
      <c r="W407" s="187"/>
      <c r="X407" s="187"/>
      <c r="Y407" s="187"/>
      <c r="Z407" s="187"/>
      <c r="AA407" s="187"/>
      <c r="AB407" s="187"/>
      <c r="AC407" s="187"/>
      <c r="AD407" s="187"/>
      <c r="AE407" s="804"/>
    </row>
    <row r="408" spans="1:32" ht="11.25" customHeight="1">
      <c r="B408" s="188" t="s">
        <v>349</v>
      </c>
      <c r="C408" s="189"/>
      <c r="D408" s="853"/>
      <c r="E408" s="853"/>
      <c r="F408" s="853"/>
      <c r="G408" s="853"/>
      <c r="H408" s="853"/>
      <c r="I408" s="853"/>
      <c r="J408" s="853"/>
      <c r="K408" s="853"/>
      <c r="L408" s="853"/>
      <c r="M408" s="853"/>
      <c r="N408" s="853"/>
      <c r="O408" s="853"/>
      <c r="P408" s="853"/>
      <c r="Q408" s="853"/>
    </row>
    <row r="409" spans="1:32" ht="11.45" customHeight="1">
      <c r="A409" s="1107"/>
      <c r="B409" s="1108"/>
      <c r="C409" s="1108"/>
      <c r="D409" s="1108"/>
      <c r="E409" s="1108"/>
      <c r="F409" s="1108"/>
      <c r="G409" s="1108"/>
      <c r="H409" s="1108"/>
      <c r="I409" s="1108"/>
      <c r="J409" s="1108"/>
      <c r="K409" s="1108"/>
      <c r="L409" s="1108"/>
      <c r="M409" s="1108"/>
      <c r="N409" s="1108"/>
      <c r="O409" s="1108"/>
      <c r="P409" s="1108"/>
      <c r="Q409" s="1109"/>
    </row>
    <row r="410" spans="1:32" ht="7.15" customHeight="1">
      <c r="A410" s="846"/>
      <c r="B410" s="181"/>
      <c r="C410" s="853"/>
      <c r="D410" s="853"/>
      <c r="E410" s="853"/>
      <c r="F410" s="853"/>
      <c r="G410" s="853"/>
      <c r="H410" s="853"/>
      <c r="I410" s="853"/>
      <c r="J410" s="853"/>
      <c r="K410" s="853"/>
      <c r="L410" s="853"/>
      <c r="M410" s="853"/>
      <c r="Q410" s="61"/>
    </row>
    <row r="411" spans="1:32" ht="13.9" customHeight="1">
      <c r="A411" s="854">
        <v>29</v>
      </c>
      <c r="B411" s="5" t="s">
        <v>3571</v>
      </c>
      <c r="C411" s="5"/>
      <c r="D411" s="116"/>
      <c r="E411" s="853"/>
      <c r="F411" s="853"/>
      <c r="G411" s="853"/>
      <c r="H411" s="853"/>
      <c r="I411" s="853"/>
      <c r="J411" s="853"/>
      <c r="K411" s="853"/>
      <c r="L411" s="853"/>
      <c r="M411" s="853"/>
      <c r="O411" s="182" t="s">
        <v>350</v>
      </c>
      <c r="P411" s="1111"/>
      <c r="Q411" s="1112"/>
    </row>
    <row r="412" spans="1:32" ht="11.25" customHeight="1">
      <c r="A412" s="854"/>
      <c r="B412" s="192" t="s">
        <v>348</v>
      </c>
      <c r="D412" s="192"/>
      <c r="E412" s="192"/>
      <c r="F412" s="192"/>
      <c r="G412" s="192"/>
      <c r="H412" s="48"/>
      <c r="I412" s="181"/>
      <c r="J412" s="181"/>
      <c r="K412" s="181"/>
      <c r="L412" s="846"/>
      <c r="M412" s="846"/>
      <c r="N412" s="846"/>
      <c r="O412" s="846"/>
      <c r="P412" s="846"/>
      <c r="Q412" s="61"/>
    </row>
    <row r="413" spans="1:32" ht="11.45" customHeight="1">
      <c r="A413" s="1564" t="s">
        <v>4115</v>
      </c>
      <c r="B413" s="1565"/>
      <c r="C413" s="1565"/>
      <c r="D413" s="1565"/>
      <c r="E413" s="1565"/>
      <c r="F413" s="1565"/>
      <c r="G413" s="1565"/>
      <c r="H413" s="1565"/>
      <c r="I413" s="1565"/>
      <c r="J413" s="1565"/>
      <c r="K413" s="1565"/>
      <c r="L413" s="1565"/>
      <c r="M413" s="1565"/>
      <c r="N413" s="1565"/>
      <c r="O413" s="1565"/>
      <c r="P413" s="1565"/>
      <c r="Q413" s="1566"/>
      <c r="R413" s="738" t="s">
        <v>3276</v>
      </c>
      <c r="S413" s="739"/>
      <c r="U413" s="187"/>
      <c r="V413" s="187"/>
      <c r="W413" s="187"/>
      <c r="X413" s="187"/>
      <c r="Y413" s="187"/>
      <c r="Z413" s="187"/>
      <c r="AA413" s="187"/>
      <c r="AB413" s="187"/>
      <c r="AC413" s="187"/>
      <c r="AD413" s="187"/>
      <c r="AE413" s="804"/>
    </row>
    <row r="414" spans="1:32" ht="11.25" customHeight="1">
      <c r="B414" s="188" t="s">
        <v>349</v>
      </c>
      <c r="C414" s="189"/>
      <c r="D414" s="853"/>
      <c r="E414" s="853"/>
      <c r="F414" s="853"/>
      <c r="G414" s="853"/>
      <c r="H414" s="853"/>
      <c r="I414" s="853"/>
      <c r="J414" s="853"/>
      <c r="K414" s="853"/>
      <c r="L414" s="853"/>
      <c r="M414" s="853"/>
      <c r="N414" s="853"/>
      <c r="O414" s="853"/>
      <c r="P414" s="853"/>
      <c r="Q414" s="853"/>
    </row>
    <row r="415" spans="1:32" ht="21.75" customHeight="1">
      <c r="A415" s="1107"/>
      <c r="B415" s="1108"/>
      <c r="C415" s="1108"/>
      <c r="D415" s="1108"/>
      <c r="E415" s="1108"/>
      <c r="F415" s="1108"/>
      <c r="G415" s="1108"/>
      <c r="H415" s="1108"/>
      <c r="I415" s="1108"/>
      <c r="J415" s="1108"/>
      <c r="K415" s="1108"/>
      <c r="L415" s="1108"/>
      <c r="M415" s="1108"/>
      <c r="N415" s="1108"/>
      <c r="O415" s="1108"/>
      <c r="P415" s="1108"/>
      <c r="Q415" s="1109"/>
    </row>
    <row r="416" spans="1:32" ht="3" customHeight="1">
      <c r="A416" s="846"/>
      <c r="B416" s="181"/>
      <c r="C416" s="853"/>
      <c r="D416" s="853"/>
      <c r="E416" s="853"/>
      <c r="F416" s="853"/>
      <c r="G416" s="853"/>
      <c r="H416" s="853"/>
      <c r="I416" s="853"/>
      <c r="J416" s="853"/>
      <c r="K416" s="853"/>
      <c r="L416" s="853"/>
      <c r="M416" s="853"/>
      <c r="N416" s="853"/>
      <c r="O416" s="853"/>
      <c r="P416" s="853"/>
      <c r="Q416" s="846"/>
    </row>
    <row r="417" spans="1:32" s="200" customFormat="1" ht="8.4499999999999993" customHeight="1">
      <c r="A417" s="846"/>
      <c r="B417" s="181"/>
      <c r="C417" s="853"/>
      <c r="D417" s="853"/>
      <c r="E417" s="853"/>
      <c r="F417" s="853"/>
      <c r="G417" s="853"/>
      <c r="H417" s="853"/>
      <c r="I417" s="853"/>
      <c r="J417" s="853"/>
      <c r="K417" s="853"/>
      <c r="L417" s="853"/>
      <c r="M417" s="853"/>
      <c r="AE417" s="806"/>
      <c r="AF417" s="806"/>
    </row>
    <row r="418" spans="1:32" s="200" customFormat="1" ht="3" customHeight="1">
      <c r="A418" s="846"/>
      <c r="B418" s="181"/>
      <c r="C418" s="853"/>
      <c r="D418" s="853"/>
      <c r="E418" s="853"/>
      <c r="F418" s="853"/>
      <c r="G418" s="853"/>
      <c r="H418" s="853"/>
      <c r="I418" s="853"/>
      <c r="J418" s="853"/>
      <c r="K418" s="853"/>
      <c r="L418" s="853"/>
      <c r="M418" s="853"/>
      <c r="N418" s="853"/>
      <c r="O418" s="853"/>
      <c r="P418" s="853"/>
      <c r="Q418" s="846"/>
      <c r="AE418" s="806"/>
      <c r="AF418" s="806"/>
    </row>
    <row r="419" spans="1:32" s="200" customFormat="1" ht="12" customHeight="1">
      <c r="A419" s="1613"/>
      <c r="B419" s="1613"/>
      <c r="C419" s="1613"/>
      <c r="D419" s="1613"/>
      <c r="E419" s="1613"/>
      <c r="F419" s="1613"/>
      <c r="G419" s="1613"/>
      <c r="H419" s="1613"/>
      <c r="I419" s="1613"/>
      <c r="J419" s="1613"/>
      <c r="K419" s="1613"/>
      <c r="L419" s="1613"/>
      <c r="M419" s="1613"/>
      <c r="N419" s="1613"/>
      <c r="O419" s="1613"/>
      <c r="P419" s="1613"/>
      <c r="Q419" s="1613"/>
      <c r="AE419" s="806"/>
      <c r="AF419" s="806"/>
    </row>
    <row r="420" spans="1:32" s="200" customFormat="1" ht="12" customHeight="1">
      <c r="A420" s="1613"/>
      <c r="B420" s="1613"/>
      <c r="C420" s="1613"/>
      <c r="D420" s="1613"/>
      <c r="E420" s="1613"/>
      <c r="F420" s="1613"/>
      <c r="G420" s="1613"/>
      <c r="H420" s="1613"/>
      <c r="I420" s="1613"/>
      <c r="J420" s="1613"/>
      <c r="K420" s="1613"/>
      <c r="L420" s="1613"/>
      <c r="M420" s="1613"/>
      <c r="N420" s="1613"/>
      <c r="O420" s="1613"/>
      <c r="P420" s="1613"/>
      <c r="Q420" s="1613"/>
      <c r="AE420" s="806"/>
      <c r="AF420" s="806"/>
    </row>
    <row r="421" spans="1:32" s="200" customFormat="1" ht="12" customHeight="1">
      <c r="A421" s="1613"/>
      <c r="B421" s="1613"/>
      <c r="C421" s="1613"/>
      <c r="D421" s="1613"/>
      <c r="E421" s="1613"/>
      <c r="F421" s="1613"/>
      <c r="G421" s="1613"/>
      <c r="H421" s="1613"/>
      <c r="I421" s="1613"/>
      <c r="J421" s="1613"/>
      <c r="K421" s="1613"/>
      <c r="L421" s="1613"/>
      <c r="M421" s="1613"/>
      <c r="N421" s="1613"/>
      <c r="O421" s="1613"/>
      <c r="P421" s="1613"/>
      <c r="Q421" s="1613"/>
      <c r="AE421" s="806"/>
      <c r="AF421" s="806"/>
    </row>
    <row r="422" spans="1:32" s="200" customFormat="1" ht="12" customHeight="1">
      <c r="A422" s="1613"/>
      <c r="B422" s="1613"/>
      <c r="C422" s="1613"/>
      <c r="D422" s="1613"/>
      <c r="E422" s="1613"/>
      <c r="F422" s="1613"/>
      <c r="G422" s="1613"/>
      <c r="H422" s="1613"/>
      <c r="I422" s="1613"/>
      <c r="J422" s="1613"/>
      <c r="K422" s="1613"/>
      <c r="L422" s="1613"/>
      <c r="M422" s="1613"/>
      <c r="N422" s="1613"/>
      <c r="O422" s="1613"/>
      <c r="P422" s="1613"/>
      <c r="Q422" s="1613"/>
      <c r="AE422" s="806"/>
      <c r="AF422" s="806"/>
    </row>
    <row r="423" spans="1:32" s="200" customFormat="1" ht="12" customHeight="1">
      <c r="A423" s="1613"/>
      <c r="B423" s="1613"/>
      <c r="C423" s="1613"/>
      <c r="D423" s="1613"/>
      <c r="E423" s="1613"/>
      <c r="F423" s="1613"/>
      <c r="G423" s="1613"/>
      <c r="H423" s="1613"/>
      <c r="I423" s="1613"/>
      <c r="J423" s="1613"/>
      <c r="K423" s="1613"/>
      <c r="L423" s="1613"/>
      <c r="M423" s="1613"/>
      <c r="N423" s="1613"/>
      <c r="O423" s="1613"/>
      <c r="P423" s="1613"/>
      <c r="Q423" s="1613"/>
      <c r="AE423" s="806"/>
      <c r="AF423" s="806"/>
    </row>
    <row r="424" spans="1:32" s="200" customFormat="1" ht="12" customHeight="1">
      <c r="A424" s="1613"/>
      <c r="B424" s="1613"/>
      <c r="C424" s="1613"/>
      <c r="D424" s="1613"/>
      <c r="E424" s="1613"/>
      <c r="F424" s="1613"/>
      <c r="G424" s="1613"/>
      <c r="H424" s="1613"/>
      <c r="I424" s="1613"/>
      <c r="J424" s="1613"/>
      <c r="K424" s="1613"/>
      <c r="L424" s="1613"/>
      <c r="M424" s="1613"/>
      <c r="N424" s="1613"/>
      <c r="O424" s="1613"/>
      <c r="P424" s="1613"/>
      <c r="Q424" s="1613"/>
      <c r="AE424" s="806"/>
      <c r="AF424" s="806"/>
    </row>
    <row r="425" spans="1:32" s="200" customFormat="1" ht="12" customHeight="1">
      <c r="A425" s="1613"/>
      <c r="B425" s="1613"/>
      <c r="C425" s="1613"/>
      <c r="D425" s="1613"/>
      <c r="E425" s="1613"/>
      <c r="F425" s="1613"/>
      <c r="G425" s="1613"/>
      <c r="H425" s="1613"/>
      <c r="I425" s="1613"/>
      <c r="J425" s="1613"/>
      <c r="K425" s="1613"/>
      <c r="L425" s="1613"/>
      <c r="M425" s="1613"/>
      <c r="N425" s="1613"/>
      <c r="O425" s="1613"/>
      <c r="P425" s="1613"/>
      <c r="Q425" s="1613"/>
      <c r="AE425" s="806"/>
      <c r="AF425" s="806"/>
    </row>
    <row r="426" spans="1:32" s="200" customFormat="1" ht="12" customHeight="1">
      <c r="A426" s="1613"/>
      <c r="B426" s="1613"/>
      <c r="C426" s="1613"/>
      <c r="D426" s="1613"/>
      <c r="E426" s="1613"/>
      <c r="F426" s="1613"/>
      <c r="G426" s="1613"/>
      <c r="H426" s="1613"/>
      <c r="I426" s="1613"/>
      <c r="J426" s="1613"/>
      <c r="K426" s="1613"/>
      <c r="L426" s="1613"/>
      <c r="M426" s="1613"/>
      <c r="N426" s="1613"/>
      <c r="O426" s="1613"/>
      <c r="P426" s="1613"/>
      <c r="Q426" s="1613"/>
      <c r="AE426" s="806"/>
      <c r="AF426" s="806"/>
    </row>
    <row r="427" spans="1:32" s="200" customFormat="1" ht="12" customHeight="1">
      <c r="A427" s="1613"/>
      <c r="B427" s="1613"/>
      <c r="C427" s="1613"/>
      <c r="D427" s="1613"/>
      <c r="E427" s="1613"/>
      <c r="F427" s="1613"/>
      <c r="G427" s="1613"/>
      <c r="H427" s="1613"/>
      <c r="I427" s="1613"/>
      <c r="J427" s="1613"/>
      <c r="K427" s="1613"/>
      <c r="L427" s="1613"/>
      <c r="M427" s="1613"/>
      <c r="N427" s="1613"/>
      <c r="O427" s="1613"/>
      <c r="P427" s="1613"/>
      <c r="Q427" s="1613"/>
      <c r="AE427" s="806"/>
      <c r="AF427" s="806"/>
    </row>
    <row r="428" spans="1:32" s="200" customFormat="1" ht="12" customHeight="1">
      <c r="A428" s="1613"/>
      <c r="B428" s="1613"/>
      <c r="C428" s="1613"/>
      <c r="D428" s="1613"/>
      <c r="E428" s="1613"/>
      <c r="F428" s="1613"/>
      <c r="G428" s="1613"/>
      <c r="H428" s="1613"/>
      <c r="I428" s="1613"/>
      <c r="J428" s="1613"/>
      <c r="K428" s="1613"/>
      <c r="L428" s="1613"/>
      <c r="M428" s="1613"/>
      <c r="N428" s="1613"/>
      <c r="O428" s="1613"/>
      <c r="P428" s="1613"/>
      <c r="Q428" s="1613"/>
      <c r="AE428" s="806"/>
      <c r="AF428" s="806"/>
    </row>
    <row r="429" spans="1:32" s="200" customFormat="1" ht="12" customHeight="1">
      <c r="A429" s="1613"/>
      <c r="B429" s="1613"/>
      <c r="C429" s="1613"/>
      <c r="D429" s="1613"/>
      <c r="E429" s="1613"/>
      <c r="F429" s="1613"/>
      <c r="G429" s="1613"/>
      <c r="H429" s="1613"/>
      <c r="I429" s="1613"/>
      <c r="J429" s="1613"/>
      <c r="K429" s="1613"/>
      <c r="L429" s="1613"/>
      <c r="M429" s="1613"/>
      <c r="N429" s="1613"/>
      <c r="O429" s="1613"/>
      <c r="P429" s="1613"/>
      <c r="Q429" s="1613"/>
      <c r="AE429" s="806"/>
      <c r="AF429" s="806"/>
    </row>
    <row r="430" spans="1:32" s="200" customFormat="1" ht="12" customHeight="1">
      <c r="A430" s="1613"/>
      <c r="B430" s="1613"/>
      <c r="C430" s="1613"/>
      <c r="D430" s="1613"/>
      <c r="E430" s="1613"/>
      <c r="F430" s="1613"/>
      <c r="G430" s="1613"/>
      <c r="H430" s="1613"/>
      <c r="I430" s="1613"/>
      <c r="J430" s="1613"/>
      <c r="K430" s="1613"/>
      <c r="L430" s="1613"/>
      <c r="M430" s="1613"/>
      <c r="N430" s="1613"/>
      <c r="O430" s="1613"/>
      <c r="P430" s="1613"/>
      <c r="Q430" s="1613"/>
      <c r="AE430" s="806"/>
      <c r="AF430" s="806"/>
    </row>
    <row r="431" spans="1:32" s="200" customFormat="1" ht="12" customHeight="1">
      <c r="A431" s="1613"/>
      <c r="B431" s="1613"/>
      <c r="C431" s="1613"/>
      <c r="D431" s="1613"/>
      <c r="E431" s="1613"/>
      <c r="F431" s="1613"/>
      <c r="G431" s="1613"/>
      <c r="H431" s="1613"/>
      <c r="I431" s="1613"/>
      <c r="J431" s="1613"/>
      <c r="K431" s="1613"/>
      <c r="L431" s="1613"/>
      <c r="M431" s="1613"/>
      <c r="N431" s="1613"/>
      <c r="O431" s="1613"/>
      <c r="P431" s="1613"/>
      <c r="Q431" s="1613"/>
      <c r="AE431" s="806"/>
      <c r="AF431" s="806"/>
    </row>
    <row r="432" spans="1:32" s="200" customFormat="1" ht="12" customHeight="1">
      <c r="A432" s="1613"/>
      <c r="B432" s="1613"/>
      <c r="C432" s="1613"/>
      <c r="D432" s="1613"/>
      <c r="E432" s="1613"/>
      <c r="F432" s="1613"/>
      <c r="G432" s="1613"/>
      <c r="H432" s="1613"/>
      <c r="I432" s="1613"/>
      <c r="J432" s="1613"/>
      <c r="K432" s="1613"/>
      <c r="L432" s="1613"/>
      <c r="M432" s="1613"/>
      <c r="N432" s="1613"/>
      <c r="O432" s="1613"/>
      <c r="P432" s="1613"/>
      <c r="Q432" s="1613"/>
      <c r="AE432" s="806"/>
      <c r="AF432" s="806"/>
    </row>
    <row r="433" spans="1:32" s="200" customFormat="1" ht="12" customHeight="1">
      <c r="A433" s="1613"/>
      <c r="B433" s="1613"/>
      <c r="C433" s="1613"/>
      <c r="D433" s="1613"/>
      <c r="E433" s="1613"/>
      <c r="F433" s="1613"/>
      <c r="G433" s="1613"/>
      <c r="H433" s="1613"/>
      <c r="I433" s="1613"/>
      <c r="J433" s="1613"/>
      <c r="K433" s="1613"/>
      <c r="L433" s="1613"/>
      <c r="M433" s="1613"/>
      <c r="N433" s="1613"/>
      <c r="O433" s="1613"/>
      <c r="P433" s="1613"/>
      <c r="Q433" s="1613"/>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1968</v>
      </c>
      <c r="D436" s="748"/>
      <c r="E436" s="748"/>
      <c r="F436" s="748"/>
      <c r="G436" s="748"/>
      <c r="H436" s="748"/>
      <c r="I436" s="748"/>
      <c r="J436" s="748" t="s">
        <v>1058</v>
      </c>
      <c r="K436" s="748"/>
      <c r="N436" s="707"/>
      <c r="O436" s="732"/>
      <c r="P436" s="732"/>
      <c r="AE436" s="724"/>
      <c r="AF436" s="724"/>
    </row>
    <row r="437" spans="1:32" s="700" customFormat="1" ht="11.25">
      <c r="C437" s="749" t="s">
        <v>3974</v>
      </c>
      <c r="D437" s="749"/>
      <c r="E437" s="749"/>
      <c r="F437" s="749"/>
      <c r="G437" s="749"/>
      <c r="H437" s="749"/>
      <c r="I437" s="749"/>
      <c r="J437" s="749" t="s">
        <v>2102</v>
      </c>
      <c r="K437" s="749"/>
      <c r="N437" s="707"/>
      <c r="O437" s="732"/>
      <c r="P437" s="732"/>
      <c r="AE437" s="724"/>
      <c r="AF437" s="724"/>
    </row>
    <row r="438" spans="1:32" s="700" customFormat="1" ht="11.25">
      <c r="C438" s="748" t="s">
        <v>3852</v>
      </c>
      <c r="D438" s="748"/>
      <c r="E438" s="748"/>
      <c r="F438" s="748"/>
      <c r="G438" s="748"/>
      <c r="H438" s="748"/>
      <c r="I438" s="748"/>
      <c r="J438" s="750" t="s">
        <v>3733</v>
      </c>
      <c r="K438" s="748"/>
      <c r="N438" s="707"/>
      <c r="O438" s="732"/>
      <c r="P438" s="732"/>
      <c r="AE438" s="724"/>
      <c r="AF438" s="724"/>
    </row>
    <row r="439" spans="1:32" s="700" customFormat="1" ht="11.25">
      <c r="C439" s="748" t="s">
        <v>3975</v>
      </c>
      <c r="D439" s="748"/>
      <c r="E439" s="748"/>
      <c r="F439" s="748"/>
      <c r="G439" s="748"/>
      <c r="H439" s="748"/>
      <c r="I439" s="748"/>
      <c r="J439" s="750" t="s">
        <v>2073</v>
      </c>
      <c r="K439" s="748"/>
      <c r="N439" s="707"/>
      <c r="O439" s="732"/>
      <c r="P439" s="732"/>
      <c r="AE439" s="724"/>
      <c r="AF439" s="724"/>
    </row>
    <row r="440" spans="1:32" s="700" customFormat="1" ht="11.25">
      <c r="C440" s="748" t="s">
        <v>3976</v>
      </c>
      <c r="D440" s="748"/>
      <c r="E440" s="748"/>
      <c r="F440" s="748"/>
      <c r="G440" s="748"/>
      <c r="H440" s="748"/>
      <c r="I440" s="748"/>
      <c r="J440" s="749" t="s">
        <v>3225</v>
      </c>
      <c r="K440" s="748"/>
      <c r="N440" s="707"/>
      <c r="O440" s="732"/>
      <c r="P440" s="732"/>
      <c r="AE440" s="724"/>
      <c r="AF440" s="724"/>
    </row>
    <row r="441" spans="1:32" s="700" customFormat="1" ht="11.25">
      <c r="C441" s="751" t="s">
        <v>3977</v>
      </c>
      <c r="D441" s="748"/>
      <c r="E441" s="748"/>
      <c r="F441" s="748"/>
      <c r="G441" s="748"/>
      <c r="H441" s="748"/>
      <c r="I441" s="748"/>
      <c r="J441" s="752" t="s">
        <v>2470</v>
      </c>
      <c r="K441" s="748"/>
      <c r="N441" s="707"/>
      <c r="O441" s="732"/>
      <c r="P441" s="732"/>
      <c r="AE441" s="724"/>
      <c r="AF441" s="724"/>
    </row>
    <row r="442" spans="1:32" s="700" customFormat="1" ht="11.25">
      <c r="C442" s="751" t="s">
        <v>3978</v>
      </c>
      <c r="D442" s="748"/>
      <c r="E442" s="748"/>
      <c r="F442" s="748"/>
      <c r="G442" s="748"/>
      <c r="H442" s="748"/>
      <c r="I442" s="748"/>
      <c r="J442" s="750" t="s">
        <v>1980</v>
      </c>
      <c r="K442" s="748"/>
      <c r="N442" s="707"/>
      <c r="O442" s="732"/>
      <c r="P442" s="732"/>
      <c r="AE442" s="724"/>
      <c r="AF442" s="724"/>
    </row>
    <row r="443" spans="1:32" s="700" customFormat="1" ht="11.25">
      <c r="C443" s="751"/>
      <c r="D443" s="748"/>
      <c r="E443" s="748"/>
      <c r="F443" s="748"/>
      <c r="G443" s="748"/>
      <c r="H443" s="748"/>
      <c r="I443" s="748"/>
      <c r="J443" s="750" t="s">
        <v>3233</v>
      </c>
      <c r="K443" s="748"/>
      <c r="N443" s="707"/>
      <c r="O443" s="732"/>
      <c r="P443" s="732"/>
      <c r="AE443" s="724"/>
      <c r="AF443" s="724"/>
    </row>
    <row r="444" spans="1:32" s="700" customFormat="1" ht="11.25">
      <c r="C444" s="749" t="s">
        <v>2102</v>
      </c>
      <c r="D444" s="748"/>
      <c r="E444" s="748"/>
      <c r="F444" s="748"/>
      <c r="G444" s="748"/>
      <c r="H444" s="748"/>
      <c r="I444" s="748"/>
      <c r="J444" s="750" t="s">
        <v>1977</v>
      </c>
      <c r="K444" s="748"/>
      <c r="N444" s="707"/>
      <c r="O444" s="732"/>
      <c r="P444" s="732"/>
      <c r="AE444" s="724"/>
      <c r="AF444" s="724"/>
    </row>
    <row r="445" spans="1:32" s="700" customFormat="1" ht="11.25">
      <c r="C445" s="753" t="s">
        <v>1467</v>
      </c>
      <c r="D445" s="748"/>
      <c r="E445" s="748"/>
      <c r="F445" s="748"/>
      <c r="G445" s="748"/>
      <c r="H445" s="748"/>
      <c r="I445" s="748"/>
      <c r="J445" s="750" t="s">
        <v>2471</v>
      </c>
      <c r="K445" s="748"/>
      <c r="N445" s="707"/>
      <c r="O445" s="732"/>
      <c r="P445" s="732"/>
      <c r="AE445" s="724"/>
      <c r="AF445" s="724"/>
    </row>
    <row r="446" spans="1:32" s="700" customFormat="1" ht="11.25">
      <c r="C446" s="753" t="s">
        <v>1468</v>
      </c>
      <c r="D446" s="748"/>
      <c r="E446" s="748"/>
      <c r="F446" s="748"/>
      <c r="G446" s="748"/>
      <c r="H446" s="748"/>
      <c r="I446" s="748"/>
      <c r="J446" s="750" t="s">
        <v>1970</v>
      </c>
      <c r="K446" s="748"/>
      <c r="N446" s="707"/>
      <c r="O446" s="732"/>
      <c r="P446" s="732"/>
      <c r="AE446" s="724"/>
      <c r="AF446" s="724"/>
    </row>
    <row r="447" spans="1:32" s="700" customFormat="1" ht="11.25">
      <c r="C447" s="754" t="s">
        <v>2500</v>
      </c>
      <c r="D447" s="748"/>
      <c r="E447" s="748"/>
      <c r="F447" s="748"/>
      <c r="G447" s="748"/>
      <c r="H447" s="748"/>
      <c r="I447" s="748"/>
      <c r="J447" s="750" t="s">
        <v>3234</v>
      </c>
      <c r="K447" s="748"/>
      <c r="N447" s="707"/>
      <c r="O447" s="732"/>
      <c r="P447" s="732"/>
      <c r="AE447" s="724"/>
      <c r="AF447" s="724"/>
    </row>
    <row r="448" spans="1:32" s="700" customFormat="1" ht="11.25">
      <c r="C448" s="754" t="s">
        <v>1464</v>
      </c>
      <c r="D448" s="748"/>
      <c r="E448" s="748"/>
      <c r="F448" s="748"/>
      <c r="G448" s="748"/>
      <c r="H448" s="748"/>
      <c r="I448" s="748"/>
      <c r="J448" s="750" t="s">
        <v>802</v>
      </c>
      <c r="K448" s="748"/>
      <c r="N448" s="707"/>
      <c r="O448" s="732"/>
      <c r="P448" s="732"/>
      <c r="AE448" s="724"/>
      <c r="AF448" s="724"/>
    </row>
    <row r="449" spans="3:32" s="700" customFormat="1" ht="11.25">
      <c r="C449" s="754" t="s">
        <v>1465</v>
      </c>
      <c r="D449" s="748"/>
      <c r="E449" s="748"/>
      <c r="F449" s="748"/>
      <c r="G449" s="748"/>
      <c r="H449" s="748"/>
      <c r="I449" s="748"/>
      <c r="J449" s="750" t="s">
        <v>1976</v>
      </c>
      <c r="K449" s="748"/>
      <c r="N449" s="707"/>
      <c r="O449" s="732"/>
      <c r="P449" s="732"/>
      <c r="AE449" s="724"/>
      <c r="AF449" s="724"/>
    </row>
    <row r="450" spans="3:32" s="700" customFormat="1" ht="11.25">
      <c r="C450" s="753" t="s">
        <v>2495</v>
      </c>
      <c r="D450" s="748"/>
      <c r="E450" s="748"/>
      <c r="F450" s="748"/>
      <c r="G450" s="748"/>
      <c r="H450" s="748"/>
      <c r="I450" s="748"/>
      <c r="J450" s="750" t="s">
        <v>3227</v>
      </c>
      <c r="K450" s="748"/>
      <c r="N450" s="707"/>
      <c r="O450" s="732"/>
      <c r="P450" s="732"/>
      <c r="AE450" s="724"/>
      <c r="AF450" s="724"/>
    </row>
    <row r="451" spans="3:32" s="700" customFormat="1" ht="11.25">
      <c r="C451" s="753" t="s">
        <v>2496</v>
      </c>
      <c r="D451" s="748"/>
      <c r="E451" s="748"/>
      <c r="F451" s="748"/>
      <c r="G451" s="748"/>
      <c r="H451" s="748"/>
      <c r="I451" s="748"/>
      <c r="J451" s="750" t="s">
        <v>3226</v>
      </c>
      <c r="K451" s="749"/>
      <c r="N451" s="707"/>
      <c r="O451" s="732"/>
      <c r="P451" s="732"/>
      <c r="AE451" s="724"/>
      <c r="AF451" s="724"/>
    </row>
    <row r="452" spans="3:32" s="700" customFormat="1" ht="11.25">
      <c r="C452" s="753" t="s">
        <v>2497</v>
      </c>
      <c r="D452" s="749"/>
      <c r="E452" s="749"/>
      <c r="F452" s="749"/>
      <c r="G452" s="749"/>
      <c r="H452" s="749"/>
      <c r="I452" s="749"/>
      <c r="J452" s="750" t="s">
        <v>3734</v>
      </c>
      <c r="K452" s="749"/>
      <c r="N452" s="707"/>
      <c r="O452" s="732"/>
      <c r="P452" s="732"/>
      <c r="AE452" s="724"/>
      <c r="AF452" s="724"/>
    </row>
    <row r="453" spans="3:32" s="700" customFormat="1" ht="11.25">
      <c r="C453" s="753" t="s">
        <v>2498</v>
      </c>
      <c r="D453" s="749"/>
      <c r="E453" s="749"/>
      <c r="F453" s="749"/>
      <c r="G453" s="749"/>
      <c r="H453" s="749"/>
      <c r="I453" s="749"/>
      <c r="J453" s="750" t="s">
        <v>1979</v>
      </c>
      <c r="K453" s="749"/>
      <c r="N453" s="707"/>
      <c r="O453" s="732"/>
      <c r="P453" s="732"/>
      <c r="AE453" s="724"/>
      <c r="AF453" s="724"/>
    </row>
    <row r="454" spans="3:32" s="700" customFormat="1" ht="11.25">
      <c r="C454" s="753" t="s">
        <v>2499</v>
      </c>
      <c r="D454" s="749"/>
      <c r="E454" s="749"/>
      <c r="F454" s="749"/>
      <c r="G454" s="749"/>
      <c r="H454" s="749"/>
      <c r="I454" s="749"/>
      <c r="J454" s="750" t="s">
        <v>1971</v>
      </c>
      <c r="K454" s="749"/>
      <c r="N454" s="707"/>
      <c r="O454" s="732"/>
      <c r="P454" s="732"/>
      <c r="AE454" s="724"/>
      <c r="AF454" s="724"/>
    </row>
    <row r="455" spans="3:32" s="700" customFormat="1" ht="11.25">
      <c r="C455" s="753" t="s">
        <v>1466</v>
      </c>
      <c r="D455" s="749"/>
      <c r="E455" s="749"/>
      <c r="F455" s="749"/>
      <c r="G455" s="749"/>
      <c r="H455" s="749"/>
      <c r="I455" s="749"/>
      <c r="J455" s="750" t="s">
        <v>2469</v>
      </c>
      <c r="K455" s="749"/>
      <c r="N455" s="707"/>
      <c r="O455" s="732"/>
      <c r="P455" s="732"/>
      <c r="AE455" s="724"/>
      <c r="AF455" s="724"/>
    </row>
    <row r="456" spans="3:32" s="700" customFormat="1" ht="11.25">
      <c r="C456" s="753" t="s">
        <v>3656</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1684</v>
      </c>
      <c r="D458" s="748"/>
      <c r="E458" s="748"/>
      <c r="F458" s="748"/>
      <c r="G458" s="748"/>
      <c r="H458" s="748"/>
      <c r="I458" s="748"/>
      <c r="J458" s="748"/>
      <c r="K458" s="748"/>
      <c r="AE458" s="668"/>
      <c r="AF458" s="668"/>
    </row>
    <row r="459" spans="3:32" s="66" customFormat="1" ht="11.25">
      <c r="C459" s="748" t="s">
        <v>2102</v>
      </c>
      <c r="D459" s="748"/>
      <c r="E459" s="748"/>
      <c r="F459" s="748"/>
      <c r="G459" s="748"/>
      <c r="H459" s="748"/>
      <c r="I459" s="748"/>
      <c r="J459" s="748"/>
      <c r="K459" s="748"/>
      <c r="AE459" s="668"/>
      <c r="AF459" s="668"/>
    </row>
    <row r="460" spans="3:32" s="66" customFormat="1" ht="11.25">
      <c r="C460" s="748" t="s">
        <v>3974</v>
      </c>
      <c r="D460" s="748"/>
      <c r="E460" s="749"/>
      <c r="F460" s="749"/>
      <c r="G460" s="749"/>
      <c r="H460" s="749"/>
      <c r="I460" s="749"/>
      <c r="J460" s="749"/>
      <c r="K460" s="749"/>
      <c r="L460" s="700"/>
      <c r="M460" s="700"/>
      <c r="AE460" s="668"/>
      <c r="AF460" s="668"/>
    </row>
    <row r="461" spans="3:32" s="66" customFormat="1" ht="11.25">
      <c r="C461" s="748" t="s">
        <v>3852</v>
      </c>
      <c r="D461" s="749"/>
      <c r="E461" s="749"/>
      <c r="F461" s="749"/>
      <c r="G461" s="749"/>
      <c r="H461" s="748"/>
      <c r="I461" s="749"/>
      <c r="J461" s="749"/>
      <c r="K461" s="749"/>
      <c r="L461" s="700"/>
      <c r="M461" s="700"/>
      <c r="AE461" s="668"/>
      <c r="AF461" s="668"/>
    </row>
    <row r="462" spans="3:32" s="66" customFormat="1" ht="11.25">
      <c r="C462" s="748" t="s">
        <v>3975</v>
      </c>
      <c r="D462" s="749"/>
      <c r="E462" s="749"/>
      <c r="F462" s="749"/>
      <c r="G462" s="749"/>
      <c r="H462" s="749"/>
      <c r="I462" s="749"/>
      <c r="J462" s="749"/>
      <c r="K462" s="749"/>
      <c r="L462" s="700"/>
      <c r="M462" s="700"/>
      <c r="AE462" s="668"/>
      <c r="AF462" s="668"/>
    </row>
    <row r="463" spans="3:32" s="66" customFormat="1" ht="11.25">
      <c r="C463" s="748" t="s">
        <v>1969</v>
      </c>
      <c r="D463" s="749"/>
      <c r="E463" s="749"/>
      <c r="F463" s="749"/>
      <c r="G463" s="749"/>
      <c r="H463" s="748"/>
      <c r="I463" s="749"/>
      <c r="J463" s="749"/>
      <c r="K463" s="749"/>
      <c r="L463" s="700"/>
      <c r="M463" s="700"/>
      <c r="AE463" s="668"/>
      <c r="AF463" s="668"/>
    </row>
    <row r="464" spans="3:32" s="66" customFormat="1" ht="11.25">
      <c r="C464" s="751" t="s">
        <v>2338</v>
      </c>
      <c r="D464" s="749"/>
      <c r="E464" s="749"/>
      <c r="F464" s="749"/>
      <c r="G464" s="749"/>
      <c r="H464" s="748"/>
      <c r="I464" s="749"/>
      <c r="J464" s="749"/>
      <c r="K464" s="749"/>
      <c r="L464" s="700"/>
      <c r="M464" s="700"/>
      <c r="AE464" s="668"/>
      <c r="AF464" s="668"/>
    </row>
    <row r="465" spans="3:32" s="66" customFormat="1" ht="11.25">
      <c r="C465" s="748" t="s">
        <v>2073</v>
      </c>
      <c r="D465" s="749"/>
      <c r="E465" s="749"/>
      <c r="F465" s="749"/>
      <c r="G465" s="749"/>
      <c r="H465" s="748"/>
      <c r="I465" s="749"/>
      <c r="J465" s="748"/>
      <c r="K465" s="749"/>
      <c r="L465" s="700"/>
      <c r="M465" s="700"/>
      <c r="AE465" s="668"/>
      <c r="AF465" s="668"/>
    </row>
    <row r="466" spans="3:32" s="66" customFormat="1" ht="11.25">
      <c r="C466" s="748" t="s">
        <v>1970</v>
      </c>
      <c r="D466" s="749"/>
      <c r="E466" s="749"/>
      <c r="F466" s="749"/>
      <c r="G466" s="749"/>
      <c r="H466" s="748"/>
      <c r="I466" s="749"/>
      <c r="J466" s="748"/>
      <c r="K466" s="749"/>
      <c r="L466" s="700"/>
      <c r="M466" s="700"/>
      <c r="AE466" s="668"/>
      <c r="AF466" s="668"/>
    </row>
    <row r="467" spans="3:32" s="66" customFormat="1" ht="11.25">
      <c r="C467" s="748" t="s">
        <v>1971</v>
      </c>
      <c r="D467" s="749"/>
      <c r="E467" s="749"/>
      <c r="F467" s="749"/>
      <c r="G467" s="749"/>
      <c r="H467" s="748"/>
      <c r="I467" s="749"/>
      <c r="J467" s="748"/>
      <c r="K467" s="749"/>
      <c r="L467" s="700"/>
      <c r="M467" s="700"/>
      <c r="AE467" s="668"/>
      <c r="AF467" s="668"/>
    </row>
    <row r="468" spans="3:32" s="66" customFormat="1" ht="11.25">
      <c r="C468" s="748" t="s">
        <v>3179</v>
      </c>
      <c r="D468" s="749"/>
      <c r="E468" s="749"/>
      <c r="F468" s="749"/>
      <c r="G468" s="749"/>
      <c r="H468" s="749"/>
      <c r="I468" s="749"/>
      <c r="J468" s="749"/>
      <c r="K468" s="749"/>
      <c r="L468" s="700"/>
      <c r="M468" s="700"/>
      <c r="AE468" s="668"/>
      <c r="AF468" s="668"/>
    </row>
    <row r="469" spans="3:32" s="66" customFormat="1" ht="11.25">
      <c r="C469" s="748" t="s">
        <v>1685</v>
      </c>
      <c r="D469" s="749"/>
      <c r="E469" s="749"/>
      <c r="F469" s="749"/>
      <c r="G469" s="749"/>
      <c r="H469" s="749"/>
      <c r="I469" s="749"/>
      <c r="J469" s="749"/>
      <c r="K469" s="749"/>
      <c r="L469" s="700"/>
      <c r="M469" s="700"/>
      <c r="AE469" s="668"/>
      <c r="AF469" s="668"/>
    </row>
    <row r="470" spans="3:32" s="66" customFormat="1" ht="11.25">
      <c r="C470" s="748" t="s">
        <v>1973</v>
      </c>
      <c r="D470" s="749"/>
      <c r="E470" s="749"/>
      <c r="F470" s="749"/>
      <c r="G470" s="749"/>
      <c r="H470" s="749"/>
      <c r="I470" s="749"/>
      <c r="J470" s="749"/>
      <c r="K470" s="749"/>
      <c r="L470" s="700"/>
      <c r="M470" s="700"/>
      <c r="AE470" s="668"/>
      <c r="AF470" s="668"/>
    </row>
    <row r="471" spans="3:32" s="66" customFormat="1" ht="11.25">
      <c r="C471" s="748" t="s">
        <v>3182</v>
      </c>
      <c r="D471" s="749"/>
      <c r="E471" s="749"/>
      <c r="F471" s="749"/>
      <c r="G471" s="749"/>
      <c r="H471" s="749"/>
      <c r="I471" s="749"/>
      <c r="J471" s="749"/>
      <c r="K471" s="749"/>
      <c r="L471" s="700"/>
      <c r="M471" s="700"/>
      <c r="AE471" s="668"/>
      <c r="AF471" s="668"/>
    </row>
    <row r="472" spans="3:32" s="66" customFormat="1" ht="11.25">
      <c r="C472" s="748" t="s">
        <v>1975</v>
      </c>
      <c r="D472" s="749"/>
      <c r="E472" s="749"/>
      <c r="F472" s="749"/>
      <c r="G472" s="749"/>
      <c r="H472" s="749"/>
      <c r="I472" s="749"/>
      <c r="J472" s="749"/>
      <c r="K472" s="749"/>
      <c r="L472" s="700"/>
      <c r="M472" s="700"/>
      <c r="N472" s="66" t="s">
        <v>3180</v>
      </c>
      <c r="AE472" s="668"/>
      <c r="AF472" s="668"/>
    </row>
    <row r="473" spans="3:32" s="66" customFormat="1" ht="11.25">
      <c r="C473" s="748" t="s">
        <v>1976</v>
      </c>
      <c r="D473" s="749"/>
      <c r="E473" s="749"/>
      <c r="F473" s="749"/>
      <c r="G473" s="749"/>
      <c r="H473" s="749"/>
      <c r="I473" s="749"/>
      <c r="J473" s="749"/>
      <c r="K473" s="749"/>
      <c r="L473" s="700"/>
      <c r="M473" s="700"/>
      <c r="AE473" s="668"/>
      <c r="AF473" s="668"/>
    </row>
    <row r="474" spans="3:32" s="66" customFormat="1" ht="11.25">
      <c r="C474" s="748" t="s">
        <v>1977</v>
      </c>
      <c r="D474" s="749"/>
      <c r="E474" s="749"/>
      <c r="F474" s="749"/>
      <c r="G474" s="749"/>
      <c r="H474" s="749"/>
      <c r="I474" s="749"/>
      <c r="J474" s="749"/>
      <c r="K474" s="749"/>
      <c r="L474" s="700"/>
      <c r="M474" s="700"/>
      <c r="AE474" s="668"/>
      <c r="AF474" s="668"/>
    </row>
    <row r="475" spans="3:32" s="66" customFormat="1" ht="11.25">
      <c r="C475" s="748" t="s">
        <v>802</v>
      </c>
      <c r="D475" s="749"/>
      <c r="E475" s="749"/>
      <c r="F475" s="749"/>
      <c r="G475" s="749"/>
      <c r="H475" s="749"/>
      <c r="I475" s="749"/>
      <c r="J475" s="749"/>
      <c r="K475" s="749"/>
      <c r="L475" s="700"/>
      <c r="M475" s="700"/>
      <c r="AE475" s="668"/>
      <c r="AF475" s="668"/>
    </row>
    <row r="476" spans="3:32" s="66" customFormat="1" ht="11.25">
      <c r="C476" s="748" t="s">
        <v>1978</v>
      </c>
      <c r="D476" s="749"/>
      <c r="E476" s="749"/>
      <c r="F476" s="749"/>
      <c r="G476" s="749"/>
      <c r="H476" s="749"/>
      <c r="I476" s="749"/>
      <c r="J476" s="749"/>
      <c r="K476" s="749"/>
      <c r="L476" s="700"/>
      <c r="M476" s="700"/>
      <c r="AE476" s="668"/>
      <c r="AF476" s="668"/>
    </row>
    <row r="477" spans="3:32" s="66" customFormat="1" ht="11.25">
      <c r="C477" s="748" t="s">
        <v>2185</v>
      </c>
      <c r="D477" s="749"/>
      <c r="E477" s="749"/>
      <c r="F477" s="749"/>
      <c r="G477" s="749"/>
      <c r="H477" s="749"/>
      <c r="I477" s="749"/>
      <c r="J477" s="749"/>
      <c r="K477" s="749"/>
      <c r="L477" s="700"/>
      <c r="M477" s="700"/>
      <c r="AE477" s="668"/>
      <c r="AF477" s="668"/>
    </row>
    <row r="478" spans="3:32" s="66" customFormat="1" ht="11.25">
      <c r="C478" s="748" t="s">
        <v>2072</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2121</v>
      </c>
      <c r="D480" s="748"/>
      <c r="E480" s="748"/>
      <c r="F480" s="748"/>
      <c r="G480" s="748"/>
      <c r="H480" s="748"/>
      <c r="I480" s="748"/>
      <c r="J480" s="748"/>
      <c r="K480" s="748"/>
      <c r="AE480" s="668"/>
      <c r="AF480" s="668"/>
    </row>
    <row r="481" spans="3:32" s="66" customFormat="1" ht="11.25">
      <c r="C481" s="748" t="s">
        <v>941</v>
      </c>
      <c r="D481" s="748"/>
      <c r="E481" s="748"/>
      <c r="F481" s="748"/>
      <c r="G481" s="748"/>
      <c r="H481" s="748"/>
      <c r="I481" s="748"/>
      <c r="J481" s="748"/>
      <c r="K481" s="748"/>
      <c r="AE481" s="668"/>
      <c r="AF481" s="668"/>
    </row>
    <row r="482" spans="3:32" s="66" customFormat="1" ht="11.25">
      <c r="C482" s="753" t="s">
        <v>1871</v>
      </c>
      <c r="D482" s="748"/>
      <c r="E482" s="748"/>
      <c r="F482" s="748"/>
      <c r="G482" s="748"/>
      <c r="H482" s="748"/>
      <c r="I482" s="748"/>
      <c r="J482" s="748"/>
      <c r="K482" s="748"/>
      <c r="AE482" s="668"/>
      <c r="AF482" s="668"/>
    </row>
    <row r="483" spans="3:32" s="66" customFormat="1" ht="11.25">
      <c r="C483" s="753" t="s">
        <v>2638</v>
      </c>
      <c r="D483" s="748"/>
      <c r="E483" s="748"/>
      <c r="F483" s="748"/>
      <c r="G483" s="748"/>
      <c r="H483" s="748"/>
      <c r="I483" s="748"/>
      <c r="J483" s="748"/>
      <c r="K483" s="748"/>
      <c r="L483" s="48"/>
      <c r="AE483" s="668"/>
      <c r="AF483" s="668"/>
    </row>
    <row r="484" spans="3:32" s="66" customFormat="1" ht="11.25">
      <c r="C484" s="753" t="s">
        <v>2639</v>
      </c>
      <c r="D484" s="748"/>
      <c r="E484" s="748"/>
      <c r="F484" s="748"/>
      <c r="G484" s="748"/>
      <c r="H484" s="748"/>
      <c r="I484" s="748"/>
      <c r="J484" s="748"/>
      <c r="K484" s="748"/>
      <c r="L484" s="48"/>
      <c r="AE484" s="668"/>
      <c r="AF484" s="668"/>
    </row>
    <row r="485" spans="3:32" s="66" customFormat="1" ht="11.25">
      <c r="C485" s="753" t="s">
        <v>2525</v>
      </c>
      <c r="D485" s="748"/>
      <c r="E485" s="748"/>
      <c r="F485" s="748"/>
      <c r="G485" s="748"/>
      <c r="H485" s="748"/>
      <c r="I485" s="748"/>
      <c r="J485" s="748"/>
      <c r="K485" s="748"/>
      <c r="L485" s="48"/>
      <c r="AE485" s="668"/>
      <c r="AF485" s="668"/>
    </row>
    <row r="486" spans="3:32" s="66" customFormat="1" ht="11.25">
      <c r="C486" s="753" t="s">
        <v>1641</v>
      </c>
      <c r="D486" s="748"/>
      <c r="E486" s="748"/>
      <c r="F486" s="748"/>
      <c r="G486" s="748"/>
      <c r="H486" s="748"/>
      <c r="I486" s="748"/>
      <c r="J486" s="748"/>
      <c r="K486" s="748"/>
      <c r="L486" s="48"/>
      <c r="AE486" s="668"/>
      <c r="AF486" s="668"/>
    </row>
    <row r="487" spans="3:32" s="66" customFormat="1" ht="11.25">
      <c r="C487" s="756" t="s">
        <v>1639</v>
      </c>
      <c r="D487" s="748"/>
      <c r="E487" s="748"/>
      <c r="F487" s="748"/>
      <c r="G487" s="748"/>
      <c r="H487" s="748"/>
      <c r="I487" s="748"/>
      <c r="J487" s="748"/>
      <c r="K487" s="748"/>
      <c r="L487" s="48"/>
      <c r="AE487" s="668"/>
      <c r="AF487" s="668"/>
    </row>
    <row r="488" spans="3:32" s="66" customFormat="1" ht="11.25">
      <c r="C488" s="756" t="s">
        <v>2190</v>
      </c>
      <c r="D488" s="748"/>
      <c r="E488" s="748"/>
      <c r="F488" s="748"/>
      <c r="G488" s="748"/>
      <c r="H488" s="748"/>
      <c r="I488" s="748"/>
      <c r="J488" s="748"/>
      <c r="K488" s="748"/>
      <c r="AE488" s="668"/>
      <c r="AF488" s="668"/>
    </row>
    <row r="489" spans="3:32" s="66" customFormat="1" ht="11.25">
      <c r="C489" s="753" t="s">
        <v>3006</v>
      </c>
      <c r="D489" s="748"/>
      <c r="E489" s="748"/>
      <c r="F489" s="748"/>
      <c r="G489" s="748"/>
      <c r="H489" s="748"/>
      <c r="I489" s="748"/>
      <c r="J489" s="748"/>
      <c r="K489" s="748"/>
      <c r="L489" s="48"/>
      <c r="AE489" s="668"/>
      <c r="AF489" s="668"/>
    </row>
    <row r="490" spans="3:32" s="66" customFormat="1" ht="11.25">
      <c r="C490" s="756" t="s">
        <v>1640</v>
      </c>
      <c r="D490" s="748"/>
      <c r="E490" s="748"/>
      <c r="F490" s="748"/>
      <c r="G490" s="748"/>
      <c r="H490" s="748"/>
      <c r="I490" s="748"/>
      <c r="J490" s="748"/>
      <c r="K490" s="748"/>
      <c r="L490" s="48"/>
      <c r="AE490" s="668"/>
      <c r="AF490" s="668"/>
    </row>
    <row r="491" spans="3:32" s="66" customFormat="1" ht="11.25">
      <c r="C491" s="756" t="s">
        <v>1641</v>
      </c>
      <c r="D491" s="748"/>
      <c r="E491" s="748"/>
      <c r="F491" s="748"/>
      <c r="G491" s="748"/>
      <c r="H491" s="748"/>
      <c r="I491" s="748"/>
      <c r="J491" s="748"/>
      <c r="K491" s="748"/>
      <c r="L491" s="48"/>
      <c r="AE491" s="668"/>
      <c r="AF491" s="668"/>
    </row>
    <row r="492" spans="3:32" s="66" customFormat="1" ht="11.25">
      <c r="C492" s="756" t="s">
        <v>1642</v>
      </c>
      <c r="D492" s="748"/>
      <c r="E492" s="748"/>
      <c r="F492" s="748"/>
      <c r="G492" s="748"/>
      <c r="H492" s="748"/>
      <c r="I492" s="748"/>
      <c r="J492" s="748"/>
      <c r="K492" s="748"/>
      <c r="L492" s="48"/>
      <c r="AE492" s="668"/>
      <c r="AF492" s="668"/>
    </row>
    <row r="493" spans="3:32" s="66" customFormat="1" ht="11.25">
      <c r="C493" s="756" t="s">
        <v>3598</v>
      </c>
      <c r="D493" s="748"/>
      <c r="E493" s="748"/>
      <c r="F493" s="748"/>
      <c r="G493" s="748"/>
      <c r="H493" s="748"/>
      <c r="I493" s="748"/>
      <c r="J493" s="748"/>
      <c r="K493" s="748"/>
      <c r="AE493" s="668"/>
      <c r="AF493" s="668"/>
    </row>
    <row r="494" spans="3:32" s="66" customFormat="1" ht="11.25">
      <c r="C494" s="753" t="s">
        <v>2337</v>
      </c>
      <c r="D494" s="748"/>
      <c r="E494" s="748"/>
      <c r="F494" s="748"/>
      <c r="G494" s="748"/>
      <c r="H494" s="748"/>
      <c r="I494" s="748"/>
      <c r="J494" s="748"/>
      <c r="K494" s="748"/>
      <c r="L494" s="48"/>
      <c r="AE494" s="668"/>
      <c r="AF494" s="668"/>
    </row>
    <row r="495" spans="3:32" s="66" customFormat="1" ht="11.25">
      <c r="C495" s="756" t="s">
        <v>3599</v>
      </c>
      <c r="D495" s="748"/>
      <c r="E495" s="748"/>
      <c r="F495" s="748"/>
      <c r="G495" s="748"/>
      <c r="H495" s="748"/>
      <c r="I495" s="748"/>
      <c r="J495" s="748"/>
      <c r="K495" s="748"/>
      <c r="L495" s="48"/>
      <c r="AE495" s="668"/>
      <c r="AF495" s="668"/>
    </row>
    <row r="496" spans="3:32" s="66" customFormat="1" ht="11.25">
      <c r="C496" s="756" t="s">
        <v>1457</v>
      </c>
      <c r="D496" s="748"/>
      <c r="E496" s="748"/>
      <c r="F496" s="748"/>
      <c r="G496" s="748"/>
      <c r="H496" s="748"/>
      <c r="I496" s="748"/>
      <c r="J496" s="748"/>
      <c r="K496" s="748"/>
      <c r="L496" s="48"/>
      <c r="AE496" s="668"/>
      <c r="AF496" s="668"/>
    </row>
    <row r="497" spans="3:32" s="66" customFormat="1" ht="11.25">
      <c r="C497" s="756" t="s">
        <v>1683</v>
      </c>
      <c r="D497" s="748"/>
      <c r="E497" s="748"/>
      <c r="F497" s="748"/>
      <c r="G497" s="748"/>
      <c r="H497" s="748"/>
      <c r="I497" s="748"/>
      <c r="J497" s="748"/>
      <c r="K497" s="757" t="s">
        <v>601</v>
      </c>
      <c r="L497" s="48"/>
      <c r="AE497" s="668"/>
      <c r="AF497" s="668"/>
    </row>
    <row r="498" spans="3:32" s="66" customFormat="1" ht="11.25">
      <c r="C498" s="756" t="s">
        <v>3600</v>
      </c>
      <c r="D498" s="748"/>
      <c r="E498" s="748"/>
      <c r="F498" s="748"/>
      <c r="G498" s="748"/>
      <c r="H498" s="748"/>
      <c r="I498" s="748"/>
      <c r="J498" s="748"/>
      <c r="K498" s="748" t="s">
        <v>1170</v>
      </c>
      <c r="L498" s="48"/>
      <c r="AE498" s="668"/>
      <c r="AF498" s="668"/>
    </row>
    <row r="499" spans="3:32" s="66" customFormat="1" ht="11.25">
      <c r="C499" s="756" t="s">
        <v>3601</v>
      </c>
      <c r="D499" s="748"/>
      <c r="E499" s="748"/>
      <c r="F499" s="748"/>
      <c r="G499" s="748"/>
      <c r="H499" s="748"/>
      <c r="I499" s="748"/>
      <c r="J499" s="748"/>
      <c r="K499" s="748" t="s">
        <v>3545</v>
      </c>
      <c r="AE499" s="668"/>
      <c r="AF499" s="668"/>
    </row>
    <row r="500" spans="3:32" s="66" customFormat="1" ht="11.25">
      <c r="C500" s="753" t="s">
        <v>1300</v>
      </c>
      <c r="D500" s="748"/>
      <c r="E500" s="748"/>
      <c r="F500" s="748"/>
      <c r="G500" s="748"/>
      <c r="H500" s="748"/>
      <c r="I500" s="748"/>
      <c r="J500" s="748"/>
      <c r="K500" s="748" t="s">
        <v>3546</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235</v>
      </c>
      <c r="D502" s="748"/>
      <c r="E502" s="748"/>
      <c r="F502" s="748"/>
      <c r="G502" s="748"/>
      <c r="H502" s="748"/>
      <c r="I502" s="748"/>
      <c r="J502" s="748"/>
      <c r="K502" s="757" t="s">
        <v>3613</v>
      </c>
      <c r="AE502" s="668"/>
      <c r="AF502" s="668"/>
    </row>
    <row r="503" spans="3:32" s="66" customFormat="1" ht="11.25">
      <c r="C503" s="748" t="s">
        <v>1171</v>
      </c>
      <c r="D503" s="748"/>
      <c r="E503" s="748"/>
      <c r="F503" s="748"/>
      <c r="G503" s="748"/>
      <c r="H503" s="748"/>
      <c r="I503" s="748"/>
      <c r="J503" s="748"/>
      <c r="K503" s="748" t="s">
        <v>3073</v>
      </c>
      <c r="AE503" s="668"/>
      <c r="AF503" s="668"/>
    </row>
    <row r="504" spans="3:32" s="66" customFormat="1" ht="11.25">
      <c r="C504" s="748" t="s">
        <v>139</v>
      </c>
      <c r="D504" s="748"/>
      <c r="E504" s="748"/>
      <c r="F504" s="748"/>
      <c r="G504" s="748"/>
      <c r="H504" s="748"/>
      <c r="I504" s="748"/>
      <c r="J504" s="748"/>
      <c r="K504" s="748" t="s">
        <v>3388</v>
      </c>
      <c r="AE504" s="668"/>
      <c r="AF504" s="668"/>
    </row>
    <row r="505" spans="3:32" s="66" customFormat="1" ht="11.25">
      <c r="C505" s="748" t="s">
        <v>3488</v>
      </c>
      <c r="D505" s="748"/>
      <c r="E505" s="748"/>
      <c r="F505" s="748"/>
      <c r="G505" s="748"/>
      <c r="H505" s="748"/>
      <c r="I505" s="748"/>
      <c r="J505" s="748"/>
      <c r="K505" s="748" t="s">
        <v>1224</v>
      </c>
      <c r="AE505" s="668"/>
      <c r="AF505" s="668"/>
    </row>
    <row r="506" spans="3:32" s="66" customFormat="1" ht="11.25">
      <c r="C506" s="748" t="s">
        <v>2485</v>
      </c>
      <c r="D506" s="748"/>
      <c r="E506" s="748"/>
      <c r="F506" s="748"/>
      <c r="G506" s="748"/>
      <c r="H506" s="748"/>
      <c r="I506" s="748"/>
      <c r="J506" s="748"/>
      <c r="K506" s="748" t="s">
        <v>1223</v>
      </c>
      <c r="AE506" s="668"/>
      <c r="AF506" s="668"/>
    </row>
    <row r="507" spans="3:32" s="66" customFormat="1" ht="11.25">
      <c r="C507" s="748" t="s">
        <v>138</v>
      </c>
      <c r="D507" s="748"/>
      <c r="E507" s="748"/>
      <c r="F507" s="748"/>
      <c r="G507" s="748"/>
      <c r="H507" s="748"/>
      <c r="I507" s="748"/>
      <c r="J507" s="748"/>
      <c r="K507" s="748" t="s">
        <v>3547</v>
      </c>
      <c r="AE507" s="668"/>
      <c r="AF507" s="668"/>
    </row>
    <row r="508" spans="3:32" s="66" customFormat="1" ht="11.25">
      <c r="C508" s="748"/>
      <c r="D508" s="748"/>
      <c r="E508" s="748"/>
      <c r="F508" s="748"/>
      <c r="G508" s="748"/>
      <c r="H508" s="748"/>
      <c r="I508" s="748"/>
      <c r="J508" s="748"/>
      <c r="K508" s="757" t="s">
        <v>3883</v>
      </c>
      <c r="AE508" s="668"/>
      <c r="AF508" s="668"/>
    </row>
    <row r="509" spans="3:32" s="66" customFormat="1" ht="11.25">
      <c r="C509" s="748"/>
      <c r="D509" s="748"/>
      <c r="E509" s="748"/>
      <c r="F509" s="748"/>
      <c r="G509" s="748"/>
      <c r="H509" s="748"/>
      <c r="I509" s="748"/>
      <c r="J509" s="748"/>
      <c r="K509" s="748" t="s">
        <v>301</v>
      </c>
      <c r="AE509" s="668"/>
      <c r="AF509" s="668"/>
    </row>
    <row r="510" spans="3:32" s="66" customFormat="1" ht="11.25">
      <c r="C510" s="748"/>
      <c r="D510" s="748"/>
      <c r="E510" s="748"/>
      <c r="F510" s="748"/>
      <c r="G510" s="748"/>
      <c r="H510" s="748"/>
      <c r="I510" s="748"/>
      <c r="J510" s="748"/>
      <c r="K510" s="748" t="s">
        <v>2081</v>
      </c>
      <c r="AE510" s="668"/>
      <c r="AF510" s="668"/>
    </row>
    <row r="511" spans="3:32" s="66" customFormat="1" ht="11.25">
      <c r="C511" s="748"/>
      <c r="D511" s="748"/>
      <c r="E511" s="748"/>
      <c r="F511" s="748"/>
      <c r="G511" s="748"/>
      <c r="H511" s="748"/>
      <c r="I511" s="748"/>
      <c r="J511" s="748"/>
      <c r="K511" s="748" t="s">
        <v>1225</v>
      </c>
      <c r="AE511" s="668"/>
      <c r="AF511" s="668"/>
    </row>
    <row r="512" spans="3:32" s="66" customFormat="1" ht="11.25">
      <c r="C512" s="748"/>
      <c r="D512" s="748"/>
      <c r="E512" s="748"/>
      <c r="F512" s="748"/>
      <c r="G512" s="748"/>
      <c r="H512" s="748"/>
      <c r="I512" s="748"/>
      <c r="J512" s="748"/>
      <c r="K512" s="748" t="s">
        <v>2082</v>
      </c>
      <c r="AE512" s="668"/>
      <c r="AF512" s="668"/>
    </row>
    <row r="513" spans="3:32" s="66" customFormat="1" ht="11.25">
      <c r="C513" s="748"/>
      <c r="D513" s="748"/>
      <c r="E513" s="748"/>
      <c r="F513" s="748"/>
      <c r="G513" s="748"/>
      <c r="H513" s="748"/>
      <c r="I513" s="748"/>
      <c r="J513" s="748"/>
      <c r="K513" s="748" t="s">
        <v>2848</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1059</v>
      </c>
      <c r="D515" s="748"/>
      <c r="E515" s="748"/>
      <c r="F515" s="748"/>
      <c r="G515" s="748"/>
      <c r="H515" s="748"/>
      <c r="I515" s="748"/>
      <c r="J515" s="748"/>
      <c r="K515" s="755" t="s">
        <v>1060</v>
      </c>
      <c r="AE515" s="668"/>
      <c r="AF515" s="668"/>
    </row>
    <row r="516" spans="3:32" s="66" customFormat="1" ht="11.25">
      <c r="C516" s="748" t="s">
        <v>1058</v>
      </c>
      <c r="D516" s="748"/>
      <c r="E516" s="748"/>
      <c r="F516" s="748"/>
      <c r="G516" s="748"/>
      <c r="H516" s="748"/>
      <c r="I516" s="748"/>
      <c r="J516" s="748"/>
      <c r="K516" s="748" t="s">
        <v>1058</v>
      </c>
      <c r="AE516" s="668"/>
      <c r="AF516" s="668"/>
    </row>
    <row r="517" spans="3:32" s="66" customFormat="1" ht="11.25">
      <c r="C517" s="748" t="s">
        <v>3974</v>
      </c>
      <c r="D517" s="748"/>
      <c r="E517" s="748"/>
      <c r="F517" s="748"/>
      <c r="G517" s="748"/>
      <c r="H517" s="748"/>
      <c r="I517" s="748"/>
      <c r="J517" s="748"/>
      <c r="K517" s="748" t="s">
        <v>2073</v>
      </c>
      <c r="AE517" s="668"/>
      <c r="AF517" s="668"/>
    </row>
    <row r="518" spans="3:32" s="66" customFormat="1" ht="11.25">
      <c r="C518" s="748" t="s">
        <v>3852</v>
      </c>
      <c r="D518" s="748"/>
      <c r="E518" s="748"/>
      <c r="F518" s="748"/>
      <c r="G518" s="748"/>
      <c r="H518" s="748"/>
      <c r="I518" s="748"/>
      <c r="J518" s="748"/>
      <c r="K518" s="748" t="s">
        <v>636</v>
      </c>
      <c r="AE518" s="668"/>
      <c r="AF518" s="668"/>
    </row>
    <row r="519" spans="3:32" s="66" customFormat="1" ht="11.25">
      <c r="C519" s="748" t="s">
        <v>3975</v>
      </c>
      <c r="D519" s="748"/>
      <c r="E519" s="748"/>
      <c r="F519" s="748"/>
      <c r="G519" s="748"/>
      <c r="H519" s="748"/>
      <c r="I519" s="748"/>
      <c r="J519" s="748"/>
      <c r="K519" s="748" t="s">
        <v>3179</v>
      </c>
      <c r="AE519" s="668"/>
      <c r="AF519" s="668"/>
    </row>
    <row r="520" spans="3:32" s="66" customFormat="1" ht="11.25">
      <c r="C520" s="748" t="s">
        <v>3884</v>
      </c>
      <c r="D520" s="748"/>
      <c r="E520" s="748"/>
      <c r="F520" s="748"/>
      <c r="G520" s="748"/>
      <c r="H520" s="748"/>
      <c r="I520" s="748"/>
      <c r="J520" s="748"/>
      <c r="K520" s="748" t="s">
        <v>3893</v>
      </c>
      <c r="AE520" s="668"/>
      <c r="AF520" s="668"/>
    </row>
    <row r="521" spans="3:32" s="66" customFormat="1" ht="11.25">
      <c r="C521" s="748" t="s">
        <v>801</v>
      </c>
      <c r="D521" s="748"/>
      <c r="E521" s="748"/>
      <c r="F521" s="748"/>
      <c r="G521" s="748"/>
      <c r="H521" s="748"/>
      <c r="I521" s="748"/>
      <c r="J521" s="748"/>
      <c r="K521" s="748" t="s">
        <v>3181</v>
      </c>
      <c r="AE521" s="668"/>
      <c r="AF521" s="668"/>
    </row>
    <row r="522" spans="3:32" s="66" customFormat="1" ht="11.25">
      <c r="C522" s="748" t="s">
        <v>4101</v>
      </c>
      <c r="D522" s="748"/>
      <c r="E522" s="748"/>
      <c r="F522" s="748"/>
      <c r="G522" s="748"/>
      <c r="H522" s="748"/>
      <c r="I522" s="748"/>
      <c r="J522" s="748"/>
      <c r="K522" s="748" t="s">
        <v>1543</v>
      </c>
      <c r="AE522" s="668"/>
      <c r="AF522" s="668"/>
    </row>
    <row r="523" spans="3:32" s="66" customFormat="1" ht="11.25">
      <c r="C523" s="751" t="s">
        <v>1544</v>
      </c>
      <c r="D523" s="748"/>
      <c r="E523" s="748"/>
      <c r="F523" s="748"/>
      <c r="G523" s="748"/>
      <c r="H523" s="748"/>
      <c r="I523" s="748"/>
      <c r="J523" s="748"/>
      <c r="K523" s="748" t="s">
        <v>2156</v>
      </c>
      <c r="AE523" s="668"/>
      <c r="AF523" s="668"/>
    </row>
    <row r="524" spans="3:32" s="66" customFormat="1" ht="11.25">
      <c r="C524" s="748"/>
      <c r="D524" s="748"/>
      <c r="E524" s="748"/>
      <c r="F524" s="748"/>
      <c r="G524" s="748"/>
      <c r="H524" s="748"/>
      <c r="I524" s="748"/>
      <c r="J524" s="748"/>
      <c r="K524" s="748" t="s">
        <v>3182</v>
      </c>
      <c r="AE524" s="668"/>
      <c r="AF524" s="668"/>
    </row>
    <row r="525" spans="3:32" s="66" customFormat="1" ht="11.25">
      <c r="C525" s="748"/>
      <c r="D525" s="748"/>
      <c r="E525" s="748"/>
      <c r="F525" s="748"/>
      <c r="G525" s="748"/>
      <c r="H525" s="748"/>
      <c r="I525" s="748"/>
      <c r="J525" s="748"/>
      <c r="K525" s="748" t="s">
        <v>1259</v>
      </c>
      <c r="AE525" s="668"/>
      <c r="AF525" s="668"/>
    </row>
    <row r="526" spans="3:32" s="66" customFormat="1" ht="11.25">
      <c r="C526" s="748"/>
      <c r="D526" s="748"/>
      <c r="E526" s="748"/>
      <c r="F526" s="748"/>
      <c r="G526" s="748"/>
      <c r="H526" s="748"/>
      <c r="I526" s="748"/>
      <c r="J526" s="748"/>
      <c r="K526" s="748" t="s">
        <v>2184</v>
      </c>
      <c r="AE526" s="668"/>
      <c r="AF526" s="668"/>
    </row>
    <row r="527" spans="3:32" s="66" customFormat="1" ht="11.25">
      <c r="C527" s="748"/>
      <c r="D527" s="748"/>
      <c r="E527" s="748"/>
      <c r="F527" s="748"/>
      <c r="G527" s="748"/>
      <c r="H527" s="748"/>
      <c r="I527" s="748"/>
      <c r="J527" s="748"/>
      <c r="K527" s="748" t="s">
        <v>800</v>
      </c>
      <c r="AE527" s="668"/>
      <c r="AF527" s="668"/>
    </row>
    <row r="528" spans="3:32" s="66" customFormat="1" ht="11.25">
      <c r="C528" s="748"/>
      <c r="D528" s="748"/>
      <c r="E528" s="748"/>
      <c r="F528" s="748"/>
      <c r="G528" s="748"/>
      <c r="H528" s="748"/>
      <c r="I528" s="748"/>
      <c r="J528" s="748"/>
      <c r="K528" s="748" t="s">
        <v>2185</v>
      </c>
      <c r="AE528" s="668"/>
      <c r="AF528" s="668"/>
    </row>
    <row r="529" spans="1:32" s="66" customFormat="1" ht="11.25">
      <c r="C529" s="748"/>
      <c r="D529" s="748"/>
      <c r="E529" s="748"/>
      <c r="F529" s="748"/>
      <c r="G529" s="748"/>
      <c r="H529" s="748"/>
      <c r="I529" s="748"/>
      <c r="J529" s="748"/>
      <c r="K529" s="748" t="s">
        <v>802</v>
      </c>
      <c r="AE529" s="668"/>
      <c r="AF529" s="668"/>
    </row>
    <row r="530" spans="1:32" s="66" customFormat="1" ht="11.25">
      <c r="C530" s="748"/>
      <c r="D530" s="748"/>
      <c r="E530" s="748"/>
      <c r="F530" s="748"/>
      <c r="G530" s="748"/>
      <c r="H530" s="748"/>
      <c r="I530" s="748"/>
      <c r="J530" s="748"/>
      <c r="K530" s="748" t="s">
        <v>2072</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3926</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90:Q90"/>
    <mergeCell ref="F154:N154"/>
    <mergeCell ref="K131:P131"/>
    <mergeCell ref="P137:Q137"/>
    <mergeCell ref="C139:N139"/>
    <mergeCell ref="A135:Q135"/>
    <mergeCell ref="A158:Q158"/>
    <mergeCell ref="J162:N162"/>
    <mergeCell ref="P162:Q162"/>
    <mergeCell ref="C155:N155"/>
    <mergeCell ref="C140:N140"/>
    <mergeCell ref="A124:Q124"/>
    <mergeCell ref="P128:Q128"/>
    <mergeCell ref="F152:N152"/>
    <mergeCell ref="B146:D146"/>
    <mergeCell ref="P146:Q146"/>
    <mergeCell ref="M94:P94"/>
    <mergeCell ref="A142:Q142"/>
    <mergeCell ref="A133:Q133"/>
    <mergeCell ref="P74:Q74"/>
    <mergeCell ref="A71:Q71"/>
    <mergeCell ref="A73:Q73"/>
    <mergeCell ref="M78:P78"/>
    <mergeCell ref="J116:P116"/>
    <mergeCell ref="P92:Q92"/>
    <mergeCell ref="D100:O100"/>
    <mergeCell ref="D79:N79"/>
    <mergeCell ref="A1:Q1"/>
    <mergeCell ref="B4:D4"/>
    <mergeCell ref="P29:Q29"/>
    <mergeCell ref="A10:Q10"/>
    <mergeCell ref="P6:Q6"/>
    <mergeCell ref="A24:Q24"/>
    <mergeCell ref="H3:N3"/>
    <mergeCell ref="M62:P62"/>
    <mergeCell ref="M61:P61"/>
    <mergeCell ref="A34:Q34"/>
    <mergeCell ref="A37:Q37"/>
    <mergeCell ref="P41:Q41"/>
    <mergeCell ref="A26:Q26"/>
    <mergeCell ref="L53:P53"/>
    <mergeCell ref="A38:Q38"/>
    <mergeCell ref="E68:G68"/>
    <mergeCell ref="J68:L68"/>
    <mergeCell ref="M97:P97"/>
    <mergeCell ref="A126:Q126"/>
    <mergeCell ref="A3:G3"/>
    <mergeCell ref="A11:Q11"/>
    <mergeCell ref="A9:Q9"/>
    <mergeCell ref="O3:P3"/>
    <mergeCell ref="A25:Q25"/>
    <mergeCell ref="A144:Q144"/>
    <mergeCell ref="O67:Q67"/>
    <mergeCell ref="A88:Q88"/>
    <mergeCell ref="D81:N81"/>
    <mergeCell ref="A8:Q8"/>
    <mergeCell ref="A57:Q57"/>
    <mergeCell ref="A22:Q22"/>
    <mergeCell ref="A14:Q14"/>
    <mergeCell ref="A16:Q16"/>
    <mergeCell ref="A21:Q21"/>
    <mergeCell ref="A15:Q15"/>
    <mergeCell ref="A19:Q19"/>
    <mergeCell ref="A23:Q23"/>
    <mergeCell ref="A18:Q18"/>
    <mergeCell ref="A20:Q20"/>
    <mergeCell ref="P47:Q47"/>
    <mergeCell ref="A290:Q290"/>
    <mergeCell ref="D203:H203"/>
    <mergeCell ref="P201:Q201"/>
    <mergeCell ref="J163:N163"/>
    <mergeCell ref="M198:O198"/>
    <mergeCell ref="P283:Q283"/>
    <mergeCell ref="L288:O288"/>
    <mergeCell ref="D204:H204"/>
    <mergeCell ref="A191:Q191"/>
    <mergeCell ref="P224:Q224"/>
    <mergeCell ref="M226:O226"/>
    <mergeCell ref="M197:O197"/>
    <mergeCell ref="P254:Q254"/>
    <mergeCell ref="M228:O228"/>
    <mergeCell ref="A234:Q234"/>
    <mergeCell ref="A232:Q232"/>
    <mergeCell ref="C163:G163"/>
    <mergeCell ref="A166:Q166"/>
    <mergeCell ref="P170:Q170"/>
    <mergeCell ref="J174:N174"/>
    <mergeCell ref="A179:Q179"/>
    <mergeCell ref="P181:Q181"/>
    <mergeCell ref="J164:N164"/>
    <mergeCell ref="A177:Q177"/>
    <mergeCell ref="A160:Q160"/>
    <mergeCell ref="M227:O227"/>
    <mergeCell ref="C230:N230"/>
    <mergeCell ref="G272:N272"/>
    <mergeCell ref="P227:Q227"/>
    <mergeCell ref="P228:Q228"/>
    <mergeCell ref="D272:F272"/>
    <mergeCell ref="A252:Q252"/>
    <mergeCell ref="A188:Q188"/>
    <mergeCell ref="A168:Q168"/>
    <mergeCell ref="C174:G175"/>
    <mergeCell ref="J175:N175"/>
    <mergeCell ref="P226:Q226"/>
    <mergeCell ref="A220:Q220"/>
    <mergeCell ref="L204:O204"/>
    <mergeCell ref="M196:O196"/>
    <mergeCell ref="P236:Q236"/>
    <mergeCell ref="A222:Q222"/>
    <mergeCell ref="P193:Q193"/>
    <mergeCell ref="L203:O203"/>
    <mergeCell ref="R8:S11"/>
    <mergeCell ref="P130:Q130"/>
    <mergeCell ref="A39:Q39"/>
    <mergeCell ref="A36:Q36"/>
    <mergeCell ref="R15:S18"/>
    <mergeCell ref="N130:O130"/>
    <mergeCell ref="J32:N32"/>
    <mergeCell ref="A45:J45"/>
    <mergeCell ref="K45:Q45"/>
    <mergeCell ref="O68:Q68"/>
    <mergeCell ref="R22:S25"/>
    <mergeCell ref="E67:G67"/>
    <mergeCell ref="J43:L43"/>
    <mergeCell ref="P59:Q59"/>
    <mergeCell ref="M63:P63"/>
    <mergeCell ref="C65:L65"/>
    <mergeCell ref="J67:L67"/>
    <mergeCell ref="C49:M49"/>
    <mergeCell ref="M64:P64"/>
    <mergeCell ref="A55:Q55"/>
    <mergeCell ref="A27:Q27"/>
    <mergeCell ref="A12:Q12"/>
    <mergeCell ref="A13:Q13"/>
    <mergeCell ref="A17:Q17"/>
    <mergeCell ref="C270:M270"/>
    <mergeCell ref="D276:N276"/>
    <mergeCell ref="A243:Q243"/>
    <mergeCell ref="P264:Q264"/>
    <mergeCell ref="A250:Q250"/>
    <mergeCell ref="G271:N271"/>
    <mergeCell ref="C255:N255"/>
    <mergeCell ref="A261:Q261"/>
    <mergeCell ref="C257:N257"/>
    <mergeCell ref="A263:Q263"/>
    <mergeCell ref="C256:N256"/>
    <mergeCell ref="C259:N259"/>
    <mergeCell ref="C268:N268"/>
    <mergeCell ref="C274:N274"/>
    <mergeCell ref="A281:Q281"/>
    <mergeCell ref="C296:N296"/>
    <mergeCell ref="P294:Q294"/>
    <mergeCell ref="A241:Q241"/>
    <mergeCell ref="C238:N238"/>
    <mergeCell ref="P245:Q245"/>
    <mergeCell ref="E342:I342"/>
    <mergeCell ref="D324:N324"/>
    <mergeCell ref="C248:N248"/>
    <mergeCell ref="C247:N247"/>
    <mergeCell ref="A279:Q279"/>
    <mergeCell ref="L287:O287"/>
    <mergeCell ref="D275:N275"/>
    <mergeCell ref="P305:Q305"/>
    <mergeCell ref="A292:Q292"/>
    <mergeCell ref="D321:N321"/>
    <mergeCell ref="D325:N325"/>
    <mergeCell ref="M342:Q342"/>
    <mergeCell ref="C299:N299"/>
    <mergeCell ref="P318:Q318"/>
    <mergeCell ref="A303:Q303"/>
    <mergeCell ref="A301:Q301"/>
    <mergeCell ref="C311:N311"/>
    <mergeCell ref="A316:Q316"/>
    <mergeCell ref="A415:Q415"/>
    <mergeCell ref="A409:Q409"/>
    <mergeCell ref="D323:N323"/>
    <mergeCell ref="A413:Q413"/>
    <mergeCell ref="P399:Q399"/>
    <mergeCell ref="C404:N404"/>
    <mergeCell ref="A379:J379"/>
    <mergeCell ref="C401:N401"/>
    <mergeCell ref="C400:N400"/>
    <mergeCell ref="P354:Q354"/>
    <mergeCell ref="A337:Q337"/>
    <mergeCell ref="A359:Q359"/>
    <mergeCell ref="B375:G375"/>
    <mergeCell ref="P375:Q375"/>
    <mergeCell ref="C402:N402"/>
    <mergeCell ref="A373:Q373"/>
    <mergeCell ref="C386:N386"/>
    <mergeCell ref="A397:Q397"/>
    <mergeCell ref="H356:P356"/>
    <mergeCell ref="P355:Q355"/>
    <mergeCell ref="C355:L355"/>
    <mergeCell ref="C346:N346"/>
    <mergeCell ref="A407:Q407"/>
    <mergeCell ref="C405:N405"/>
    <mergeCell ref="C347:N347"/>
    <mergeCell ref="A314:Q314"/>
    <mergeCell ref="A339:Q339"/>
    <mergeCell ref="C297:N297"/>
    <mergeCell ref="A352:Q352"/>
    <mergeCell ref="P411:Q411"/>
    <mergeCell ref="C376:N376"/>
    <mergeCell ref="N355:O355"/>
    <mergeCell ref="A362:Q362"/>
    <mergeCell ref="P381:Q381"/>
    <mergeCell ref="C310:N310"/>
    <mergeCell ref="K306:P306"/>
    <mergeCell ref="D322:N322"/>
    <mergeCell ref="C307:N307"/>
    <mergeCell ref="A350:Q350"/>
    <mergeCell ref="J342:L342"/>
    <mergeCell ref="N393:Q393"/>
    <mergeCell ref="K379:Q379"/>
    <mergeCell ref="P364:Q364"/>
    <mergeCell ref="A395:Q395"/>
    <mergeCell ref="A371:Q371"/>
    <mergeCell ref="P341:Q341"/>
    <mergeCell ref="H369:O369"/>
    <mergeCell ref="C403:N403"/>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ol min="21" max="21" width="8.42578125" style="31" customWidth="1"/>
    <col min="22" max="23" width="9.140625" style="31"/>
    <col min="24" max="24" width="8.85546875" style="31" customWidth="1"/>
    <col min="25" max="16384" width="9.140625" style="31"/>
  </cols>
  <sheetData>
    <row r="1" spans="1:19" s="43" customFormat="1" ht="13.9" customHeight="1">
      <c r="A1" s="991" t="str">
        <f>CONCATENATE("PART NINE - SCORING CRITERIA","  -  ",'Part I-Project Information'!$O$4," ",'Part I-Project Information'!$F$22,", ",'Part I-Project Information'!F24,", ",'Part I-Project Information'!J25," County")</f>
        <v>PART NINE - SCORING CRITERIA  -  2012-052 Freedom's Path I, Augusta, Richmond County</v>
      </c>
      <c r="B1" s="992"/>
      <c r="C1" s="992"/>
      <c r="D1" s="992"/>
      <c r="E1" s="992"/>
      <c r="F1" s="992"/>
      <c r="G1" s="992"/>
      <c r="H1" s="992"/>
      <c r="I1" s="992"/>
      <c r="J1" s="992"/>
      <c r="K1" s="992"/>
      <c r="L1" s="992"/>
      <c r="M1" s="992"/>
      <c r="N1" s="992"/>
      <c r="O1" s="992"/>
      <c r="P1" s="993"/>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2970</v>
      </c>
      <c r="N3" s="91"/>
      <c r="O3" s="112" t="s">
        <v>2969</v>
      </c>
      <c r="P3" s="247" t="s">
        <v>239</v>
      </c>
    </row>
    <row r="4" spans="1:19" s="52" customFormat="1" ht="12.6" customHeight="1">
      <c r="A4" s="50"/>
      <c r="B4" s="50"/>
      <c r="C4" s="50"/>
      <c r="D4" s="50"/>
      <c r="E4" s="50"/>
      <c r="F4" s="50"/>
      <c r="G4" s="50"/>
      <c r="H4" s="50"/>
      <c r="I4" s="50"/>
      <c r="J4" s="50"/>
      <c r="K4" s="50"/>
      <c r="M4" s="249" t="s">
        <v>1605</v>
      </c>
      <c r="N4" s="114"/>
      <c r="O4" s="248" t="s">
        <v>2970</v>
      </c>
      <c r="P4" s="113" t="s">
        <v>2970</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1322</v>
      </c>
      <c r="M6" s="391">
        <f>M291</f>
        <v>102</v>
      </c>
      <c r="N6" s="10"/>
      <c r="O6" s="78">
        <f>O291</f>
        <v>57</v>
      </c>
      <c r="P6" s="78">
        <f>P291</f>
        <v>14</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2312</v>
      </c>
      <c r="B8" s="146" t="s">
        <v>263</v>
      </c>
      <c r="C8" s="5"/>
      <c r="D8" s="5"/>
      <c r="E8" s="5"/>
      <c r="F8" s="11"/>
      <c r="H8" s="57" t="s">
        <v>1860</v>
      </c>
      <c r="M8" s="3">
        <v>10</v>
      </c>
      <c r="N8" s="147"/>
      <c r="O8" s="78">
        <f>MIN($M8, $M8-O10-O11-O12)</f>
        <v>10</v>
      </c>
      <c r="P8" s="78">
        <f>MIN($M8, $M8-P10-P11-P12)</f>
        <v>10</v>
      </c>
      <c r="Q8" s="149" t="s">
        <v>578</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2308</v>
      </c>
      <c r="B10" s="238" t="s">
        <v>351</v>
      </c>
      <c r="D10" s="56"/>
      <c r="E10" s="56"/>
      <c r="F10" s="822" t="s">
        <v>1128</v>
      </c>
      <c r="G10" s="38">
        <f>F16</f>
        <v>0</v>
      </c>
      <c r="H10" s="246" t="s">
        <v>227</v>
      </c>
      <c r="M10" s="7">
        <v>7</v>
      </c>
      <c r="N10" s="79" t="s">
        <v>2308</v>
      </c>
      <c r="O10" s="1614"/>
      <c r="P10" s="67"/>
    </row>
    <row r="11" spans="1:19" s="50" customFormat="1" ht="11.25" customHeight="1">
      <c r="A11" s="257" t="s">
        <v>2311</v>
      </c>
      <c r="B11" s="238" t="s">
        <v>2760</v>
      </c>
      <c r="D11" s="56"/>
      <c r="E11" s="56"/>
      <c r="F11" s="822" t="s">
        <v>1128</v>
      </c>
      <c r="G11" s="38">
        <f>K16</f>
        <v>0</v>
      </c>
      <c r="H11" s="246" t="s">
        <v>228</v>
      </c>
      <c r="J11" s="57"/>
      <c r="M11" s="7">
        <v>0</v>
      </c>
      <c r="N11" s="79" t="s">
        <v>2311</v>
      </c>
      <c r="O11" s="1614"/>
      <c r="P11" s="67"/>
      <c r="Q11" s="149"/>
    </row>
    <row r="12" spans="1:19" s="51" customFormat="1" ht="11.25" customHeight="1">
      <c r="A12" s="257" t="s">
        <v>2783</v>
      </c>
      <c r="B12" s="238" t="s">
        <v>2480</v>
      </c>
      <c r="D12" s="56"/>
      <c r="E12" s="56"/>
      <c r="F12" s="822" t="s">
        <v>1128</v>
      </c>
      <c r="G12" s="38">
        <f>P16</f>
        <v>0</v>
      </c>
      <c r="H12" s="246" t="s">
        <v>229</v>
      </c>
      <c r="J12" s="57"/>
      <c r="M12" s="7">
        <v>1</v>
      </c>
      <c r="N12" s="79" t="s">
        <v>2783</v>
      </c>
      <c r="O12" s="1614"/>
      <c r="P12" s="67"/>
    </row>
    <row r="13" spans="1:19" s="50" customFormat="1" ht="11.25" customHeight="1">
      <c r="A13" s="57" t="s">
        <v>238</v>
      </c>
      <c r="D13" s="56"/>
      <c r="E13" s="56"/>
      <c r="F13" s="56"/>
      <c r="G13" s="56"/>
      <c r="H13" s="44"/>
      <c r="I13" s="44"/>
      <c r="J13" s="44"/>
      <c r="K13" s="44"/>
      <c r="L13" s="51"/>
      <c r="M13" s="54"/>
      <c r="N13" s="75"/>
      <c r="O13" s="4"/>
      <c r="P13" s="852"/>
    </row>
    <row r="14" spans="1:19" s="50" customFormat="1" ht="12.6" customHeight="1">
      <c r="A14" s="1564" t="s">
        <v>1373</v>
      </c>
      <c r="B14" s="1565"/>
      <c r="C14" s="1565"/>
      <c r="D14" s="1565"/>
      <c r="E14" s="1565"/>
      <c r="F14" s="1565"/>
      <c r="G14" s="1565"/>
      <c r="H14" s="1565"/>
      <c r="I14" s="1565"/>
      <c r="J14" s="1565"/>
      <c r="K14" s="1565"/>
      <c r="L14" s="1565"/>
      <c r="M14" s="1565"/>
      <c r="N14" s="1565"/>
      <c r="O14" s="1565"/>
      <c r="P14" s="1566"/>
      <c r="Q14" s="738" t="s">
        <v>3276</v>
      </c>
      <c r="R14" s="739"/>
    </row>
    <row r="15" spans="1:19" s="50" customFormat="1" ht="10.9" customHeight="1">
      <c r="A15" s="81" t="s">
        <v>349</v>
      </c>
      <c r="C15" s="127"/>
      <c r="D15" s="127"/>
      <c r="F15" s="181" t="s">
        <v>3723</v>
      </c>
      <c r="K15" s="181" t="s">
        <v>3723</v>
      </c>
      <c r="P15" s="60" t="s">
        <v>3723</v>
      </c>
      <c r="R15" s="740"/>
      <c r="S15" s="217"/>
    </row>
    <row r="16" spans="1:19" s="50" customFormat="1" ht="12" customHeight="1">
      <c r="A16" s="1204" t="s">
        <v>2892</v>
      </c>
      <c r="B16" s="1204"/>
      <c r="C16" s="1204"/>
      <c r="D16" s="1204"/>
      <c r="E16" s="80" t="s">
        <v>705</v>
      </c>
      <c r="F16" s="94">
        <f>SUM(F17:F28)</f>
        <v>0</v>
      </c>
      <c r="G16" s="1205" t="s">
        <v>2893</v>
      </c>
      <c r="H16" s="1204"/>
      <c r="I16" s="1204"/>
      <c r="J16" s="80" t="s">
        <v>705</v>
      </c>
      <c r="K16" s="94">
        <f>SUM(K17:K28)</f>
        <v>0</v>
      </c>
      <c r="L16" s="856" t="s">
        <v>3459</v>
      </c>
      <c r="M16" s="127"/>
      <c r="N16" s="125"/>
      <c r="O16" s="80"/>
      <c r="P16" s="94">
        <f>SUM(P17:P28)</f>
        <v>0</v>
      </c>
      <c r="R16" s="740"/>
      <c r="S16" s="217"/>
    </row>
    <row r="17" spans="1:19" s="50" customFormat="1" ht="24.6" customHeight="1">
      <c r="A17" s="1201">
        <v>1</v>
      </c>
      <c r="B17" s="1202"/>
      <c r="C17" s="1202"/>
      <c r="D17" s="1202"/>
      <c r="E17" s="1203"/>
      <c r="F17" s="310"/>
      <c r="G17" s="1206">
        <v>1</v>
      </c>
      <c r="H17" s="1207"/>
      <c r="I17" s="1207"/>
      <c r="J17" s="1207"/>
      <c r="K17" s="310"/>
      <c r="L17" s="1206">
        <v>1</v>
      </c>
      <c r="M17" s="1207"/>
      <c r="N17" s="1207"/>
      <c r="O17" s="1207"/>
      <c r="P17" s="310"/>
      <c r="Q17" s="738" t="s">
        <v>3276</v>
      </c>
      <c r="R17" s="739"/>
      <c r="S17" s="217"/>
    </row>
    <row r="18" spans="1:19" s="50" customFormat="1" ht="24.6" customHeight="1">
      <c r="A18" s="1191">
        <v>2</v>
      </c>
      <c r="B18" s="1192"/>
      <c r="C18" s="1192"/>
      <c r="D18" s="1192"/>
      <c r="E18" s="1193"/>
      <c r="F18" s="311"/>
      <c r="G18" s="1189">
        <v>2</v>
      </c>
      <c r="H18" s="1190"/>
      <c r="I18" s="1190"/>
      <c r="J18" s="1190"/>
      <c r="K18" s="311"/>
      <c r="L18" s="1189">
        <v>2</v>
      </c>
      <c r="M18" s="1190"/>
      <c r="N18" s="1190"/>
      <c r="O18" s="1190"/>
      <c r="P18" s="311"/>
      <c r="Q18" s="738"/>
      <c r="R18" s="739"/>
      <c r="S18" s="217"/>
    </row>
    <row r="19" spans="1:19" s="50" customFormat="1" ht="24.6" customHeight="1">
      <c r="A19" s="1191">
        <v>3</v>
      </c>
      <c r="B19" s="1192"/>
      <c r="C19" s="1192"/>
      <c r="D19" s="1192"/>
      <c r="E19" s="1193"/>
      <c r="F19" s="311"/>
      <c r="G19" s="1189">
        <v>3</v>
      </c>
      <c r="H19" s="1190"/>
      <c r="I19" s="1190"/>
      <c r="J19" s="1190"/>
      <c r="K19" s="311"/>
      <c r="L19" s="1189">
        <v>3</v>
      </c>
      <c r="M19" s="1190"/>
      <c r="N19" s="1190"/>
      <c r="O19" s="1190"/>
      <c r="P19" s="311"/>
      <c r="Q19" s="738"/>
      <c r="R19" s="739"/>
      <c r="S19" s="217"/>
    </row>
    <row r="20" spans="1:19" s="50" customFormat="1" ht="24.6" customHeight="1">
      <c r="A20" s="1191">
        <v>4</v>
      </c>
      <c r="B20" s="1192"/>
      <c r="C20" s="1192"/>
      <c r="D20" s="1192"/>
      <c r="E20" s="1193"/>
      <c r="F20" s="311"/>
      <c r="G20" s="1189">
        <v>4</v>
      </c>
      <c r="H20" s="1190"/>
      <c r="I20" s="1190"/>
      <c r="J20" s="1190"/>
      <c r="K20" s="311"/>
      <c r="L20" s="1189">
        <v>4</v>
      </c>
      <c r="M20" s="1190"/>
      <c r="N20" s="1190"/>
      <c r="O20" s="1190"/>
      <c r="P20" s="311"/>
      <c r="Q20" s="738"/>
      <c r="R20" s="739"/>
      <c r="S20" s="217"/>
    </row>
    <row r="21" spans="1:19" s="50" customFormat="1" ht="24.6" customHeight="1">
      <c r="A21" s="1191">
        <v>5</v>
      </c>
      <c r="B21" s="1192"/>
      <c r="C21" s="1192"/>
      <c r="D21" s="1192"/>
      <c r="E21" s="1193"/>
      <c r="F21" s="311"/>
      <c r="G21" s="1189">
        <v>5</v>
      </c>
      <c r="H21" s="1190"/>
      <c r="I21" s="1190"/>
      <c r="J21" s="1190"/>
      <c r="K21" s="311"/>
      <c r="L21" s="1189">
        <v>5</v>
      </c>
      <c r="M21" s="1190"/>
      <c r="N21" s="1190"/>
      <c r="O21" s="1190"/>
      <c r="P21" s="311"/>
      <c r="R21" s="217"/>
      <c r="S21" s="217"/>
    </row>
    <row r="22" spans="1:19" s="50" customFormat="1" ht="24.6" customHeight="1">
      <c r="A22" s="1191">
        <v>6</v>
      </c>
      <c r="B22" s="1192"/>
      <c r="C22" s="1192"/>
      <c r="D22" s="1192"/>
      <c r="E22" s="1193"/>
      <c r="F22" s="311"/>
      <c r="G22" s="1189">
        <v>6</v>
      </c>
      <c r="H22" s="1190"/>
      <c r="I22" s="1190"/>
      <c r="J22" s="1190"/>
      <c r="K22" s="311"/>
      <c r="L22" s="1189">
        <v>6</v>
      </c>
      <c r="M22" s="1190"/>
      <c r="N22" s="1190"/>
      <c r="O22" s="1190"/>
      <c r="P22" s="311"/>
      <c r="R22" s="217"/>
      <c r="S22" s="217"/>
    </row>
    <row r="23" spans="1:19" s="50" customFormat="1" ht="24.6" customHeight="1">
      <c r="A23" s="1191">
        <v>7</v>
      </c>
      <c r="B23" s="1192"/>
      <c r="C23" s="1192"/>
      <c r="D23" s="1192"/>
      <c r="E23" s="1193"/>
      <c r="F23" s="311"/>
      <c r="G23" s="1189">
        <v>7</v>
      </c>
      <c r="H23" s="1190"/>
      <c r="I23" s="1190"/>
      <c r="J23" s="1190"/>
      <c r="K23" s="311"/>
      <c r="L23" s="1189">
        <v>7</v>
      </c>
      <c r="M23" s="1190"/>
      <c r="N23" s="1190"/>
      <c r="O23" s="1190"/>
      <c r="P23" s="311"/>
      <c r="R23" s="217"/>
      <c r="S23" s="217"/>
    </row>
    <row r="24" spans="1:19" s="50" customFormat="1" ht="24.6" customHeight="1">
      <c r="A24" s="1191">
        <v>8</v>
      </c>
      <c r="B24" s="1192"/>
      <c r="C24" s="1192"/>
      <c r="D24" s="1192"/>
      <c r="E24" s="1193"/>
      <c r="F24" s="311"/>
      <c r="G24" s="1189">
        <v>8</v>
      </c>
      <c r="H24" s="1190"/>
      <c r="I24" s="1190"/>
      <c r="J24" s="1190"/>
      <c r="K24" s="311"/>
      <c r="L24" s="1189">
        <v>8</v>
      </c>
      <c r="M24" s="1190"/>
      <c r="N24" s="1190"/>
      <c r="O24" s="1190"/>
      <c r="P24" s="311"/>
      <c r="R24" s="217"/>
      <c r="S24" s="217"/>
    </row>
    <row r="25" spans="1:19" s="50" customFormat="1" ht="24.6" customHeight="1">
      <c r="A25" s="1191">
        <v>9</v>
      </c>
      <c r="B25" s="1192"/>
      <c r="C25" s="1192"/>
      <c r="D25" s="1192"/>
      <c r="E25" s="1193"/>
      <c r="F25" s="311"/>
      <c r="G25" s="1189">
        <v>9</v>
      </c>
      <c r="H25" s="1190"/>
      <c r="I25" s="1190"/>
      <c r="J25" s="1190"/>
      <c r="K25" s="311"/>
      <c r="L25" s="1189">
        <v>9</v>
      </c>
      <c r="M25" s="1190"/>
      <c r="N25" s="1190"/>
      <c r="O25" s="1190"/>
      <c r="P25" s="311"/>
      <c r="R25" s="217"/>
      <c r="S25" s="217"/>
    </row>
    <row r="26" spans="1:19" s="50" customFormat="1" ht="24.6" customHeight="1">
      <c r="A26" s="1191">
        <v>10</v>
      </c>
      <c r="B26" s="1192"/>
      <c r="C26" s="1192"/>
      <c r="D26" s="1192"/>
      <c r="E26" s="1193"/>
      <c r="F26" s="311"/>
      <c r="G26" s="1189">
        <v>10</v>
      </c>
      <c r="H26" s="1190"/>
      <c r="I26" s="1190"/>
      <c r="J26" s="1190"/>
      <c r="K26" s="311"/>
      <c r="L26" s="1189">
        <v>10</v>
      </c>
      <c r="M26" s="1190"/>
      <c r="N26" s="1190"/>
      <c r="O26" s="1190"/>
      <c r="P26" s="311"/>
      <c r="R26" s="217"/>
      <c r="S26" s="217"/>
    </row>
    <row r="27" spans="1:19" s="50" customFormat="1" ht="24.6" customHeight="1">
      <c r="A27" s="1191">
        <v>11</v>
      </c>
      <c r="B27" s="1192"/>
      <c r="C27" s="1192"/>
      <c r="D27" s="1192"/>
      <c r="E27" s="1193"/>
      <c r="F27" s="311"/>
      <c r="G27" s="1189">
        <v>11</v>
      </c>
      <c r="H27" s="1190"/>
      <c r="I27" s="1190"/>
      <c r="J27" s="1190"/>
      <c r="K27" s="311"/>
      <c r="L27" s="1189">
        <v>11</v>
      </c>
      <c r="M27" s="1190"/>
      <c r="N27" s="1190"/>
      <c r="O27" s="1190"/>
      <c r="P27" s="311"/>
      <c r="R27" s="217"/>
      <c r="S27" s="217"/>
    </row>
    <row r="28" spans="1:19" s="50" customFormat="1" ht="24.6" customHeight="1">
      <c r="A28" s="1198">
        <v>12</v>
      </c>
      <c r="B28" s="1199"/>
      <c r="C28" s="1199"/>
      <c r="D28" s="1199"/>
      <c r="E28" s="1200"/>
      <c r="F28" s="312"/>
      <c r="G28" s="1194">
        <v>12</v>
      </c>
      <c r="H28" s="1195"/>
      <c r="I28" s="1195"/>
      <c r="J28" s="1195"/>
      <c r="K28" s="312"/>
      <c r="L28" s="1194">
        <v>12</v>
      </c>
      <c r="M28" s="1195"/>
      <c r="N28" s="1195"/>
      <c r="O28" s="1195"/>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2314</v>
      </c>
      <c r="B30" s="153" t="s">
        <v>1061</v>
      </c>
      <c r="E30" s="70"/>
      <c r="G30" s="117"/>
      <c r="H30" s="63"/>
      <c r="K30" s="151"/>
      <c r="L30" s="561" t="str">
        <f>IF($O30&gt;$M30,"* * Check Score! * *","")</f>
        <v/>
      </c>
      <c r="M30" s="1">
        <v>4</v>
      </c>
      <c r="N30" s="8"/>
      <c r="O30" s="206">
        <f>IF($L$32 &gt;= $P$32,$M$32,IF($L$31&gt;=$P$31,$M$31,0))</f>
        <v>4</v>
      </c>
      <c r="P30" s="206">
        <f>IF($L$32 &gt;= $P$32,$M$32,IF($L$31&gt;=$P$31,$M$31,0))</f>
        <v>4</v>
      </c>
      <c r="Q30" s="149" t="s">
        <v>578</v>
      </c>
      <c r="R30" s="561" t="str">
        <f>IF(OR($O30=$M30,$O30=0,$O30=""),"","* * Check Score! * *")</f>
        <v/>
      </c>
    </row>
    <row r="31" spans="1:19" s="691" customFormat="1" ht="11.25" customHeight="1">
      <c r="A31" s="690" t="s">
        <v>2308</v>
      </c>
      <c r="B31" s="156" t="s">
        <v>3251</v>
      </c>
      <c r="E31" s="692"/>
      <c r="H31" s="663" t="s">
        <v>3799</v>
      </c>
      <c r="I31" s="1615">
        <v>14</v>
      </c>
      <c r="K31" s="663" t="s">
        <v>3801</v>
      </c>
      <c r="L31" s="694">
        <f>IF(OR('Part VI-Revenues &amp; Expenses'!$M$60="", 'Part VI-Revenues &amp; Expenses'!$M$60=0),0,I31/'Part VI-Revenues &amp; Expenses'!$M$60)</f>
        <v>0.2</v>
      </c>
      <c r="M31" s="1">
        <v>3</v>
      </c>
      <c r="N31" s="693"/>
      <c r="O31" s="1196" t="s">
        <v>4012</v>
      </c>
      <c r="P31" s="737">
        <v>0.15</v>
      </c>
    </row>
    <row r="32" spans="1:19" s="691" customFormat="1" ht="11.25" customHeight="1">
      <c r="A32" s="690" t="s">
        <v>2311</v>
      </c>
      <c r="B32" s="156" t="s">
        <v>3252</v>
      </c>
      <c r="E32" s="692"/>
      <c r="H32" s="663" t="s">
        <v>3253</v>
      </c>
      <c r="I32" s="1615">
        <v>70</v>
      </c>
      <c r="K32" s="663" t="s">
        <v>3801</v>
      </c>
      <c r="L32" s="694">
        <f>IF(OR('Part VI-Revenues &amp; Expenses'!$M$60="", 'Part VI-Revenues &amp; Expenses'!$M$60=0),0,I32/'Part VI-Revenues &amp; Expenses'!$M$60)</f>
        <v>1</v>
      </c>
      <c r="M32" s="1">
        <v>4</v>
      </c>
      <c r="N32" s="693"/>
      <c r="O32" s="1197"/>
      <c r="P32" s="737">
        <v>0.3</v>
      </c>
    </row>
    <row r="33" spans="1:18" s="51" customFormat="1" ht="11.25" customHeight="1">
      <c r="A33" s="50"/>
      <c r="B33" s="57" t="s">
        <v>238</v>
      </c>
      <c r="C33" s="50"/>
      <c r="D33" s="56"/>
      <c r="E33" s="56"/>
      <c r="F33" s="56"/>
      <c r="G33" s="56"/>
      <c r="H33" s="44"/>
      <c r="I33" s="44"/>
      <c r="J33" s="44"/>
      <c r="K33" s="44"/>
      <c r="M33" s="54"/>
      <c r="N33" s="75"/>
      <c r="O33" s="4"/>
      <c r="P33" s="852"/>
    </row>
    <row r="34" spans="1:18" s="51" customFormat="1" ht="12.6" customHeight="1">
      <c r="A34" s="1564" t="s">
        <v>4130</v>
      </c>
      <c r="B34" s="1565"/>
      <c r="C34" s="1565"/>
      <c r="D34" s="1565"/>
      <c r="E34" s="1565"/>
      <c r="F34" s="1565"/>
      <c r="G34" s="1565"/>
      <c r="H34" s="1565"/>
      <c r="I34" s="1565"/>
      <c r="J34" s="1565"/>
      <c r="K34" s="1565"/>
      <c r="L34" s="1565"/>
      <c r="M34" s="1565"/>
      <c r="N34" s="1565"/>
      <c r="O34" s="1565"/>
      <c r="P34" s="1566"/>
    </row>
    <row r="35" spans="1:18" s="51" customFormat="1" ht="11.45" customHeight="1">
      <c r="A35" s="50"/>
      <c r="B35" s="130" t="s">
        <v>349</v>
      </c>
      <c r="C35" s="50"/>
      <c r="D35" s="115"/>
      <c r="E35" s="853"/>
      <c r="F35" s="853"/>
      <c r="G35" s="853"/>
      <c r="H35" s="853"/>
      <c r="I35" s="853"/>
      <c r="J35" s="853"/>
      <c r="K35" s="853"/>
      <c r="L35" s="853"/>
      <c r="M35" s="853"/>
      <c r="N35" s="92"/>
      <c r="O35" s="87"/>
      <c r="P35" s="3"/>
    </row>
    <row r="36" spans="1:18" s="51" customFormat="1" ht="12.6" customHeight="1">
      <c r="A36" s="1107"/>
      <c r="B36" s="1108"/>
      <c r="C36" s="1108"/>
      <c r="D36" s="1108"/>
      <c r="E36" s="1108"/>
      <c r="F36" s="1108"/>
      <c r="G36" s="1108"/>
      <c r="H36" s="1108"/>
      <c r="I36" s="1108"/>
      <c r="J36" s="1108"/>
      <c r="K36" s="1108"/>
      <c r="L36" s="1108"/>
      <c r="M36" s="1108"/>
      <c r="N36" s="1108"/>
      <c r="O36" s="1108"/>
      <c r="P36" s="1109"/>
    </row>
    <row r="37" spans="1:18" ht="9.75" customHeight="1"/>
    <row r="38" spans="1:18" s="51" customFormat="1" ht="12.6" customHeight="1">
      <c r="A38" s="211" t="s">
        <v>3832</v>
      </c>
      <c r="B38" s="145" t="s">
        <v>2180</v>
      </c>
      <c r="D38" s="49"/>
      <c r="H38" s="246" t="s">
        <v>817</v>
      </c>
      <c r="I38" s="47"/>
      <c r="J38" s="56"/>
      <c r="K38" s="44"/>
      <c r="M38" s="3">
        <v>12</v>
      </c>
      <c r="N38" s="60"/>
      <c r="O38" s="206">
        <f>IF(OR($M$40-O$41&lt;0,O$40-O$41&lt;0),0,IF(O$40&lt;=$M$40,O$40-O$41,IF(O$40&gt;$M$40,$M$40-O$41,0)))</f>
        <v>12</v>
      </c>
      <c r="P38" s="206">
        <f>IF(OR($M$40-P$41&lt;0,P$40-P$41&lt;0),0,IF(P$40&lt;=$M$40,P$40-P$41,IF(P$40&gt;$M$40,$M$40-P$41,0)))</f>
        <v>0</v>
      </c>
      <c r="Q38" s="149" t="s">
        <v>578</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2308</v>
      </c>
      <c r="B40" s="238" t="s">
        <v>2181</v>
      </c>
      <c r="C40" s="5"/>
      <c r="D40" s="5"/>
      <c r="E40" s="246" t="s">
        <v>2183</v>
      </c>
      <c r="F40" s="455"/>
      <c r="G40" s="455"/>
      <c r="H40" s="455"/>
      <c r="I40" s="47"/>
      <c r="K40" s="56"/>
      <c r="M40" s="3">
        <v>12</v>
      </c>
      <c r="N40" s="252" t="s">
        <v>2308</v>
      </c>
      <c r="O40" s="1616">
        <v>12</v>
      </c>
      <c r="P40" s="86"/>
      <c r="R40" s="561"/>
    </row>
    <row r="41" spans="1:18" s="51" customFormat="1" ht="12.6" customHeight="1">
      <c r="A41" s="190" t="s">
        <v>2311</v>
      </c>
      <c r="B41" s="238" t="s">
        <v>2182</v>
      </c>
      <c r="D41" s="49"/>
      <c r="E41" s="246" t="s">
        <v>554</v>
      </c>
      <c r="F41" s="588"/>
      <c r="G41" s="588"/>
      <c r="H41" s="588"/>
      <c r="M41" s="181" t="s">
        <v>1335</v>
      </c>
      <c r="N41" s="60" t="s">
        <v>2311</v>
      </c>
      <c r="O41" s="1614"/>
      <c r="P41" s="86"/>
      <c r="Q41" s="149"/>
      <c r="R41" s="561"/>
    </row>
    <row r="42" spans="1:18" s="51" customFormat="1" ht="12" customHeight="1">
      <c r="A42" s="50"/>
      <c r="D42" s="49"/>
      <c r="E42" s="49"/>
      <c r="F42" s="49"/>
      <c r="G42" s="49"/>
      <c r="I42" s="47"/>
      <c r="K42" s="56"/>
    </row>
    <row r="43" spans="1:18" s="51" customFormat="1" ht="11.25" customHeight="1">
      <c r="A43" s="50"/>
      <c r="B43" s="57" t="s">
        <v>238</v>
      </c>
      <c r="C43" s="50"/>
      <c r="D43" s="56"/>
      <c r="E43" s="56"/>
      <c r="F43" s="56"/>
      <c r="G43" s="56"/>
      <c r="H43" s="44"/>
      <c r="I43" s="44"/>
      <c r="J43" s="44"/>
      <c r="K43" s="44"/>
      <c r="M43" s="54"/>
      <c r="N43" s="75"/>
      <c r="O43" s="4"/>
      <c r="P43" s="852"/>
    </row>
    <row r="44" spans="1:18" s="51" customFormat="1" ht="23.45" customHeight="1">
      <c r="A44" s="1564" t="s">
        <v>1374</v>
      </c>
      <c r="B44" s="1565"/>
      <c r="C44" s="1565"/>
      <c r="D44" s="1565"/>
      <c r="E44" s="1565"/>
      <c r="F44" s="1565"/>
      <c r="G44" s="1565"/>
      <c r="H44" s="1565"/>
      <c r="I44" s="1565"/>
      <c r="J44" s="1565"/>
      <c r="K44" s="1565"/>
      <c r="L44" s="1565"/>
      <c r="M44" s="1565"/>
      <c r="N44" s="1565"/>
      <c r="O44" s="1565"/>
      <c r="P44" s="1566"/>
      <c r="Q44" s="738" t="s">
        <v>3276</v>
      </c>
      <c r="R44" s="739"/>
    </row>
    <row r="45" spans="1:18" s="51" customFormat="1" ht="11.45" customHeight="1">
      <c r="A45" s="50"/>
      <c r="B45" s="81" t="s">
        <v>349</v>
      </c>
      <c r="C45" s="50"/>
      <c r="D45" s="188"/>
      <c r="E45" s="853"/>
      <c r="F45" s="853"/>
      <c r="G45" s="853"/>
      <c r="H45" s="853"/>
      <c r="I45" s="853"/>
      <c r="J45" s="853"/>
      <c r="K45" s="853"/>
      <c r="L45" s="853"/>
      <c r="M45" s="853"/>
      <c r="N45" s="92"/>
      <c r="O45" s="87"/>
      <c r="P45" s="3"/>
      <c r="Q45" s="691"/>
      <c r="R45" s="691"/>
    </row>
    <row r="46" spans="1:18" s="51" customFormat="1" ht="23.45" customHeight="1">
      <c r="A46" s="1107"/>
      <c r="B46" s="1108"/>
      <c r="C46" s="1108"/>
      <c r="D46" s="1108"/>
      <c r="E46" s="1108"/>
      <c r="F46" s="1108"/>
      <c r="G46" s="1108"/>
      <c r="H46" s="1108"/>
      <c r="I46" s="1108"/>
      <c r="J46" s="1108"/>
      <c r="K46" s="1108"/>
      <c r="L46" s="1108"/>
      <c r="M46" s="1108"/>
      <c r="N46" s="1108"/>
      <c r="O46" s="1108"/>
      <c r="P46" s="1109"/>
      <c r="Q46" s="738" t="s">
        <v>3276</v>
      </c>
      <c r="R46" s="739"/>
    </row>
    <row r="47" spans="1:18" ht="3.6" customHeight="1">
      <c r="M47" s="40"/>
      <c r="N47" s="158"/>
      <c r="O47" s="207"/>
      <c r="P47" s="207"/>
    </row>
    <row r="48" spans="1:18" ht="3" customHeight="1"/>
    <row r="49" spans="1:18" s="51" customFormat="1" ht="12.6" customHeight="1">
      <c r="A49" s="211" t="s">
        <v>1320</v>
      </c>
      <c r="B49" s="145" t="s">
        <v>3335</v>
      </c>
      <c r="D49" s="49"/>
      <c r="H49" s="53" t="s">
        <v>3802</v>
      </c>
      <c r="I49" s="57" t="s">
        <v>2189</v>
      </c>
      <c r="J49" s="56"/>
      <c r="K49" s="56"/>
      <c r="M49" s="3">
        <v>3</v>
      </c>
      <c r="N49" s="60"/>
      <c r="O49" s="206">
        <f>MIN($M49,(O50+O51+O52))</f>
        <v>1</v>
      </c>
      <c r="P49" s="206">
        <f>MIN($M49,(P50+P51+P52))</f>
        <v>0</v>
      </c>
      <c r="Q49" s="149" t="s">
        <v>578</v>
      </c>
    </row>
    <row r="50" spans="1:18" s="51" customFormat="1" ht="12" customHeight="1">
      <c r="A50" s="190" t="s">
        <v>2308</v>
      </c>
      <c r="B50" s="238" t="s">
        <v>3907</v>
      </c>
      <c r="C50" s="5"/>
      <c r="D50" s="5"/>
      <c r="E50" s="44"/>
      <c r="F50" s="5"/>
      <c r="G50" s="47"/>
      <c r="I50" s="47"/>
      <c r="K50" s="56"/>
      <c r="L50" s="561" t="str">
        <f>IF(OR($O50=$M50,$O50=0,$O50=""),"","* * Check Score! * *")</f>
        <v/>
      </c>
      <c r="M50" s="3">
        <v>3</v>
      </c>
      <c r="N50" s="252" t="s">
        <v>2308</v>
      </c>
      <c r="O50" s="1616"/>
      <c r="P50" s="86"/>
      <c r="R50" s="561"/>
    </row>
    <row r="51" spans="1:18" s="51" customFormat="1" ht="12.6" customHeight="1">
      <c r="A51" s="190" t="s">
        <v>2311</v>
      </c>
      <c r="B51" s="238" t="s">
        <v>3908</v>
      </c>
      <c r="E51" s="49"/>
      <c r="K51" s="56"/>
      <c r="L51" s="561" t="str">
        <f>IF(OR($O51=$M51,$O51=0,$O51=""),"","* * Check Score! * *")</f>
        <v/>
      </c>
      <c r="M51" s="3">
        <v>2</v>
      </c>
      <c r="N51" s="60" t="s">
        <v>2311</v>
      </c>
      <c r="O51" s="1616"/>
      <c r="P51" s="86"/>
      <c r="R51" s="561"/>
    </row>
    <row r="52" spans="1:18" s="51" customFormat="1" ht="12.6" customHeight="1">
      <c r="A52" s="190" t="s">
        <v>2783</v>
      </c>
      <c r="B52" s="238" t="s">
        <v>3338</v>
      </c>
      <c r="E52" s="49"/>
      <c r="K52" s="56"/>
      <c r="L52" s="561" t="str">
        <f>IF(OR($O52=$M52,$O52=0,$O52=""),"","* * Check Score! * *")</f>
        <v/>
      </c>
      <c r="M52" s="3">
        <v>1</v>
      </c>
      <c r="N52" s="252" t="s">
        <v>2783</v>
      </c>
      <c r="O52" s="1616">
        <v>1</v>
      </c>
      <c r="P52" s="86"/>
      <c r="R52" s="561"/>
    </row>
    <row r="53" spans="1:18" s="135" customFormat="1" ht="11.45" customHeight="1">
      <c r="A53" s="50"/>
      <c r="B53" s="57" t="s">
        <v>238</v>
      </c>
      <c r="C53" s="50"/>
      <c r="D53" s="56"/>
      <c r="E53" s="56"/>
      <c r="F53" s="56"/>
      <c r="G53" s="56"/>
      <c r="H53" s="44"/>
      <c r="I53" s="44"/>
      <c r="J53" s="44"/>
      <c r="K53" s="44"/>
      <c r="M53" s="54"/>
      <c r="N53" s="7"/>
      <c r="O53" s="4"/>
      <c r="P53" s="3"/>
    </row>
    <row r="54" spans="1:18" s="51" customFormat="1" ht="23.45" customHeight="1">
      <c r="A54" s="1564" t="s">
        <v>4131</v>
      </c>
      <c r="B54" s="1565"/>
      <c r="C54" s="1565"/>
      <c r="D54" s="1565"/>
      <c r="E54" s="1565"/>
      <c r="F54" s="1565"/>
      <c r="G54" s="1565"/>
      <c r="H54" s="1565"/>
      <c r="I54" s="1565"/>
      <c r="J54" s="1565"/>
      <c r="K54" s="1565"/>
      <c r="L54" s="1565"/>
      <c r="M54" s="1565"/>
      <c r="N54" s="1565"/>
      <c r="O54" s="1565"/>
      <c r="P54" s="1566"/>
    </row>
    <row r="55" spans="1:18" s="135" customFormat="1" ht="11.45" customHeight="1">
      <c r="A55" s="50"/>
      <c r="B55" s="130" t="s">
        <v>349</v>
      </c>
      <c r="C55" s="50"/>
      <c r="D55" s="130"/>
      <c r="E55" s="851"/>
      <c r="F55" s="851"/>
      <c r="G55" s="851"/>
      <c r="H55" s="851"/>
      <c r="I55" s="851"/>
      <c r="J55" s="851"/>
      <c r="K55" s="851"/>
      <c r="L55" s="851"/>
      <c r="M55" s="851"/>
      <c r="N55" s="125"/>
      <c r="O55" s="259"/>
      <c r="P55" s="3"/>
    </row>
    <row r="56" spans="1:18" s="51" customFormat="1" ht="23.45" customHeight="1">
      <c r="A56" s="1107"/>
      <c r="B56" s="1108"/>
      <c r="C56" s="1108"/>
      <c r="D56" s="1108"/>
      <c r="E56" s="1108"/>
      <c r="F56" s="1108"/>
      <c r="G56" s="1108"/>
      <c r="H56" s="1108"/>
      <c r="I56" s="1108"/>
      <c r="J56" s="1108"/>
      <c r="K56" s="1108"/>
      <c r="L56" s="1108"/>
      <c r="M56" s="1108"/>
      <c r="N56" s="1108"/>
      <c r="O56" s="1108"/>
      <c r="P56" s="1109"/>
    </row>
    <row r="57" spans="1:18" s="51" customFormat="1" ht="3" customHeight="1">
      <c r="A57" s="253"/>
      <c r="B57" s="59"/>
      <c r="G57" s="49"/>
      <c r="J57" s="56"/>
      <c r="K57" s="56"/>
      <c r="M57" s="135"/>
      <c r="N57" s="59"/>
      <c r="O57" s="135"/>
      <c r="P57" s="135"/>
    </row>
    <row r="58" spans="1:18" s="51" customFormat="1" ht="12.6" customHeight="1">
      <c r="A58" s="211" t="s">
        <v>1321</v>
      </c>
      <c r="B58" s="145" t="s">
        <v>3336</v>
      </c>
      <c r="D58" s="49"/>
      <c r="E58" s="589" t="s">
        <v>3759</v>
      </c>
      <c r="I58" s="57" t="s">
        <v>2189</v>
      </c>
      <c r="M58" s="3">
        <v>1</v>
      </c>
      <c r="N58" s="604" t="str">
        <f>IF(OR($O58=$M58,$O58=0,$O58=""),"","***")</f>
        <v/>
      </c>
      <c r="O58" s="1616">
        <v>1</v>
      </c>
      <c r="P58" s="86"/>
      <c r="Q58" s="149" t="s">
        <v>578</v>
      </c>
    </row>
    <row r="59" spans="1:18" s="51" customFormat="1" ht="12.6" customHeight="1">
      <c r="A59" s="211"/>
      <c r="B59" s="589" t="s">
        <v>2758</v>
      </c>
      <c r="D59" s="49"/>
      <c r="H59" s="57"/>
      <c r="I59" s="57"/>
      <c r="J59" s="57"/>
      <c r="K59" s="57"/>
      <c r="L59" s="57"/>
      <c r="M59" s="3"/>
      <c r="N59" s="604"/>
      <c r="O59" s="1560" t="s">
        <v>4060</v>
      </c>
      <c r="P59" s="234"/>
      <c r="Q59" s="149"/>
    </row>
    <row r="60" spans="1:18" s="51" customFormat="1" ht="12.6" customHeight="1">
      <c r="A60" s="211"/>
      <c r="B60" s="589" t="s">
        <v>2757</v>
      </c>
      <c r="D60" s="49"/>
      <c r="H60" s="57"/>
      <c r="I60" s="1617" t="s">
        <v>1375</v>
      </c>
      <c r="J60" s="1618"/>
      <c r="K60" s="1618"/>
      <c r="L60" s="1619"/>
      <c r="M60" s="3"/>
      <c r="N60" s="604"/>
      <c r="O60" s="604"/>
      <c r="P60" s="604"/>
      <c r="Q60" s="149"/>
    </row>
    <row r="61" spans="1:18" s="51" customFormat="1" ht="12.6" customHeight="1">
      <c r="A61" s="211"/>
      <c r="B61" s="589" t="s">
        <v>2759</v>
      </c>
      <c r="D61" s="49"/>
      <c r="H61" s="57"/>
      <c r="I61" s="57"/>
      <c r="J61" s="57"/>
      <c r="K61" s="57"/>
      <c r="L61" s="57"/>
      <c r="M61" s="3"/>
      <c r="N61" s="604"/>
      <c r="O61" s="1560" t="s">
        <v>4061</v>
      </c>
      <c r="P61" s="234"/>
      <c r="Q61" s="149"/>
    </row>
    <row r="62" spans="1:18" s="135" customFormat="1" ht="11.45" customHeight="1">
      <c r="A62" s="50"/>
      <c r="B62" s="57" t="s">
        <v>238</v>
      </c>
      <c r="C62" s="50"/>
      <c r="D62" s="56"/>
      <c r="E62" s="56"/>
      <c r="F62" s="56"/>
      <c r="G62" s="56"/>
      <c r="I62" s="44"/>
      <c r="J62" s="44"/>
      <c r="K62" s="44"/>
      <c r="M62" s="54"/>
      <c r="N62" s="7"/>
      <c r="O62" s="4"/>
      <c r="P62" s="3"/>
    </row>
    <row r="63" spans="1:18" s="51" customFormat="1" ht="12.75" customHeight="1">
      <c r="A63" s="1564" t="s">
        <v>1376</v>
      </c>
      <c r="B63" s="1565"/>
      <c r="C63" s="1565"/>
      <c r="D63" s="1565"/>
      <c r="E63" s="1565"/>
      <c r="F63" s="1565"/>
      <c r="G63" s="1565"/>
      <c r="H63" s="1565"/>
      <c r="I63" s="1565"/>
      <c r="J63" s="1565"/>
      <c r="K63" s="1565"/>
      <c r="L63" s="1565"/>
      <c r="M63" s="1565"/>
      <c r="N63" s="1565"/>
      <c r="O63" s="1565"/>
      <c r="P63" s="1566"/>
      <c r="Q63" s="738" t="s">
        <v>3276</v>
      </c>
    </row>
    <row r="64" spans="1:18" s="135" customFormat="1" ht="11.45" customHeight="1">
      <c r="A64" s="50"/>
      <c r="B64" s="130" t="s">
        <v>349</v>
      </c>
      <c r="C64" s="50"/>
      <c r="D64" s="130"/>
      <c r="E64" s="851"/>
      <c r="F64" s="851"/>
      <c r="G64" s="851"/>
      <c r="H64" s="851"/>
      <c r="I64" s="851"/>
      <c r="J64" s="851"/>
      <c r="K64" s="851"/>
      <c r="L64" s="851"/>
      <c r="M64" s="851"/>
      <c r="N64" s="125"/>
      <c r="O64" s="259"/>
      <c r="P64" s="3"/>
      <c r="Q64" s="691"/>
    </row>
    <row r="65" spans="1:18" s="51" customFormat="1" ht="12.75" customHeight="1">
      <c r="A65" s="1107"/>
      <c r="B65" s="1108"/>
      <c r="C65" s="1108"/>
      <c r="D65" s="1108"/>
      <c r="E65" s="1108"/>
      <c r="F65" s="1108"/>
      <c r="G65" s="1108"/>
      <c r="H65" s="1108"/>
      <c r="I65" s="1108"/>
      <c r="J65" s="1108"/>
      <c r="K65" s="1108"/>
      <c r="L65" s="1108"/>
      <c r="M65" s="1108"/>
      <c r="N65" s="1108"/>
      <c r="O65" s="1108"/>
      <c r="P65" s="1109"/>
      <c r="Q65" s="738" t="s">
        <v>3276</v>
      </c>
    </row>
    <row r="66" spans="1:18" s="51" customFormat="1" ht="9" customHeight="1">
      <c r="A66" s="253"/>
      <c r="B66" s="59"/>
      <c r="G66" s="49"/>
      <c r="J66" s="56"/>
      <c r="K66" s="56"/>
      <c r="M66" s="135"/>
      <c r="N66" s="59"/>
      <c r="O66" s="135"/>
      <c r="P66" s="135"/>
    </row>
    <row r="67" spans="1:18" s="51" customFormat="1" ht="12.6" customHeight="1">
      <c r="A67" s="211" t="s">
        <v>2191</v>
      </c>
      <c r="B67" s="145" t="s">
        <v>3337</v>
      </c>
      <c r="D67" s="49"/>
      <c r="E67" s="44" t="s">
        <v>1459</v>
      </c>
      <c r="I67" s="57" t="s">
        <v>2189</v>
      </c>
      <c r="M67" s="3">
        <v>2</v>
      </c>
      <c r="N67" s="604" t="str">
        <f>IF(OR($O67=$M67,$O67=0,$O67=""),"","***")</f>
        <v/>
      </c>
      <c r="O67" s="1616"/>
      <c r="P67" s="86"/>
      <c r="Q67" s="149" t="s">
        <v>578</v>
      </c>
    </row>
    <row r="68" spans="1:18" s="51" customFormat="1" ht="12.6" customHeight="1">
      <c r="A68" s="211"/>
      <c r="B68" s="589" t="s">
        <v>3254</v>
      </c>
      <c r="D68" s="49"/>
      <c r="E68" s="44"/>
      <c r="I68" s="1617"/>
      <c r="J68" s="1618"/>
      <c r="K68" s="1618"/>
      <c r="L68" s="1619"/>
      <c r="M68" s="3"/>
      <c r="N68" s="60"/>
      <c r="O68" s="60"/>
      <c r="P68" s="60"/>
      <c r="Q68" s="149"/>
    </row>
    <row r="69" spans="1:18" s="135" customFormat="1" ht="11.45" customHeight="1">
      <c r="A69" s="50"/>
      <c r="B69" s="57" t="s">
        <v>238</v>
      </c>
      <c r="C69" s="50"/>
      <c r="D69" s="56"/>
      <c r="E69" s="56"/>
      <c r="F69" s="56"/>
      <c r="G69" s="56"/>
      <c r="I69" s="44"/>
      <c r="J69" s="44"/>
      <c r="K69" s="44"/>
      <c r="M69" s="54"/>
      <c r="N69" s="7"/>
      <c r="O69" s="4"/>
      <c r="P69" s="3"/>
    </row>
    <row r="70" spans="1:18" s="51" customFormat="1" ht="12.75" customHeight="1">
      <c r="A70" s="1564"/>
      <c r="B70" s="1565"/>
      <c r="C70" s="1565"/>
      <c r="D70" s="1565"/>
      <c r="E70" s="1565"/>
      <c r="F70" s="1565"/>
      <c r="G70" s="1565"/>
      <c r="H70" s="1565"/>
      <c r="I70" s="1565"/>
      <c r="J70" s="1565"/>
      <c r="K70" s="1565"/>
      <c r="L70" s="1565"/>
      <c r="M70" s="1565"/>
      <c r="N70" s="1565"/>
      <c r="O70" s="1565"/>
      <c r="P70" s="1566"/>
    </row>
    <row r="71" spans="1:18" s="135" customFormat="1" ht="11.45" customHeight="1">
      <c r="A71" s="50"/>
      <c r="B71" s="130" t="s">
        <v>349</v>
      </c>
      <c r="C71" s="50"/>
      <c r="D71" s="130"/>
      <c r="E71" s="851"/>
      <c r="F71" s="851"/>
      <c r="G71" s="851"/>
      <c r="H71" s="851"/>
      <c r="I71" s="851"/>
      <c r="J71" s="851"/>
      <c r="K71" s="851"/>
      <c r="L71" s="851"/>
      <c r="M71" s="851"/>
      <c r="N71" s="125"/>
      <c r="O71" s="259"/>
      <c r="P71" s="3"/>
    </row>
    <row r="72" spans="1:18" s="51" customFormat="1" ht="12.75" customHeight="1">
      <c r="A72" s="1107"/>
      <c r="B72" s="1108"/>
      <c r="C72" s="1108"/>
      <c r="D72" s="1108"/>
      <c r="E72" s="1108"/>
      <c r="F72" s="1108"/>
      <c r="G72" s="1108"/>
      <c r="H72" s="1108"/>
      <c r="I72" s="1108"/>
      <c r="J72" s="1108"/>
      <c r="K72" s="1108"/>
      <c r="L72" s="1108"/>
      <c r="M72" s="1108"/>
      <c r="N72" s="1108"/>
      <c r="O72" s="1108"/>
      <c r="P72" s="1109"/>
    </row>
    <row r="73" spans="1:18" ht="9" customHeight="1">
      <c r="B73" s="161"/>
      <c r="C73" s="161"/>
      <c r="D73" s="161"/>
      <c r="E73" s="161"/>
      <c r="R73" s="51"/>
    </row>
    <row r="74" spans="1:18" s="51" customFormat="1" ht="12.6" customHeight="1">
      <c r="A74" s="211" t="s">
        <v>663</v>
      </c>
      <c r="B74" s="146" t="s">
        <v>2057</v>
      </c>
      <c r="D74" s="47"/>
      <c r="E74" s="44"/>
      <c r="I74" s="735" t="s">
        <v>3602</v>
      </c>
      <c r="J74" s="1620" t="s">
        <v>490</v>
      </c>
      <c r="K74" s="1621"/>
      <c r="L74" s="1622"/>
      <c r="M74" s="3">
        <v>3</v>
      </c>
      <c r="N74" s="604"/>
      <c r="O74" s="94">
        <f>IF(OR(J74="Earth Craft Communities",J74="LEED-ND"),$M$75,IF(OR(J74="Earth Craft House Multifamily",J74="Earth Craft House Single Family",J74="Earth Craft House Renovation",J74="LEED for Homes",J74="EF Green Communities"),$M$83,0))</f>
        <v>2</v>
      </c>
      <c r="P74" s="86"/>
      <c r="Q74" s="149" t="s">
        <v>578</v>
      </c>
    </row>
    <row r="75" spans="1:18" ht="11.45" customHeight="1">
      <c r="A75" s="190" t="s">
        <v>2308</v>
      </c>
      <c r="B75" s="256" t="s">
        <v>3074</v>
      </c>
      <c r="D75" s="40"/>
      <c r="H75" s="74"/>
      <c r="I75" s="40"/>
      <c r="J75" s="40"/>
      <c r="M75" s="158">
        <v>3</v>
      </c>
      <c r="N75" s="31"/>
      <c r="O75" s="163" t="s">
        <v>3189</v>
      </c>
      <c r="P75" s="163" t="s">
        <v>3189</v>
      </c>
    </row>
    <row r="76" spans="1:18" s="51" customFormat="1" ht="12.6" customHeight="1">
      <c r="A76" s="211"/>
      <c r="B76" s="696" t="s">
        <v>4029</v>
      </c>
      <c r="D76" s="49"/>
      <c r="M76" s="3"/>
      <c r="N76" s="252" t="s">
        <v>2308</v>
      </c>
      <c r="O76" s="1560" t="s">
        <v>4061</v>
      </c>
      <c r="P76" s="234"/>
      <c r="Q76" s="149"/>
    </row>
    <row r="77" spans="1:18" ht="11.45" customHeight="1">
      <c r="A77" s="553" t="str">
        <f>IF($I$90="Stable Communities &lt; 10%", "X","")</f>
        <v/>
      </c>
      <c r="B77" s="554" t="s">
        <v>2312</v>
      </c>
      <c r="C77" s="571" t="s">
        <v>3255</v>
      </c>
      <c r="E77" s="161"/>
      <c r="N77" s="31"/>
      <c r="O77" s="31"/>
      <c r="P77" s="31"/>
    </row>
    <row r="78" spans="1:18" ht="23.25" customHeight="1">
      <c r="B78" s="578" t="s">
        <v>2930</v>
      </c>
      <c r="C78" s="1181" t="s">
        <v>3898</v>
      </c>
      <c r="D78" s="1181"/>
      <c r="E78" s="1181"/>
      <c r="F78" s="1181"/>
      <c r="G78" s="1181"/>
      <c r="H78" s="1181"/>
      <c r="I78" s="1181"/>
      <c r="J78" s="1181"/>
      <c r="K78" s="1181"/>
      <c r="L78" s="1181"/>
      <c r="M78" s="575" t="str">
        <f>IF(AND($I$90="Stable Communities &lt; 10%",O78=""), "X","")</f>
        <v/>
      </c>
      <c r="N78" s="577" t="s">
        <v>3902</v>
      </c>
      <c r="O78" s="1623" t="s">
        <v>3465</v>
      </c>
      <c r="P78" s="357"/>
    </row>
    <row r="79" spans="1:18" ht="23.25" customHeight="1">
      <c r="B79" s="578" t="s">
        <v>2931</v>
      </c>
      <c r="C79" s="1110" t="s">
        <v>3900</v>
      </c>
      <c r="D79" s="1110"/>
      <c r="E79" s="1110"/>
      <c r="F79" s="1110"/>
      <c r="G79" s="1110"/>
      <c r="H79" s="1110"/>
      <c r="I79" s="1110"/>
      <c r="J79" s="1110"/>
      <c r="K79" s="1110"/>
      <c r="L79" s="1110"/>
      <c r="M79" s="575" t="str">
        <f>IF(AND($I$90="Stable Communities &lt; 10%",O79=""), "X","")</f>
        <v/>
      </c>
      <c r="N79" s="577" t="s">
        <v>3903</v>
      </c>
      <c r="O79" s="1624" t="s">
        <v>3465</v>
      </c>
      <c r="P79" s="358"/>
    </row>
    <row r="80" spans="1:18" ht="11.45" customHeight="1">
      <c r="A80" s="553" t="str">
        <f>IF($I$90="Stable Communities &lt; 20%", "X","")</f>
        <v/>
      </c>
      <c r="B80" s="554" t="s">
        <v>2314</v>
      </c>
      <c r="C80" s="571" t="s">
        <v>3256</v>
      </c>
      <c r="E80" s="161"/>
      <c r="M80" s="576"/>
      <c r="N80" s="31"/>
      <c r="O80" s="163" t="s">
        <v>3189</v>
      </c>
      <c r="P80" s="163" t="s">
        <v>3189</v>
      </c>
    </row>
    <row r="81" spans="1:18" ht="23.25" customHeight="1">
      <c r="B81" s="578" t="s">
        <v>2930</v>
      </c>
      <c r="C81" s="1181" t="s">
        <v>3899</v>
      </c>
      <c r="D81" s="1181"/>
      <c r="E81" s="1181"/>
      <c r="F81" s="1181"/>
      <c r="G81" s="1181"/>
      <c r="H81" s="1181"/>
      <c r="I81" s="1181"/>
      <c r="J81" s="1181"/>
      <c r="K81" s="1181"/>
      <c r="L81" s="1181"/>
      <c r="M81" s="575" t="str">
        <f>IF(AND($I$90="Stable Communities &lt; 10%",O81=""), "X","")</f>
        <v/>
      </c>
      <c r="N81" s="695" t="s">
        <v>3904</v>
      </c>
      <c r="O81" s="1623" t="s">
        <v>4061</v>
      </c>
      <c r="P81" s="357"/>
    </row>
    <row r="82" spans="1:18">
      <c r="B82" s="578" t="s">
        <v>2931</v>
      </c>
      <c r="C82" s="1110" t="s">
        <v>3901</v>
      </c>
      <c r="D82" s="1110"/>
      <c r="E82" s="1110"/>
      <c r="F82" s="1110"/>
      <c r="G82" s="1110"/>
      <c r="H82" s="1110"/>
      <c r="I82" s="1110"/>
      <c r="J82" s="1110"/>
      <c r="K82" s="1110"/>
      <c r="L82" s="1110"/>
      <c r="M82" s="575" t="str">
        <f>IF(AND($I$90="Stable Communities &lt; 10%",O82=""), "X","")</f>
        <v/>
      </c>
      <c r="N82" s="695" t="s">
        <v>3905</v>
      </c>
      <c r="O82" s="1624" t="s">
        <v>4061</v>
      </c>
      <c r="P82" s="358"/>
    </row>
    <row r="83" spans="1:18" ht="11.45" customHeight="1">
      <c r="A83" s="190" t="s">
        <v>2311</v>
      </c>
      <c r="B83" s="256" t="s">
        <v>408</v>
      </c>
      <c r="D83" s="40"/>
      <c r="E83" s="40"/>
      <c r="F83" s="40"/>
      <c r="M83" s="68">
        <v>2</v>
      </c>
      <c r="N83" s="31"/>
      <c r="O83" s="163" t="s">
        <v>3189</v>
      </c>
      <c r="P83" s="163" t="s">
        <v>3189</v>
      </c>
    </row>
    <row r="84" spans="1:18" s="51" customFormat="1" ht="12.6" customHeight="1">
      <c r="A84" s="211"/>
      <c r="B84" s="696" t="s">
        <v>3906</v>
      </c>
      <c r="D84" s="49"/>
      <c r="M84" s="3"/>
      <c r="N84" s="60" t="s">
        <v>2311</v>
      </c>
      <c r="O84" s="1560" t="s">
        <v>4060</v>
      </c>
      <c r="P84" s="234"/>
      <c r="Q84" s="149"/>
    </row>
    <row r="85" spans="1:18" s="135" customFormat="1" ht="11.45" customHeight="1">
      <c r="A85" s="50"/>
      <c r="B85" s="57" t="s">
        <v>238</v>
      </c>
      <c r="C85" s="50"/>
      <c r="D85" s="56"/>
      <c r="E85" s="56"/>
      <c r="F85" s="56"/>
      <c r="G85" s="56"/>
      <c r="K85" s="44"/>
      <c r="M85" s="54"/>
      <c r="N85" s="7"/>
      <c r="O85" s="4"/>
      <c r="P85" s="3"/>
    </row>
    <row r="86" spans="1:18" s="51" customFormat="1" ht="12.75" customHeight="1">
      <c r="A86" s="1625" t="s">
        <v>4113</v>
      </c>
      <c r="B86" s="1626"/>
      <c r="C86" s="1626"/>
      <c r="D86" s="1626"/>
      <c r="E86" s="1626"/>
      <c r="F86" s="1626"/>
      <c r="G86" s="1626"/>
      <c r="H86" s="1626"/>
      <c r="I86" s="1626"/>
      <c r="J86" s="1626"/>
      <c r="K86" s="1626"/>
      <c r="L86" s="1626"/>
      <c r="M86" s="1626"/>
      <c r="N86" s="1626"/>
      <c r="O86" s="1626"/>
      <c r="P86" s="1627"/>
      <c r="Q86" s="738" t="s">
        <v>3276</v>
      </c>
    </row>
    <row r="87" spans="1:18" s="51" customFormat="1" ht="11.25" customHeight="1">
      <c r="A87" s="50"/>
      <c r="B87" s="130" t="s">
        <v>349</v>
      </c>
      <c r="C87" s="50"/>
      <c r="D87" s="115"/>
      <c r="E87" s="853"/>
      <c r="F87" s="853"/>
      <c r="G87" s="853"/>
      <c r="H87" s="853"/>
      <c r="I87" s="853"/>
      <c r="J87" s="853"/>
      <c r="K87" s="853"/>
      <c r="L87" s="853"/>
      <c r="M87" s="853"/>
      <c r="N87" s="92"/>
      <c r="O87" s="87"/>
      <c r="P87" s="3"/>
      <c r="Q87" s="691"/>
    </row>
    <row r="88" spans="1:18" s="51" customFormat="1" ht="12.75" customHeight="1">
      <c r="A88" s="1185"/>
      <c r="B88" s="1186"/>
      <c r="C88" s="1186"/>
      <c r="D88" s="1186"/>
      <c r="E88" s="1186"/>
      <c r="F88" s="1186"/>
      <c r="G88" s="1186"/>
      <c r="H88" s="1186"/>
      <c r="I88" s="1186"/>
      <c r="J88" s="1186"/>
      <c r="K88" s="1186"/>
      <c r="L88" s="1186"/>
      <c r="M88" s="1186"/>
      <c r="N88" s="1186"/>
      <c r="O88" s="1186"/>
      <c r="P88" s="1187"/>
      <c r="Q88" s="738" t="s">
        <v>3276</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664</v>
      </c>
      <c r="B90" s="146" t="s">
        <v>2894</v>
      </c>
      <c r="C90" s="124"/>
      <c r="D90" s="72"/>
      <c r="E90" s="72"/>
      <c r="I90" s="1280" t="s">
        <v>489</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1</v>
      </c>
      <c r="P90" s="86"/>
      <c r="Q90" s="149" t="s">
        <v>578</v>
      </c>
      <c r="R90" s="51"/>
    </row>
    <row r="91" spans="1:18" ht="12" customHeight="1">
      <c r="A91" s="1182" t="s">
        <v>475</v>
      </c>
      <c r="B91" s="1182"/>
      <c r="C91" s="1182"/>
      <c r="D91" s="1182"/>
      <c r="E91" s="1182"/>
      <c r="F91" s="1182"/>
      <c r="G91" s="1182"/>
      <c r="H91" s="1182"/>
      <c r="I91" s="1182"/>
      <c r="J91" s="1182"/>
      <c r="K91" s="1182"/>
      <c r="L91" s="1182"/>
      <c r="M91" s="1182"/>
      <c r="N91" s="1182"/>
      <c r="O91" s="1182"/>
      <c r="P91" s="1182"/>
    </row>
    <row r="92" spans="1:18" ht="11.45" customHeight="1">
      <c r="A92" s="190" t="s">
        <v>2308</v>
      </c>
      <c r="B92" s="256" t="s">
        <v>3188</v>
      </c>
      <c r="D92" s="40"/>
      <c r="H92" s="74"/>
      <c r="I92" s="40"/>
      <c r="J92" s="40"/>
      <c r="M92" s="158"/>
      <c r="N92" s="31"/>
      <c r="O92" s="31"/>
      <c r="P92" s="31"/>
    </row>
    <row r="93" spans="1:18" ht="11.45" customHeight="1">
      <c r="A93" s="553" t="str">
        <f>IF($I$90="Stable Communities &lt; 10%", "X","")</f>
        <v/>
      </c>
      <c r="B93" s="554" t="s">
        <v>2312</v>
      </c>
      <c r="C93" s="724" t="s">
        <v>3872</v>
      </c>
      <c r="E93" s="161"/>
      <c r="M93" s="109">
        <v>4</v>
      </c>
      <c r="N93" s="31"/>
      <c r="O93" s="163" t="s">
        <v>3189</v>
      </c>
      <c r="P93" s="163" t="s">
        <v>3189</v>
      </c>
    </row>
    <row r="94" spans="1:18" ht="11.45" customHeight="1">
      <c r="B94" s="233" t="s">
        <v>2930</v>
      </c>
      <c r="C94" s="724" t="s">
        <v>2876</v>
      </c>
      <c r="E94" s="161"/>
      <c r="G94" s="133" t="s">
        <v>2877</v>
      </c>
      <c r="M94" s="697" t="str">
        <f>IF(AND($I$90="Stable Communities &lt; 10%",O94=""), "X","")</f>
        <v/>
      </c>
      <c r="N94" s="233" t="s">
        <v>2930</v>
      </c>
      <c r="O94" s="1623" t="s">
        <v>4061</v>
      </c>
      <c r="P94" s="357"/>
    </row>
    <row r="95" spans="1:18" ht="11.45" customHeight="1">
      <c r="B95" s="233" t="s">
        <v>2931</v>
      </c>
      <c r="C95" s="668" t="s">
        <v>2878</v>
      </c>
      <c r="E95" s="161"/>
      <c r="G95" s="133" t="s">
        <v>2879</v>
      </c>
      <c r="M95" s="697" t="str">
        <f>IF(AND($I$90="Stable Communities &lt; 10%",O95=""), "X","")</f>
        <v/>
      </c>
      <c r="N95" s="233" t="s">
        <v>2931</v>
      </c>
      <c r="O95" s="1628" t="s">
        <v>4061</v>
      </c>
      <c r="P95" s="544"/>
    </row>
    <row r="96" spans="1:18" ht="11.45" customHeight="1">
      <c r="B96" s="233" t="s">
        <v>2932</v>
      </c>
      <c r="C96" s="668" t="s">
        <v>3331</v>
      </c>
      <c r="E96" s="161"/>
      <c r="M96" s="697" t="str">
        <f>IF(AND($I$90="Stable Communities &lt; 10%",O96=""), "X","")</f>
        <v/>
      </c>
      <c r="N96" s="233" t="s">
        <v>2932</v>
      </c>
      <c r="O96" s="1624" t="s">
        <v>4061</v>
      </c>
      <c r="P96" s="358"/>
    </row>
    <row r="97" spans="1:18" ht="3" customHeight="1">
      <c r="B97" s="161"/>
      <c r="C97" s="161"/>
      <c r="D97" s="161"/>
      <c r="E97" s="161"/>
      <c r="R97" s="51"/>
    </row>
    <row r="98" spans="1:18" ht="11.45" customHeight="1">
      <c r="A98" s="553" t="str">
        <f>IF($I$90="Stable Communities &lt; 20%", "X","")</f>
        <v/>
      </c>
      <c r="B98" s="554" t="s">
        <v>2314</v>
      </c>
      <c r="C98" s="724" t="s">
        <v>3872</v>
      </c>
      <c r="E98" s="161"/>
      <c r="M98" s="698">
        <v>2</v>
      </c>
      <c r="N98" s="31"/>
      <c r="O98" s="163"/>
      <c r="P98" s="163"/>
    </row>
    <row r="99" spans="1:18" ht="11.45" customHeight="1">
      <c r="B99" s="233" t="s">
        <v>2930</v>
      </c>
      <c r="C99" s="724" t="s">
        <v>3760</v>
      </c>
      <c r="E99" s="161"/>
      <c r="G99" s="133" t="s">
        <v>2877</v>
      </c>
      <c r="M99" s="575" t="str">
        <f>IF(AND($I$90="Stable Communities &lt; 20%",O99=""), "X","")</f>
        <v/>
      </c>
      <c r="N99" s="233" t="s">
        <v>2930</v>
      </c>
      <c r="O99" s="1623" t="s">
        <v>4061</v>
      </c>
      <c r="P99" s="357"/>
    </row>
    <row r="100" spans="1:18" ht="11.45" customHeight="1">
      <c r="B100" s="233" t="s">
        <v>2931</v>
      </c>
      <c r="C100" s="668" t="s">
        <v>2878</v>
      </c>
      <c r="E100" s="161"/>
      <c r="G100" s="133" t="s">
        <v>2879</v>
      </c>
      <c r="M100" s="575" t="str">
        <f>IF(AND($I$90="Stable Communities &lt; 20%",O100=""), "X","")</f>
        <v/>
      </c>
      <c r="N100" s="233" t="s">
        <v>2931</v>
      </c>
      <c r="O100" s="1628" t="s">
        <v>4061</v>
      </c>
      <c r="P100" s="544"/>
    </row>
    <row r="101" spans="1:18" ht="11.45" customHeight="1">
      <c r="B101" s="233" t="s">
        <v>2932</v>
      </c>
      <c r="C101" s="668" t="s">
        <v>3331</v>
      </c>
      <c r="E101" s="161"/>
      <c r="M101" s="575" t="str">
        <f>IF(AND($I$90="Stable Communities &lt; 20%",O101=""), "X","")</f>
        <v/>
      </c>
      <c r="N101" s="233" t="s">
        <v>2932</v>
      </c>
      <c r="O101" s="1624" t="s">
        <v>4061</v>
      </c>
      <c r="P101" s="358"/>
    </row>
    <row r="102" spans="1:18" ht="3" customHeight="1">
      <c r="B102" s="161"/>
      <c r="C102" s="161"/>
      <c r="D102" s="161"/>
      <c r="E102" s="161"/>
      <c r="R102" s="51"/>
    </row>
    <row r="103" spans="1:18" ht="11.45" customHeight="1">
      <c r="A103" s="190" t="s">
        <v>2311</v>
      </c>
      <c r="B103" s="256" t="s">
        <v>2259</v>
      </c>
      <c r="D103" s="40"/>
      <c r="E103" s="40"/>
      <c r="F103" s="40"/>
      <c r="H103" s="74"/>
      <c r="M103" s="68"/>
      <c r="N103" s="31"/>
      <c r="O103" s="31"/>
      <c r="P103" s="31"/>
    </row>
    <row r="104" spans="1:18" s="51" customFormat="1" ht="11.45" customHeight="1">
      <c r="A104" s="553" t="str">
        <f>IF($I$90="HOPE VI or Choice Neighborhoods Initiative", "X","")</f>
        <v/>
      </c>
      <c r="B104" s="554" t="s">
        <v>2312</v>
      </c>
      <c r="C104" s="116" t="s">
        <v>3761</v>
      </c>
      <c r="D104" s="135"/>
      <c r="G104" s="196"/>
      <c r="K104" s="135"/>
      <c r="L104" s="135"/>
      <c r="M104" s="667">
        <v>6</v>
      </c>
      <c r="N104" s="31"/>
      <c r="O104" s="163" t="s">
        <v>3189</v>
      </c>
      <c r="P104" s="163" t="s">
        <v>3189</v>
      </c>
    </row>
    <row r="105" spans="1:18" ht="10.9" customHeight="1">
      <c r="B105" s="555" t="s">
        <v>2930</v>
      </c>
      <c r="C105" s="556" t="s">
        <v>808</v>
      </c>
      <c r="D105" s="133"/>
      <c r="M105" s="857" t="str">
        <f>IF(AND($I$90="HOPE VI Initiative",O105=""), "X","")</f>
        <v/>
      </c>
      <c r="N105" s="233" t="s">
        <v>2930</v>
      </c>
      <c r="O105" s="1623" t="s">
        <v>4061</v>
      </c>
      <c r="P105" s="357"/>
    </row>
    <row r="106" spans="1:18" ht="10.9" customHeight="1">
      <c r="B106" s="555" t="s">
        <v>2931</v>
      </c>
      <c r="C106" s="556" t="s">
        <v>809</v>
      </c>
      <c r="M106" s="857" t="str">
        <f>IF(AND($I$90="HOPE VI Initiative",O106=""), "X","")</f>
        <v/>
      </c>
      <c r="N106" s="233" t="s">
        <v>2931</v>
      </c>
      <c r="O106" s="1628" t="s">
        <v>4061</v>
      </c>
      <c r="P106" s="544"/>
    </row>
    <row r="107" spans="1:18" ht="10.9" customHeight="1">
      <c r="B107" s="555" t="s">
        <v>2932</v>
      </c>
      <c r="C107" s="556" t="s">
        <v>810</v>
      </c>
      <c r="M107" s="857" t="str">
        <f>IF(AND($I$90="HOPE VI Initiative",O107=""), "X","")</f>
        <v/>
      </c>
      <c r="N107" s="233" t="s">
        <v>2932</v>
      </c>
      <c r="O107" s="1628" t="s">
        <v>4061</v>
      </c>
      <c r="P107" s="544"/>
    </row>
    <row r="108" spans="1:18" ht="10.9" customHeight="1">
      <c r="B108" s="555" t="s">
        <v>2933</v>
      </c>
      <c r="C108" s="70" t="s">
        <v>811</v>
      </c>
      <c r="M108" s="857" t="str">
        <f>IF(AND($I$90="HOPE VI Initiative",O108=""), "X","")</f>
        <v/>
      </c>
      <c r="N108" s="233" t="s">
        <v>2933</v>
      </c>
      <c r="O108" s="1624" t="s">
        <v>4061</v>
      </c>
      <c r="P108" s="358"/>
    </row>
    <row r="109" spans="1:18" ht="3" customHeight="1">
      <c r="B109" s="161"/>
      <c r="C109" s="161"/>
      <c r="D109" s="161"/>
      <c r="E109" s="161"/>
      <c r="R109" s="51"/>
    </row>
    <row r="110" spans="1:18" s="51" customFormat="1" ht="11.45" customHeight="1">
      <c r="A110" s="553"/>
      <c r="B110" s="554" t="s">
        <v>2314</v>
      </c>
      <c r="C110" s="155" t="s">
        <v>2441</v>
      </c>
      <c r="D110" s="135"/>
      <c r="E110" s="48"/>
      <c r="G110" s="582" t="s">
        <v>4013</v>
      </c>
      <c r="M110" s="699">
        <v>2</v>
      </c>
      <c r="N110" s="554" t="s">
        <v>2314</v>
      </c>
      <c r="O110" s="1560"/>
      <c r="P110" s="234"/>
    </row>
    <row r="111" spans="1:18" ht="3" customHeight="1">
      <c r="B111" s="161"/>
      <c r="C111" s="161"/>
      <c r="D111" s="161"/>
      <c r="E111" s="161"/>
      <c r="R111" s="51"/>
    </row>
    <row r="112" spans="1:18" s="51" customFormat="1" ht="11.45" customHeight="1">
      <c r="A112" s="553" t="str">
        <f>IF($I$90="Redevelopment Zone", "X","")</f>
        <v/>
      </c>
      <c r="B112" s="554" t="s">
        <v>3832</v>
      </c>
      <c r="C112" s="155" t="s">
        <v>2442</v>
      </c>
      <c r="D112" s="135"/>
      <c r="F112" s="574"/>
      <c r="G112" s="48" t="s">
        <v>1108</v>
      </c>
      <c r="H112" s="1629" t="s">
        <v>2102</v>
      </c>
      <c r="I112" s="163" t="s">
        <v>3023</v>
      </c>
      <c r="J112" s="1630"/>
      <c r="K112" s="1631"/>
      <c r="L112" s="1632"/>
      <c r="M112" s="699">
        <v>1</v>
      </c>
      <c r="N112" s="554" t="s">
        <v>3832</v>
      </c>
      <c r="O112" s="1560"/>
      <c r="P112" s="234"/>
    </row>
    <row r="113" spans="1:18" ht="3" customHeight="1">
      <c r="B113" s="161"/>
      <c r="C113" s="161"/>
      <c r="D113" s="161"/>
      <c r="E113" s="161"/>
      <c r="R113" s="51"/>
    </row>
    <row r="114" spans="1:18" s="51" customFormat="1" ht="11.45" customHeight="1">
      <c r="A114" s="553" t="str">
        <f>IF($I$90="Local Redevelopment Plan", "X","")</f>
        <v>X</v>
      </c>
      <c r="B114" s="554" t="s">
        <v>1320</v>
      </c>
      <c r="C114" s="155" t="s">
        <v>812</v>
      </c>
      <c r="D114" s="135"/>
      <c r="E114" s="48"/>
      <c r="F114" s="574"/>
      <c r="G114" s="48" t="s">
        <v>563</v>
      </c>
      <c r="H114" s="1633" t="s">
        <v>4114</v>
      </c>
      <c r="I114" s="1333"/>
      <c r="J114" s="1333"/>
      <c r="K114" s="1333"/>
      <c r="L114" s="1334"/>
      <c r="M114" s="699">
        <v>1</v>
      </c>
      <c r="N114" s="554" t="s">
        <v>1320</v>
      </c>
      <c r="O114" s="1560">
        <v>1</v>
      </c>
      <c r="P114" s="234"/>
    </row>
    <row r="115" spans="1:18" ht="11.45" customHeight="1">
      <c r="B115" s="555" t="s">
        <v>2930</v>
      </c>
      <c r="C115" s="48" t="s">
        <v>3330</v>
      </c>
      <c r="D115" s="133"/>
      <c r="G115" s="133" t="s">
        <v>814</v>
      </c>
      <c r="H115" s="1634">
        <v>39833</v>
      </c>
      <c r="M115" s="574" t="str">
        <f>IF(AND($I$90="Local Redevelopment Plan",O115=""), "X","")</f>
        <v/>
      </c>
      <c r="N115" s="555" t="s">
        <v>2930</v>
      </c>
      <c r="O115" s="1623" t="s">
        <v>4060</v>
      </c>
      <c r="P115" s="357"/>
    </row>
    <row r="116" spans="1:18" ht="10.9" customHeight="1">
      <c r="B116" s="555" t="s">
        <v>2931</v>
      </c>
      <c r="C116" s="556" t="s">
        <v>3764</v>
      </c>
      <c r="D116" s="133"/>
      <c r="M116" s="574"/>
      <c r="N116" s="555" t="s">
        <v>2931</v>
      </c>
      <c r="O116" s="1635" t="s">
        <v>4060</v>
      </c>
      <c r="P116" s="605"/>
    </row>
    <row r="117" spans="1:18" ht="10.9" customHeight="1">
      <c r="B117" s="555" t="s">
        <v>2932</v>
      </c>
      <c r="C117" s="556" t="s">
        <v>3765</v>
      </c>
      <c r="M117" s="574" t="str">
        <f>IF(AND($I$90="Local Redevelopment Plan",O117=""), "X","")</f>
        <v/>
      </c>
      <c r="N117" s="555" t="s">
        <v>2932</v>
      </c>
      <c r="O117" s="1628" t="s">
        <v>4060</v>
      </c>
      <c r="P117" s="544"/>
    </row>
    <row r="118" spans="1:18" ht="10.9" customHeight="1">
      <c r="B118" s="555" t="s">
        <v>2933</v>
      </c>
      <c r="C118" s="556" t="s">
        <v>3766</v>
      </c>
      <c r="M118" s="574" t="str">
        <f>IF(AND($I$90="Local Redevelopment Plan",O118=""), "X","")</f>
        <v/>
      </c>
      <c r="N118" s="555" t="s">
        <v>2933</v>
      </c>
      <c r="O118" s="1628" t="s">
        <v>4060</v>
      </c>
      <c r="P118" s="544"/>
    </row>
    <row r="119" spans="1:18" ht="10.9" customHeight="1">
      <c r="B119" s="555" t="s">
        <v>2934</v>
      </c>
      <c r="C119" s="70" t="s">
        <v>3767</v>
      </c>
      <c r="M119" s="574" t="str">
        <f>IF(AND($I$90="Local Redevelopment Plan",O119=""), "X","")</f>
        <v/>
      </c>
      <c r="N119" s="555" t="s">
        <v>2934</v>
      </c>
      <c r="O119" s="1628" t="s">
        <v>4060</v>
      </c>
      <c r="P119" s="544"/>
    </row>
    <row r="120" spans="1:18" ht="10.9" customHeight="1">
      <c r="B120" s="555" t="s">
        <v>3762</v>
      </c>
      <c r="C120" s="556" t="s">
        <v>3768</v>
      </c>
      <c r="D120" s="133"/>
      <c r="M120" s="574" t="str">
        <f>IF(AND($I$90="Local Redevelopment Plan",O120=""), "X","")</f>
        <v/>
      </c>
      <c r="N120" s="555" t="s">
        <v>3762</v>
      </c>
      <c r="O120" s="1628" t="s">
        <v>4060</v>
      </c>
      <c r="P120" s="544"/>
    </row>
    <row r="121" spans="1:18" ht="10.9" customHeight="1">
      <c r="B121" s="555" t="s">
        <v>3763</v>
      </c>
      <c r="C121" s="556" t="s">
        <v>3769</v>
      </c>
      <c r="M121" s="574" t="str">
        <f>IF(AND($I$90="Local Redevelopment Plan",O121=""), "X","")</f>
        <v/>
      </c>
      <c r="N121" s="555" t="s">
        <v>3763</v>
      </c>
      <c r="O121" s="1624" t="s">
        <v>4060</v>
      </c>
      <c r="P121" s="358"/>
    </row>
    <row r="122" spans="1:18" ht="11.45" customHeight="1">
      <c r="A122" s="553" t="str">
        <f>IF($I$90="Stable Communities &lt; 20%", "X","")</f>
        <v/>
      </c>
      <c r="C122" s="571" t="s">
        <v>3773</v>
      </c>
      <c r="E122" s="161"/>
      <c r="M122" s="576"/>
      <c r="N122" s="31"/>
      <c r="O122" s="163"/>
      <c r="P122" s="163"/>
    </row>
    <row r="123" spans="1:18" ht="10.9" customHeight="1">
      <c r="B123" s="555" t="s">
        <v>3770</v>
      </c>
      <c r="C123" s="556" t="s">
        <v>3774</v>
      </c>
      <c r="M123" s="574"/>
      <c r="O123" s="555" t="s">
        <v>3770</v>
      </c>
      <c r="P123" s="357"/>
    </row>
    <row r="124" spans="1:18" ht="10.9" customHeight="1">
      <c r="B124" s="555" t="s">
        <v>3771</v>
      </c>
      <c r="C124" s="70" t="s">
        <v>3775</v>
      </c>
      <c r="M124" s="574"/>
      <c r="O124" s="555" t="s">
        <v>3771</v>
      </c>
      <c r="P124" s="544"/>
    </row>
    <row r="125" spans="1:18" ht="10.9" customHeight="1">
      <c r="B125" s="555" t="s">
        <v>3772</v>
      </c>
      <c r="C125" s="556" t="s">
        <v>3776</v>
      </c>
      <c r="M125" s="574"/>
      <c r="O125" s="555" t="s">
        <v>3772</v>
      </c>
      <c r="P125" s="544"/>
    </row>
    <row r="126" spans="1:18" ht="10.9" customHeight="1">
      <c r="B126" s="555" t="s">
        <v>813</v>
      </c>
      <c r="C126" s="70" t="s">
        <v>3777</v>
      </c>
      <c r="M126" s="574"/>
      <c r="O126" s="555" t="s">
        <v>813</v>
      </c>
      <c r="P126" s="358"/>
    </row>
    <row r="127" spans="1:18" s="51" customFormat="1" ht="13.9" customHeight="1">
      <c r="A127" s="50"/>
      <c r="B127" s="57" t="s">
        <v>238</v>
      </c>
      <c r="C127" s="50"/>
      <c r="D127" s="56"/>
      <c r="E127" s="56"/>
      <c r="F127" s="56"/>
      <c r="G127" s="56"/>
      <c r="H127" s="44"/>
      <c r="I127" s="44"/>
      <c r="J127" s="44"/>
      <c r="K127" s="44"/>
      <c r="M127" s="54"/>
      <c r="N127" s="75"/>
      <c r="O127" s="4"/>
      <c r="P127" s="852"/>
    </row>
    <row r="128" spans="1:18" s="51" customFormat="1" ht="41.25" customHeight="1">
      <c r="A128" s="1625" t="s">
        <v>481</v>
      </c>
      <c r="B128" s="1626"/>
      <c r="C128" s="1626"/>
      <c r="D128" s="1626"/>
      <c r="E128" s="1626"/>
      <c r="F128" s="1626"/>
      <c r="G128" s="1626"/>
      <c r="H128" s="1626"/>
      <c r="I128" s="1626"/>
      <c r="J128" s="1626"/>
      <c r="K128" s="1626"/>
      <c r="L128" s="1626"/>
      <c r="M128" s="1626"/>
      <c r="N128" s="1626"/>
      <c r="O128" s="1626"/>
      <c r="P128" s="1627"/>
    </row>
    <row r="129" spans="1:17" s="51" customFormat="1" ht="11.25" customHeight="1">
      <c r="A129" s="50"/>
      <c r="B129" s="115" t="s">
        <v>349</v>
      </c>
      <c r="C129" s="50"/>
      <c r="D129" s="115"/>
      <c r="E129" s="853"/>
      <c r="F129" s="853"/>
      <c r="G129" s="853"/>
      <c r="H129" s="853"/>
      <c r="I129" s="853"/>
      <c r="J129" s="853"/>
      <c r="K129" s="853"/>
      <c r="L129" s="853"/>
      <c r="M129" s="853"/>
      <c r="N129" s="92"/>
      <c r="O129" s="87"/>
      <c r="P129" s="3"/>
    </row>
    <row r="130" spans="1:17" s="51" customFormat="1" ht="23.45" customHeight="1">
      <c r="A130" s="1185"/>
      <c r="B130" s="1186"/>
      <c r="C130" s="1186"/>
      <c r="D130" s="1186"/>
      <c r="E130" s="1186"/>
      <c r="F130" s="1186"/>
      <c r="G130" s="1186"/>
      <c r="H130" s="1186"/>
      <c r="I130" s="1186"/>
      <c r="J130" s="1186"/>
      <c r="K130" s="1186"/>
      <c r="L130" s="1186"/>
      <c r="M130" s="1186"/>
      <c r="N130" s="1186"/>
      <c r="O130" s="1186"/>
      <c r="P130" s="1187"/>
    </row>
    <row r="131" spans="1:17" ht="3.6" customHeight="1">
      <c r="B131" s="161"/>
      <c r="C131" s="161"/>
      <c r="D131" s="161"/>
      <c r="E131" s="161"/>
    </row>
    <row r="132" spans="1:17" s="51" customFormat="1" ht="12" customHeight="1">
      <c r="A132" s="211" t="s">
        <v>2059</v>
      </c>
      <c r="B132" s="145" t="s">
        <v>3778</v>
      </c>
      <c r="D132" s="49"/>
      <c r="E132" s="49"/>
      <c r="F132" s="49"/>
      <c r="H132" s="74"/>
      <c r="J132" s="74" t="s">
        <v>471</v>
      </c>
      <c r="K132" s="56"/>
      <c r="M132" s="3">
        <v>3</v>
      </c>
      <c r="N132" s="7"/>
      <c r="O132" s="94">
        <f>MIN($M132,(O133+O139))</f>
        <v>3</v>
      </c>
      <c r="P132" s="94">
        <f>MIN($M132,(P133+P139))</f>
        <v>0</v>
      </c>
      <c r="Q132" s="149" t="s">
        <v>578</v>
      </c>
    </row>
    <row r="133" spans="1:17" ht="12" customHeight="1">
      <c r="B133" s="846" t="s">
        <v>2308</v>
      </c>
      <c r="C133" s="256" t="s">
        <v>2990</v>
      </c>
      <c r="D133" s="40"/>
      <c r="E133" s="40"/>
      <c r="F133" s="40"/>
      <c r="G133" s="31" t="str">
        <f>IF(AND(O133&lt;0,M140&lt;0),"Select either A or B but not both!&gt;","")</f>
        <v/>
      </c>
      <c r="H133" s="40"/>
      <c r="I133" s="40"/>
      <c r="J133" s="40"/>
      <c r="K133" s="40"/>
      <c r="L133" s="561" t="str">
        <f>IF(OR($O133=$M133,$O133=0,$O133=""),"","* * Check Score! * *")</f>
        <v/>
      </c>
      <c r="M133" s="3">
        <v>3</v>
      </c>
      <c r="N133" s="60" t="s">
        <v>2308</v>
      </c>
      <c r="O133" s="1636"/>
      <c r="P133" s="661"/>
    </row>
    <row r="134" spans="1:17" s="133" customFormat="1" ht="22.9" customHeight="1">
      <c r="B134" s="584" t="s">
        <v>2312</v>
      </c>
      <c r="C134" s="1180" t="s">
        <v>3024</v>
      </c>
      <c r="D134" s="1148"/>
      <c r="E134" s="1148"/>
      <c r="F134" s="1148"/>
      <c r="G134" s="1148"/>
      <c r="H134" s="1148"/>
      <c r="I134" s="1148"/>
      <c r="J134" s="1148"/>
      <c r="K134" s="1148"/>
      <c r="L134" s="1148"/>
      <c r="M134" s="660"/>
      <c r="N134" s="584" t="s">
        <v>2312</v>
      </c>
      <c r="O134" s="1560" t="s">
        <v>3465</v>
      </c>
      <c r="P134" s="234"/>
    </row>
    <row r="135" spans="1:17" s="133" customFormat="1" ht="11.45" customHeight="1">
      <c r="B135" s="252"/>
      <c r="C135" s="162" t="s">
        <v>3025</v>
      </c>
      <c r="H135" s="707" t="s">
        <v>1128</v>
      </c>
      <c r="I135" s="1629"/>
      <c r="J135" s="707" t="s">
        <v>3044</v>
      </c>
      <c r="K135" s="1637"/>
      <c r="L135" s="1638"/>
      <c r="M135" s="1639"/>
    </row>
    <row r="136" spans="1:17" s="133" customFormat="1" ht="11.45" customHeight="1">
      <c r="B136" s="252" t="s">
        <v>2314</v>
      </c>
      <c r="C136" s="162" t="s">
        <v>3026</v>
      </c>
      <c r="M136" s="8"/>
      <c r="N136" s="252" t="s">
        <v>2314</v>
      </c>
      <c r="O136" s="1623"/>
      <c r="P136" s="357"/>
    </row>
    <row r="137" spans="1:17" s="133" customFormat="1" ht="11.45" customHeight="1">
      <c r="B137" s="252" t="s">
        <v>3832</v>
      </c>
      <c r="C137" s="162" t="s">
        <v>3027</v>
      </c>
      <c r="M137" s="8"/>
      <c r="N137" s="252" t="s">
        <v>3832</v>
      </c>
      <c r="O137" s="1628"/>
      <c r="P137" s="544"/>
    </row>
    <row r="138" spans="1:17" s="133" customFormat="1" ht="11.45" customHeight="1">
      <c r="B138" s="252" t="s">
        <v>1320</v>
      </c>
      <c r="C138" s="162" t="s">
        <v>3028</v>
      </c>
      <c r="M138" s="8"/>
      <c r="N138" s="252" t="s">
        <v>1320</v>
      </c>
      <c r="O138" s="1624"/>
      <c r="P138" s="358"/>
    </row>
    <row r="139" spans="1:17" ht="12" customHeight="1">
      <c r="A139" s="256" t="s">
        <v>1426</v>
      </c>
      <c r="B139" s="846" t="s">
        <v>2311</v>
      </c>
      <c r="C139" s="256" t="s">
        <v>2991</v>
      </c>
      <c r="D139" s="161"/>
      <c r="E139" s="669" t="s">
        <v>1157</v>
      </c>
      <c r="M139" s="3">
        <v>3</v>
      </c>
      <c r="N139" s="60" t="s">
        <v>2311</v>
      </c>
      <c r="O139" s="662">
        <f>IF($M140=5,3,IF($M140=4,2,0))</f>
        <v>3</v>
      </c>
      <c r="P139" s="86"/>
    </row>
    <row r="140" spans="1:17" ht="12" customHeight="1">
      <c r="B140" s="123"/>
      <c r="D140" s="40"/>
      <c r="E140" s="40"/>
      <c r="F140" s="40"/>
      <c r="G140" s="48"/>
      <c r="H140" s="48"/>
      <c r="I140" s="48"/>
      <c r="J140" s="48"/>
      <c r="L140" s="577" t="s">
        <v>654</v>
      </c>
      <c r="M140" s="1560">
        <v>5</v>
      </c>
      <c r="N140" s="185" t="s">
        <v>655</v>
      </c>
      <c r="O140" s="135"/>
      <c r="P140" s="135"/>
    </row>
    <row r="141" spans="1:17" s="51" customFormat="1" ht="11.45" customHeight="1">
      <c r="A141" s="50"/>
      <c r="B141" s="57" t="s">
        <v>238</v>
      </c>
      <c r="C141" s="50"/>
      <c r="D141" s="56"/>
      <c r="E141" s="56"/>
      <c r="F141" s="56"/>
      <c r="G141" s="56"/>
      <c r="H141" s="44"/>
      <c r="I141" s="44"/>
      <c r="J141" s="44"/>
      <c r="K141" s="44"/>
      <c r="M141" s="54"/>
      <c r="N141" s="75"/>
      <c r="O141" s="4"/>
      <c r="P141" s="852"/>
    </row>
    <row r="142" spans="1:17" s="51" customFormat="1" ht="34.5" customHeight="1">
      <c r="A142" s="1564" t="s">
        <v>376</v>
      </c>
      <c r="B142" s="1565"/>
      <c r="C142" s="1565"/>
      <c r="D142" s="1565"/>
      <c r="E142" s="1565"/>
      <c r="F142" s="1565"/>
      <c r="G142" s="1565"/>
      <c r="H142" s="1565"/>
      <c r="I142" s="1565"/>
      <c r="J142" s="1565"/>
      <c r="K142" s="1565"/>
      <c r="L142" s="1565"/>
      <c r="M142" s="1565"/>
      <c r="N142" s="1565"/>
      <c r="O142" s="1565"/>
      <c r="P142" s="1566"/>
      <c r="Q142" s="738" t="s">
        <v>3276</v>
      </c>
    </row>
    <row r="143" spans="1:17" s="51" customFormat="1" ht="11.45" customHeight="1">
      <c r="B143" s="115" t="s">
        <v>349</v>
      </c>
      <c r="C143" s="131"/>
      <c r="D143" s="115"/>
      <c r="E143" s="132"/>
      <c r="F143" s="853"/>
      <c r="G143" s="853"/>
      <c r="H143" s="853"/>
      <c r="I143" s="853"/>
      <c r="J143" s="853"/>
      <c r="K143" s="853"/>
      <c r="L143" s="853"/>
      <c r="M143" s="853"/>
      <c r="N143" s="92"/>
      <c r="O143" s="87"/>
      <c r="P143" s="3"/>
      <c r="Q143" s="691"/>
    </row>
    <row r="144" spans="1:17" s="51" customFormat="1" ht="11.45" customHeight="1">
      <c r="A144" s="1107"/>
      <c r="B144" s="1108"/>
      <c r="C144" s="1108"/>
      <c r="D144" s="1108"/>
      <c r="E144" s="1108"/>
      <c r="F144" s="1108"/>
      <c r="G144" s="1108"/>
      <c r="H144" s="1108"/>
      <c r="I144" s="1108"/>
      <c r="J144" s="1108"/>
      <c r="K144" s="1108"/>
      <c r="L144" s="1108"/>
      <c r="M144" s="1108"/>
      <c r="N144" s="1108"/>
      <c r="O144" s="1108"/>
      <c r="P144" s="1109"/>
      <c r="Q144" s="738" t="s">
        <v>3276</v>
      </c>
    </row>
    <row r="145" spans="1:17" ht="12" customHeight="1">
      <c r="B145" s="161"/>
      <c r="C145" s="161"/>
      <c r="D145" s="161"/>
      <c r="E145" s="161"/>
    </row>
    <row r="146" spans="1:17" s="51" customFormat="1" ht="12" customHeight="1">
      <c r="A146" s="211" t="s">
        <v>2060</v>
      </c>
      <c r="B146" s="145" t="s">
        <v>3779</v>
      </c>
      <c r="D146" s="49"/>
      <c r="E146" s="49"/>
      <c r="F146" s="49"/>
      <c r="H146" s="74"/>
      <c r="K146" s="56"/>
      <c r="L146" s="561" t="str">
        <f>IF(OR($O146=$M146,$O146=0,$O146=""),"","* * Check Score! * *")</f>
        <v/>
      </c>
      <c r="M146" s="3">
        <v>2</v>
      </c>
      <c r="N146" s="604" t="str">
        <f>IF(OR($O146=$M146,$O146=0,$O146=""),"","***")</f>
        <v/>
      </c>
      <c r="O146" s="1616">
        <v>2</v>
      </c>
      <c r="P146" s="86"/>
      <c r="Q146" s="149" t="s">
        <v>578</v>
      </c>
    </row>
    <row r="147" spans="1:17" ht="11.45" customHeight="1">
      <c r="B147" s="235" t="s">
        <v>1995</v>
      </c>
      <c r="E147" s="161"/>
      <c r="M147" s="576"/>
      <c r="N147" s="31"/>
      <c r="O147" s="31"/>
      <c r="P147" s="163" t="s">
        <v>3189</v>
      </c>
    </row>
    <row r="148" spans="1:17" s="586" customFormat="1" ht="11.45" customHeight="1">
      <c r="A148" s="578" t="s">
        <v>2930</v>
      </c>
      <c r="B148" s="719" t="s">
        <v>3780</v>
      </c>
      <c r="D148" s="720"/>
      <c r="M148" s="721"/>
      <c r="N148" s="578"/>
      <c r="O148" s="578" t="s">
        <v>2930</v>
      </c>
      <c r="P148" s="359"/>
    </row>
    <row r="149" spans="1:17" s="586" customFormat="1">
      <c r="A149" s="578" t="s">
        <v>2931</v>
      </c>
      <c r="B149" s="1183" t="s">
        <v>3332</v>
      </c>
      <c r="C149" s="1004"/>
      <c r="D149" s="1004"/>
      <c r="E149" s="1004"/>
      <c r="F149" s="1004"/>
      <c r="G149" s="1004"/>
      <c r="H149" s="1004"/>
      <c r="I149" s="1004"/>
      <c r="J149" s="1004"/>
      <c r="K149" s="1004"/>
      <c r="L149" s="1004"/>
      <c r="M149" s="1004"/>
      <c r="N149" s="1004"/>
      <c r="O149" s="578" t="s">
        <v>2931</v>
      </c>
      <c r="P149" s="722"/>
    </row>
    <row r="150" spans="1:17" s="586" customFormat="1">
      <c r="A150" s="578" t="s">
        <v>2932</v>
      </c>
      <c r="B150" s="1183" t="s">
        <v>3333</v>
      </c>
      <c r="C150" s="1184"/>
      <c r="D150" s="1184"/>
      <c r="E150" s="1184"/>
      <c r="F150" s="1184"/>
      <c r="G150" s="1184"/>
      <c r="H150" s="1184"/>
      <c r="I150" s="1184"/>
      <c r="J150" s="1184"/>
      <c r="K150" s="1184"/>
      <c r="L150" s="1184"/>
      <c r="M150" s="1184"/>
      <c r="N150" s="1184"/>
      <c r="O150" s="578" t="s">
        <v>2932</v>
      </c>
      <c r="P150" s="722"/>
    </row>
    <row r="151" spans="1:17" s="586" customFormat="1">
      <c r="A151" s="578" t="s">
        <v>2933</v>
      </c>
      <c r="B151" s="1114" t="s">
        <v>3334</v>
      </c>
      <c r="C151" s="1188"/>
      <c r="D151" s="1188"/>
      <c r="E151" s="1188"/>
      <c r="F151" s="1188"/>
      <c r="G151" s="1188"/>
      <c r="H151" s="1188"/>
      <c r="I151" s="1188"/>
      <c r="J151" s="1188"/>
      <c r="K151" s="1188"/>
      <c r="L151" s="1188"/>
      <c r="M151" s="1188"/>
      <c r="N151" s="1188"/>
      <c r="O151" s="578" t="s">
        <v>2933</v>
      </c>
      <c r="P151" s="722"/>
    </row>
    <row r="152" spans="1:17" s="586" customFormat="1" ht="23.45" customHeight="1">
      <c r="A152" s="578" t="s">
        <v>2934</v>
      </c>
      <c r="B152" s="1184" t="s">
        <v>2973</v>
      </c>
      <c r="C152" s="1004"/>
      <c r="D152" s="1004"/>
      <c r="E152" s="1004"/>
      <c r="F152" s="1004"/>
      <c r="G152" s="1004"/>
      <c r="H152" s="1004"/>
      <c r="I152" s="1004"/>
      <c r="J152" s="1004"/>
      <c r="K152" s="1004"/>
      <c r="L152" s="1004"/>
      <c r="M152" s="1004"/>
      <c r="N152" s="1004"/>
      <c r="O152" s="578" t="s">
        <v>2934</v>
      </c>
      <c r="P152" s="722"/>
    </row>
    <row r="153" spans="1:17" s="586" customFormat="1" ht="12.75" customHeight="1">
      <c r="A153" s="578" t="s">
        <v>3762</v>
      </c>
      <c r="B153" s="719" t="s">
        <v>2974</v>
      </c>
      <c r="M153" s="721"/>
      <c r="N153" s="578"/>
      <c r="O153" s="578" t="s">
        <v>3762</v>
      </c>
      <c r="P153" s="722"/>
    </row>
    <row r="154" spans="1:17" s="586" customFormat="1" ht="12.75" customHeight="1">
      <c r="A154" s="578" t="s">
        <v>3763</v>
      </c>
      <c r="B154" s="719" t="s">
        <v>1996</v>
      </c>
      <c r="M154" s="721"/>
      <c r="N154" s="578"/>
      <c r="O154" s="578" t="s">
        <v>3763</v>
      </c>
      <c r="P154" s="722"/>
    </row>
    <row r="155" spans="1:17" s="586" customFormat="1" ht="12.75" customHeight="1">
      <c r="A155" s="578" t="s">
        <v>3770</v>
      </c>
      <c r="B155" s="297" t="s">
        <v>1997</v>
      </c>
      <c r="M155" s="721"/>
      <c r="N155" s="578"/>
      <c r="O155" s="578" t="s">
        <v>3770</v>
      </c>
      <c r="P155" s="360"/>
    </row>
    <row r="156" spans="1:17" s="51" customFormat="1" ht="12.75" customHeight="1">
      <c r="A156" s="50"/>
      <c r="B156" s="57" t="s">
        <v>238</v>
      </c>
      <c r="C156" s="50"/>
      <c r="D156" s="56"/>
      <c r="E156" s="56"/>
      <c r="F156" s="56"/>
      <c r="G156" s="56"/>
      <c r="H156" s="44"/>
      <c r="I156" s="44"/>
      <c r="J156" s="44"/>
      <c r="K156" s="44"/>
      <c r="M156" s="54"/>
      <c r="N156" s="75"/>
      <c r="O156" s="4"/>
      <c r="P156" s="852"/>
    </row>
    <row r="157" spans="1:17" s="51" customFormat="1" ht="24.6" customHeight="1">
      <c r="A157" s="1564" t="s">
        <v>482</v>
      </c>
      <c r="B157" s="1565"/>
      <c r="C157" s="1565"/>
      <c r="D157" s="1565"/>
      <c r="E157" s="1565"/>
      <c r="F157" s="1565"/>
      <c r="G157" s="1565"/>
      <c r="H157" s="1565"/>
      <c r="I157" s="1565"/>
      <c r="J157" s="1565"/>
      <c r="K157" s="1565"/>
      <c r="L157" s="1565"/>
      <c r="M157" s="1565"/>
      <c r="N157" s="1565"/>
      <c r="O157" s="1565"/>
      <c r="P157" s="1566"/>
    </row>
    <row r="158" spans="1:17" s="51" customFormat="1" ht="11.25" customHeight="1">
      <c r="A158" s="50"/>
      <c r="B158" s="115" t="s">
        <v>349</v>
      </c>
      <c r="C158" s="50"/>
      <c r="D158" s="115"/>
      <c r="E158" s="853"/>
      <c r="F158" s="853"/>
      <c r="G158" s="853"/>
      <c r="H158" s="853"/>
      <c r="I158" s="853"/>
      <c r="J158" s="853"/>
      <c r="K158" s="853"/>
      <c r="L158" s="853"/>
      <c r="M158" s="853"/>
      <c r="N158" s="92"/>
      <c r="O158" s="87"/>
      <c r="P158" s="3"/>
    </row>
    <row r="159" spans="1:17" s="51" customFormat="1" ht="40.5" customHeight="1">
      <c r="A159" s="1107"/>
      <c r="B159" s="1108"/>
      <c r="C159" s="1108"/>
      <c r="D159" s="1108"/>
      <c r="E159" s="1108"/>
      <c r="F159" s="1108"/>
      <c r="G159" s="1108"/>
      <c r="H159" s="1108"/>
      <c r="I159" s="1108"/>
      <c r="J159" s="1108"/>
      <c r="K159" s="1108"/>
      <c r="L159" s="1108"/>
      <c r="M159" s="1108"/>
      <c r="N159" s="1108"/>
      <c r="O159" s="1108"/>
      <c r="P159" s="1109"/>
    </row>
    <row r="160" spans="1:17" ht="3" customHeight="1">
      <c r="B160" s="161"/>
      <c r="C160" s="161"/>
      <c r="D160" s="161"/>
      <c r="E160" s="161"/>
    </row>
    <row r="161" spans="1:18" s="51" customFormat="1" ht="12" customHeight="1">
      <c r="A161" s="212" t="s">
        <v>2061</v>
      </c>
      <c r="B161" s="146" t="s">
        <v>2992</v>
      </c>
      <c r="C161" s="65"/>
      <c r="D161" s="160"/>
      <c r="E161" s="160"/>
      <c r="F161" s="49"/>
      <c r="H161" s="47"/>
      <c r="J161" s="74" t="s">
        <v>471</v>
      </c>
      <c r="K161" s="56"/>
      <c r="M161" s="3">
        <v>1</v>
      </c>
      <c r="N161" s="7"/>
      <c r="O161" s="94">
        <f>MIN($M161,SUM(O162:O163))</f>
        <v>1</v>
      </c>
      <c r="P161" s="94">
        <f>MIN($M161,SUM(P162:P163))</f>
        <v>0</v>
      </c>
      <c r="Q161" s="149" t="s">
        <v>578</v>
      </c>
    </row>
    <row r="162" spans="1:18" s="135" customFormat="1" ht="12" customHeight="1">
      <c r="A162" s="190" t="s">
        <v>2308</v>
      </c>
      <c r="B162" s="238" t="s">
        <v>2993</v>
      </c>
      <c r="D162" s="74"/>
      <c r="E162" s="74"/>
      <c r="F162" s="52"/>
      <c r="G162" s="31"/>
      <c r="K162" s="60" t="s">
        <v>4047</v>
      </c>
      <c r="L162" s="1560" t="s">
        <v>4060</v>
      </c>
      <c r="M162" s="8">
        <v>1</v>
      </c>
      <c r="N162" s="60" t="s">
        <v>2308</v>
      </c>
      <c r="O162" s="1616">
        <v>1</v>
      </c>
      <c r="P162" s="86"/>
      <c r="Q162" s="149"/>
      <c r="R162" s="561" t="str">
        <f>IF(OR($O162=$M162,$O162=0,$O162=""),"","* * Check Score! * *")</f>
        <v/>
      </c>
    </row>
    <row r="163" spans="1:18" s="51" customFormat="1" ht="12" customHeight="1">
      <c r="A163" s="190" t="s">
        <v>2311</v>
      </c>
      <c r="B163" s="238" t="s">
        <v>2994</v>
      </c>
      <c r="D163" s="70"/>
      <c r="E163" s="38"/>
      <c r="F163" s="63" t="s">
        <v>3873</v>
      </c>
      <c r="K163" s="63"/>
      <c r="L163" s="561"/>
      <c r="M163" s="8">
        <v>1</v>
      </c>
      <c r="N163" s="60" t="s">
        <v>2311</v>
      </c>
      <c r="O163" s="1616"/>
      <c r="P163" s="86"/>
      <c r="R163" s="561" t="str">
        <f>IF(OR($O163=$M163,$O163=0,$O163=""),"","* * Check Score! * *")</f>
        <v/>
      </c>
    </row>
    <row r="164" spans="1:18" s="51" customFormat="1" ht="11.25" customHeight="1">
      <c r="A164" s="50"/>
      <c r="B164" s="57" t="s">
        <v>238</v>
      </c>
      <c r="C164" s="50"/>
      <c r="D164" s="56"/>
      <c r="E164" s="56"/>
      <c r="F164" s="56"/>
      <c r="G164" s="56"/>
      <c r="H164" s="44"/>
      <c r="I164" s="44"/>
      <c r="J164" s="44"/>
      <c r="K164" s="44"/>
      <c r="M164" s="54"/>
      <c r="N164" s="75"/>
      <c r="O164" s="4"/>
      <c r="P164" s="852"/>
    </row>
    <row r="165" spans="1:18" s="51" customFormat="1" ht="12.6" customHeight="1">
      <c r="A165" s="1564" t="s">
        <v>483</v>
      </c>
      <c r="B165" s="1565"/>
      <c r="C165" s="1565"/>
      <c r="D165" s="1565"/>
      <c r="E165" s="1565"/>
      <c r="F165" s="1565"/>
      <c r="G165" s="1565"/>
      <c r="H165" s="1565"/>
      <c r="I165" s="1565"/>
      <c r="J165" s="1565"/>
      <c r="K165" s="1565"/>
      <c r="L165" s="1565"/>
      <c r="M165" s="1565"/>
      <c r="N165" s="1565"/>
      <c r="O165" s="1565"/>
      <c r="P165" s="1566"/>
      <c r="Q165" s="738" t="s">
        <v>3276</v>
      </c>
    </row>
    <row r="166" spans="1:18" s="51" customFormat="1" ht="11.25" customHeight="1">
      <c r="A166" s="50"/>
      <c r="B166" s="115" t="s">
        <v>349</v>
      </c>
      <c r="C166" s="131"/>
      <c r="D166" s="115"/>
      <c r="E166" s="132"/>
      <c r="F166" s="853"/>
      <c r="G166" s="853"/>
      <c r="H166" s="853"/>
      <c r="I166" s="853"/>
      <c r="J166" s="853"/>
      <c r="K166" s="853"/>
      <c r="L166" s="853"/>
      <c r="M166" s="853"/>
      <c r="N166" s="92"/>
      <c r="O166" s="87"/>
      <c r="P166" s="3"/>
      <c r="Q166" s="691"/>
    </row>
    <row r="167" spans="1:18" s="51" customFormat="1" ht="12.6" customHeight="1">
      <c r="A167" s="1107"/>
      <c r="B167" s="1108"/>
      <c r="C167" s="1108"/>
      <c r="D167" s="1108"/>
      <c r="E167" s="1108"/>
      <c r="F167" s="1108"/>
      <c r="G167" s="1108"/>
      <c r="H167" s="1108"/>
      <c r="I167" s="1108"/>
      <c r="J167" s="1108"/>
      <c r="K167" s="1108"/>
      <c r="L167" s="1108"/>
      <c r="M167" s="1108"/>
      <c r="N167" s="1108"/>
      <c r="O167" s="1108"/>
      <c r="P167" s="1109"/>
      <c r="Q167" s="738" t="s">
        <v>3276</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206</v>
      </c>
      <c r="B169" s="153" t="s">
        <v>2173</v>
      </c>
      <c r="C169" s="117"/>
      <c r="D169" s="71"/>
      <c r="E169" s="63"/>
      <c r="J169" s="74"/>
      <c r="K169" s="735" t="s">
        <v>4016</v>
      </c>
      <c r="L169" s="800" t="str">
        <f>'Part I-Project Information'!E81</f>
        <v>Yes</v>
      </c>
      <c r="M169" s="3">
        <v>3</v>
      </c>
      <c r="N169" s="7"/>
      <c r="O169" s="7"/>
      <c r="P169" s="86"/>
      <c r="Q169" s="149" t="s">
        <v>578</v>
      </c>
    </row>
    <row r="170" spans="1:18" s="51" customFormat="1" ht="12" customHeight="1">
      <c r="A170" s="190"/>
      <c r="B170" s="66" t="s">
        <v>2798</v>
      </c>
      <c r="D170" s="40"/>
      <c r="N170" s="60"/>
      <c r="O170" s="1560" t="s">
        <v>4060</v>
      </c>
      <c r="P170" s="234"/>
      <c r="R170" s="561"/>
    </row>
    <row r="171" spans="1:18" s="51" customFormat="1" ht="12" customHeight="1">
      <c r="A171" s="190"/>
      <c r="B171" s="66" t="s">
        <v>4030</v>
      </c>
      <c r="D171" s="40"/>
      <c r="N171" s="60"/>
      <c r="O171" s="1560" t="s">
        <v>4060</v>
      </c>
      <c r="P171" s="234"/>
      <c r="R171" s="561"/>
    </row>
    <row r="172" spans="1:18" s="51" customFormat="1" ht="12" customHeight="1">
      <c r="A172" s="50"/>
      <c r="B172" s="57" t="s">
        <v>238</v>
      </c>
      <c r="C172" s="50"/>
      <c r="D172" s="56"/>
      <c r="E172" s="56"/>
      <c r="F172" s="56"/>
      <c r="G172" s="56"/>
      <c r="H172" s="44"/>
      <c r="I172" s="44"/>
      <c r="J172" s="44"/>
      <c r="K172" s="44"/>
      <c r="M172" s="54"/>
      <c r="N172" s="75"/>
      <c r="O172" s="4"/>
      <c r="P172" s="852"/>
    </row>
    <row r="173" spans="1:18" s="51" customFormat="1" ht="12.75" customHeight="1">
      <c r="A173" s="1564" t="s">
        <v>484</v>
      </c>
      <c r="B173" s="1565"/>
      <c r="C173" s="1565"/>
      <c r="D173" s="1565"/>
      <c r="E173" s="1565"/>
      <c r="F173" s="1565"/>
      <c r="G173" s="1565"/>
      <c r="H173" s="1565"/>
      <c r="I173" s="1565"/>
      <c r="J173" s="1565"/>
      <c r="K173" s="1565"/>
      <c r="L173" s="1565"/>
      <c r="M173" s="1565"/>
      <c r="N173" s="1565"/>
      <c r="O173" s="1565"/>
      <c r="P173" s="1566"/>
    </row>
    <row r="174" spans="1:18" s="51" customFormat="1" ht="12" customHeight="1">
      <c r="B174" s="115" t="s">
        <v>349</v>
      </c>
      <c r="C174" s="131"/>
      <c r="D174" s="115"/>
      <c r="E174" s="132"/>
      <c r="F174" s="853"/>
      <c r="G174" s="853"/>
      <c r="H174" s="853"/>
      <c r="I174" s="853"/>
      <c r="J174" s="853"/>
      <c r="K174" s="853"/>
      <c r="L174" s="853"/>
      <c r="M174" s="853"/>
      <c r="N174" s="92"/>
      <c r="O174" s="87"/>
      <c r="P174" s="3"/>
    </row>
    <row r="175" spans="1:18" s="51" customFormat="1" ht="12.75" customHeight="1">
      <c r="A175" s="1107"/>
      <c r="B175" s="1108"/>
      <c r="C175" s="1108"/>
      <c r="D175" s="1108"/>
      <c r="E175" s="1108"/>
      <c r="F175" s="1108"/>
      <c r="G175" s="1108"/>
      <c r="H175" s="1108"/>
      <c r="I175" s="1108"/>
      <c r="J175" s="1108"/>
      <c r="K175" s="1108"/>
      <c r="L175" s="1108"/>
      <c r="M175" s="1108"/>
      <c r="N175" s="1108"/>
      <c r="O175" s="1108"/>
      <c r="P175" s="1109"/>
    </row>
    <row r="176" spans="1:18" ht="6" customHeight="1"/>
    <row r="177" spans="1:18" s="76" customFormat="1" ht="12.6" customHeight="1">
      <c r="A177" s="211" t="s">
        <v>207</v>
      </c>
      <c r="B177" s="145" t="s">
        <v>2594</v>
      </c>
      <c r="E177" s="261" t="s">
        <v>4032</v>
      </c>
      <c r="G177" s="160"/>
      <c r="H177" s="668"/>
      <c r="I177" s="160"/>
      <c r="J177" s="801">
        <f>'Part VI-Revenues &amp; Expenses'!$M$74</f>
        <v>0</v>
      </c>
      <c r="K177" s="160"/>
      <c r="L177" s="802" t="str">
        <f>IF(AND(J177=0,O177&gt;0),"&lt;&lt;&lt; Check NC units!","")</f>
        <v/>
      </c>
      <c r="M177" s="3">
        <v>3</v>
      </c>
      <c r="N177" s="604" t="str">
        <f>IF(OR($O177=$M177,$O177=0,$O177=""),"","***")</f>
        <v/>
      </c>
      <c r="O177" s="1616"/>
      <c r="P177" s="86"/>
      <c r="Q177" s="149" t="s">
        <v>578</v>
      </c>
      <c r="R177" s="31"/>
    </row>
    <row r="178" spans="1:18" s="76" customFormat="1" ht="25.15" customHeight="1">
      <c r="A178" s="211"/>
      <c r="B178" s="1090" t="s">
        <v>4031</v>
      </c>
      <c r="C178" s="1174"/>
      <c r="D178" s="1174"/>
      <c r="E178" s="1174"/>
      <c r="F178" s="1174"/>
      <c r="G178" s="1174"/>
      <c r="H178" s="1174"/>
      <c r="I178" s="1174"/>
      <c r="J178" s="1174"/>
      <c r="K178" s="1174"/>
      <c r="L178" s="1174"/>
      <c r="M178" s="1174"/>
      <c r="N178" s="3"/>
      <c r="O178" s="3"/>
      <c r="P178" s="3"/>
      <c r="Q178" s="149"/>
      <c r="R178" s="561"/>
    </row>
    <row r="179" spans="1:18" s="51" customFormat="1" ht="13.9" customHeight="1">
      <c r="A179" s="50"/>
      <c r="B179" s="57" t="s">
        <v>238</v>
      </c>
      <c r="C179" s="50"/>
      <c r="D179" s="56"/>
      <c r="E179" s="56"/>
      <c r="F179" s="56"/>
      <c r="G179" s="56"/>
      <c r="H179" s="44"/>
      <c r="I179" s="44"/>
      <c r="J179" s="115" t="s">
        <v>349</v>
      </c>
      <c r="M179" s="54"/>
      <c r="N179" s="75"/>
      <c r="O179" s="4"/>
      <c r="P179" s="852"/>
    </row>
    <row r="180" spans="1:18" s="51" customFormat="1" ht="12" customHeight="1">
      <c r="A180" s="1564"/>
      <c r="B180" s="1565"/>
      <c r="C180" s="1565"/>
      <c r="D180" s="1565"/>
      <c r="E180" s="1565"/>
      <c r="F180" s="1565"/>
      <c r="G180" s="1565"/>
      <c r="H180" s="1565"/>
      <c r="I180" s="1566"/>
      <c r="J180" s="1107"/>
      <c r="K180" s="1108"/>
      <c r="L180" s="1108"/>
      <c r="M180" s="1108"/>
      <c r="N180" s="1108"/>
      <c r="O180" s="1108"/>
      <c r="P180" s="1109"/>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1481</v>
      </c>
      <c r="B182" s="154" t="s">
        <v>2001</v>
      </c>
      <c r="D182" s="118"/>
      <c r="E182" s="118"/>
      <c r="F182" s="63"/>
      <c r="G182" s="63"/>
      <c r="H182" s="63"/>
      <c r="I182" s="63"/>
      <c r="J182" s="65"/>
      <c r="K182" s="73"/>
      <c r="L182" s="561" t="str">
        <f>IF(OR($O182=$M182,$O182=0,$O182=""),"","* * Check Score! * *")</f>
        <v/>
      </c>
      <c r="M182" s="1">
        <v>1</v>
      </c>
      <c r="N182" s="604" t="str">
        <f>IF(OR($O182=$M182,$O182=0,$O182=""),"","***")</f>
        <v/>
      </c>
      <c r="O182" s="1616"/>
      <c r="P182" s="86"/>
      <c r="Q182" s="149" t="s">
        <v>578</v>
      </c>
    </row>
    <row r="183" spans="1:18" s="51" customFormat="1" ht="12.6" customHeight="1">
      <c r="A183" s="50"/>
      <c r="B183" s="155" t="s">
        <v>324</v>
      </c>
      <c r="D183" s="135"/>
      <c r="E183" s="1620" t="s">
        <v>2115</v>
      </c>
      <c r="F183" s="1621"/>
      <c r="G183" s="1640"/>
      <c r="H183" s="1641"/>
      <c r="I183" s="62" t="s">
        <v>323</v>
      </c>
      <c r="O183" s="163" t="s">
        <v>3189</v>
      </c>
      <c r="P183" s="163" t="s">
        <v>3189</v>
      </c>
    </row>
    <row r="184" spans="1:18" s="133" customFormat="1" ht="11.45" customHeight="1">
      <c r="A184" s="190" t="s">
        <v>2308</v>
      </c>
      <c r="B184" s="162" t="s">
        <v>2003</v>
      </c>
      <c r="D184" s="162"/>
      <c r="E184" s="162"/>
      <c r="F184" s="162"/>
      <c r="G184" s="1642" t="s">
        <v>3818</v>
      </c>
      <c r="H184" s="1643"/>
      <c r="I184" s="1644"/>
      <c r="J184" s="1642" t="s">
        <v>3231</v>
      </c>
      <c r="K184" s="1643"/>
      <c r="L184" s="1644"/>
      <c r="N184" s="60" t="s">
        <v>2308</v>
      </c>
      <c r="O184" s="1560"/>
      <c r="P184" s="234"/>
    </row>
    <row r="185" spans="1:18" s="133" customFormat="1" ht="11.45" customHeight="1">
      <c r="A185" s="190" t="s">
        <v>2311</v>
      </c>
      <c r="B185" s="162" t="s">
        <v>472</v>
      </c>
      <c r="D185" s="162"/>
      <c r="E185" s="162"/>
      <c r="F185" s="162"/>
      <c r="G185" s="162"/>
      <c r="L185" s="162"/>
      <c r="M185" s="162"/>
      <c r="N185" s="60" t="s">
        <v>2311</v>
      </c>
      <c r="O185" s="1560"/>
      <c r="P185" s="234"/>
    </row>
    <row r="186" spans="1:18" s="133" customFormat="1" ht="11.45" customHeight="1">
      <c r="A186" s="190" t="s">
        <v>2783</v>
      </c>
      <c r="B186" s="162" t="s">
        <v>1958</v>
      </c>
      <c r="D186" s="162"/>
      <c r="E186" s="162"/>
      <c r="F186" s="162"/>
      <c r="G186" s="162"/>
      <c r="H186" s="162"/>
      <c r="L186" s="162"/>
      <c r="M186" s="162"/>
      <c r="N186" s="60" t="s">
        <v>2783</v>
      </c>
      <c r="O186" s="1560"/>
      <c r="P186" s="234"/>
    </row>
    <row r="187" spans="1:18" s="133" customFormat="1" ht="11.45" customHeight="1">
      <c r="A187" s="190" t="s">
        <v>2482</v>
      </c>
      <c r="B187" s="185" t="s">
        <v>3603</v>
      </c>
      <c r="D187" s="162"/>
      <c r="E187" s="162"/>
      <c r="F187" s="162"/>
      <c r="G187" s="162"/>
      <c r="H187" s="162"/>
      <c r="I187" s="162"/>
      <c r="J187" s="162"/>
      <c r="K187" s="162"/>
      <c r="L187" s="162"/>
      <c r="M187" s="162"/>
      <c r="N187" s="60" t="s">
        <v>2482</v>
      </c>
      <c r="O187" s="1560"/>
      <c r="P187" s="234"/>
    </row>
    <row r="188" spans="1:18" s="51" customFormat="1" ht="11.25" customHeight="1">
      <c r="A188" s="50"/>
      <c r="B188" s="57" t="s">
        <v>238</v>
      </c>
      <c r="C188" s="50"/>
      <c r="D188" s="56"/>
      <c r="E188" s="56"/>
      <c r="F188" s="56"/>
      <c r="G188" s="56"/>
      <c r="H188" s="44"/>
      <c r="I188" s="44"/>
      <c r="J188" s="44"/>
      <c r="K188" s="44"/>
      <c r="M188" s="54"/>
      <c r="N188" s="75"/>
      <c r="O188" s="4"/>
      <c r="P188" s="852"/>
    </row>
    <row r="189" spans="1:18" s="51" customFormat="1" ht="12.75" customHeight="1">
      <c r="A189" s="1564"/>
      <c r="B189" s="1565"/>
      <c r="C189" s="1565"/>
      <c r="D189" s="1565"/>
      <c r="E189" s="1565"/>
      <c r="F189" s="1565"/>
      <c r="G189" s="1565"/>
      <c r="H189" s="1565"/>
      <c r="I189" s="1565"/>
      <c r="J189" s="1565"/>
      <c r="K189" s="1565"/>
      <c r="L189" s="1565"/>
      <c r="M189" s="1565"/>
      <c r="N189" s="1565"/>
      <c r="O189" s="1565"/>
      <c r="P189" s="1566"/>
      <c r="Q189" s="738" t="s">
        <v>3276</v>
      </c>
    </row>
    <row r="190" spans="1:18" s="51" customFormat="1" ht="11.25" customHeight="1">
      <c r="A190" s="50"/>
      <c r="B190" s="115" t="s">
        <v>349</v>
      </c>
      <c r="C190" s="131"/>
      <c r="D190" s="115"/>
      <c r="E190" s="132"/>
      <c r="F190" s="853"/>
      <c r="G190" s="853"/>
      <c r="H190" s="853"/>
      <c r="I190" s="853"/>
      <c r="J190" s="853"/>
      <c r="K190" s="853"/>
      <c r="L190" s="853"/>
      <c r="M190" s="853"/>
      <c r="N190" s="92"/>
      <c r="O190" s="87"/>
      <c r="P190" s="3"/>
      <c r="Q190" s="691"/>
    </row>
    <row r="191" spans="1:18" s="51" customFormat="1" ht="12.75" customHeight="1">
      <c r="A191" s="1107"/>
      <c r="B191" s="1108"/>
      <c r="C191" s="1108"/>
      <c r="D191" s="1108"/>
      <c r="E191" s="1108"/>
      <c r="F191" s="1108"/>
      <c r="G191" s="1108"/>
      <c r="H191" s="1108"/>
      <c r="I191" s="1108"/>
      <c r="J191" s="1108"/>
      <c r="K191" s="1108"/>
      <c r="L191" s="1108"/>
      <c r="M191" s="1108"/>
      <c r="N191" s="1108"/>
      <c r="O191" s="1108"/>
      <c r="P191" s="1109"/>
      <c r="Q191" s="738" t="s">
        <v>3276</v>
      </c>
    </row>
    <row r="192" spans="1:18" ht="3" customHeight="1"/>
    <row r="193" spans="1:18" s="51" customFormat="1" ht="15">
      <c r="A193" s="211" t="s">
        <v>2000</v>
      </c>
      <c r="B193" s="154" t="s">
        <v>325</v>
      </c>
      <c r="D193" s="118"/>
      <c r="E193" s="118"/>
      <c r="F193" s="63"/>
      <c r="G193" s="63"/>
      <c r="H193" s="63"/>
      <c r="I193" s="63"/>
      <c r="J193" s="65"/>
      <c r="K193" s="73"/>
      <c r="L193" s="69" t="str">
        <f>IF(M193&gt;14,"Over limit!","")</f>
        <v/>
      </c>
      <c r="M193" s="4">
        <v>7</v>
      </c>
      <c r="N193" s="7"/>
      <c r="O193" s="78">
        <f>O201+O216+O218</f>
        <v>5</v>
      </c>
      <c r="P193" s="78">
        <f>P201+P216+P218</f>
        <v>0</v>
      </c>
      <c r="Q193" s="149" t="s">
        <v>578</v>
      </c>
    </row>
    <row r="194" spans="1:18" s="51" customFormat="1" ht="12.75" customHeight="1">
      <c r="A194" s="50"/>
      <c r="B194" s="155" t="s">
        <v>3804</v>
      </c>
      <c r="E194" s="118"/>
      <c r="F194" s="63"/>
      <c r="G194" s="63"/>
      <c r="H194" s="63"/>
      <c r="I194" s="63"/>
      <c r="J194" s="65"/>
      <c r="K194" s="73"/>
      <c r="L194" s="69"/>
      <c r="O194" s="163" t="s">
        <v>3189</v>
      </c>
      <c r="P194" s="163" t="s">
        <v>3189</v>
      </c>
    </row>
    <row r="195" spans="1:18" s="133" customFormat="1" ht="11.25" customHeight="1">
      <c r="B195" s="718" t="s">
        <v>2312</v>
      </c>
      <c r="C195" s="133" t="s">
        <v>774</v>
      </c>
      <c r="E195" s="118"/>
      <c r="F195" s="63"/>
      <c r="G195" s="63"/>
      <c r="H195" s="63"/>
      <c r="I195" s="63"/>
      <c r="J195" s="65"/>
      <c r="K195" s="73"/>
      <c r="L195" s="69" t="str">
        <f>IF(M195&gt;14,"Over limit!","")</f>
        <v/>
      </c>
      <c r="N195" s="252" t="s">
        <v>2312</v>
      </c>
      <c r="O195" s="1623" t="s">
        <v>4060</v>
      </c>
      <c r="P195" s="357"/>
    </row>
    <row r="196" spans="1:18" s="133" customFormat="1" ht="11.25" customHeight="1">
      <c r="B196" s="718" t="s">
        <v>2314</v>
      </c>
      <c r="C196" s="133" t="s">
        <v>775</v>
      </c>
      <c r="N196" s="252" t="s">
        <v>2314</v>
      </c>
      <c r="O196" s="1628" t="s">
        <v>4060</v>
      </c>
      <c r="P196" s="544"/>
    </row>
    <row r="197" spans="1:18" s="133" customFormat="1" ht="11.25" customHeight="1">
      <c r="B197" s="718" t="s">
        <v>3832</v>
      </c>
      <c r="C197" s="133" t="s">
        <v>776</v>
      </c>
      <c r="N197" s="252" t="s">
        <v>3832</v>
      </c>
      <c r="O197" s="1628" t="s">
        <v>3465</v>
      </c>
      <c r="P197" s="544"/>
    </row>
    <row r="198" spans="1:18" s="133" customFormat="1" ht="11.25" customHeight="1">
      <c r="B198" s="718" t="s">
        <v>1320</v>
      </c>
      <c r="C198" s="133" t="s">
        <v>777</v>
      </c>
      <c r="N198" s="252" t="s">
        <v>1320</v>
      </c>
      <c r="O198" s="1628" t="s">
        <v>3465</v>
      </c>
      <c r="P198" s="544"/>
    </row>
    <row r="199" spans="1:18" s="133" customFormat="1" ht="11.25" customHeight="1">
      <c r="B199" s="718" t="s">
        <v>1321</v>
      </c>
      <c r="C199" s="133" t="s">
        <v>785</v>
      </c>
      <c r="N199" s="252" t="s">
        <v>1321</v>
      </c>
      <c r="O199" s="1624" t="s">
        <v>4060</v>
      </c>
      <c r="P199" s="358"/>
    </row>
    <row r="200" spans="1:18" s="133" customFormat="1" ht="6" customHeight="1">
      <c r="B200" s="718"/>
    </row>
    <row r="201" spans="1:18" s="51" customFormat="1" ht="11.25" customHeight="1">
      <c r="A201" s="190" t="s">
        <v>2308</v>
      </c>
      <c r="B201" s="258" t="s">
        <v>326</v>
      </c>
      <c r="D201" s="48"/>
      <c r="E201" s="48"/>
      <c r="F201" s="40"/>
      <c r="G201" s="135"/>
      <c r="H201" s="135"/>
      <c r="I201" s="135"/>
      <c r="J201" s="48"/>
      <c r="K201" s="135"/>
      <c r="L201" s="40"/>
      <c r="M201" s="699">
        <v>4</v>
      </c>
      <c r="N201" s="60" t="s">
        <v>2308</v>
      </c>
      <c r="O201" s="206">
        <f>IF($I$214&gt;=0.15, 4,IF($I$214&gt;=0.1, 3,IF($I$214&gt;=0.05, 2,IF($I$214&gt;=0.02, 1,0))))</f>
        <v>4</v>
      </c>
      <c r="P201" s="206">
        <f>IF($L$214&gt;=0.15, 4,IF($L$214&gt;=0.1, 3,IF($L$214&gt;=0.05, 2,IF($L$214&gt;=0.02, 1,0))))</f>
        <v>0</v>
      </c>
    </row>
    <row r="202" spans="1:18" ht="12" customHeight="1">
      <c r="B202" s="554" t="s">
        <v>2312</v>
      </c>
      <c r="C202" s="725" t="s">
        <v>3912</v>
      </c>
      <c r="I202" s="1173" t="s">
        <v>2316</v>
      </c>
      <c r="J202" s="1173"/>
      <c r="L202" s="859" t="s">
        <v>2316</v>
      </c>
      <c r="M202" s="218"/>
      <c r="N202" s="252" t="s">
        <v>2312</v>
      </c>
    </row>
    <row r="203" spans="1:18" s="51" customFormat="1" ht="11.25" customHeight="1">
      <c r="A203" s="253"/>
      <c r="B203" s="151"/>
      <c r="C203" s="555" t="s">
        <v>2930</v>
      </c>
      <c r="D203" s="44" t="s">
        <v>3434</v>
      </c>
      <c r="H203" s="66"/>
      <c r="I203" s="1645"/>
      <c r="J203" s="1646"/>
      <c r="K203" s="255"/>
      <c r="L203" s="708"/>
      <c r="M203" s="90"/>
      <c r="N203" s="555" t="s">
        <v>2930</v>
      </c>
      <c r="O203" s="1623" t="s">
        <v>3465</v>
      </c>
      <c r="P203" s="357"/>
      <c r="R203" s="561"/>
    </row>
    <row r="204" spans="1:18" ht="11.25" customHeight="1">
      <c r="A204" s="254"/>
      <c r="B204" s="109"/>
      <c r="C204" s="578" t="s">
        <v>2931</v>
      </c>
      <c r="D204" s="44" t="s">
        <v>3435</v>
      </c>
      <c r="H204" s="66"/>
      <c r="I204" s="1645"/>
      <c r="J204" s="1646"/>
      <c r="L204" s="708"/>
      <c r="M204" s="90"/>
      <c r="N204" s="578" t="s">
        <v>2931</v>
      </c>
      <c r="O204" s="1628" t="s">
        <v>3465</v>
      </c>
      <c r="P204" s="544"/>
      <c r="R204" s="561"/>
    </row>
    <row r="205" spans="1:18" ht="11.25" customHeight="1">
      <c r="B205" s="718"/>
      <c r="C205" s="555" t="s">
        <v>2932</v>
      </c>
      <c r="D205" s="44" t="s">
        <v>3909</v>
      </c>
      <c r="H205" s="66"/>
      <c r="I205" s="1645"/>
      <c r="J205" s="1646"/>
      <c r="L205" s="708"/>
      <c r="M205" s="90"/>
      <c r="N205" s="555" t="s">
        <v>2932</v>
      </c>
      <c r="O205" s="1628" t="s">
        <v>3465</v>
      </c>
      <c r="P205" s="544"/>
      <c r="R205" s="561"/>
    </row>
    <row r="206" spans="1:18" ht="11.25" customHeight="1">
      <c r="A206" s="254"/>
      <c r="B206" s="718"/>
      <c r="C206" s="555" t="s">
        <v>2933</v>
      </c>
      <c r="D206" s="44" t="s">
        <v>3910</v>
      </c>
      <c r="I206" s="1645"/>
      <c r="J206" s="1646"/>
      <c r="L206" s="708"/>
      <c r="M206" s="90"/>
      <c r="N206" s="555" t="s">
        <v>2933</v>
      </c>
      <c r="O206" s="1628" t="s">
        <v>3465</v>
      </c>
      <c r="P206" s="544"/>
      <c r="R206" s="561"/>
    </row>
    <row r="207" spans="1:18" s="51" customFormat="1" ht="11.25" customHeight="1">
      <c r="A207" s="253"/>
      <c r="B207" s="718"/>
      <c r="C207" s="578" t="s">
        <v>2934</v>
      </c>
      <c r="D207" s="44" t="s">
        <v>3436</v>
      </c>
      <c r="H207" s="66"/>
      <c r="I207" s="1645"/>
      <c r="J207" s="1646"/>
      <c r="K207" s="255"/>
      <c r="L207" s="708"/>
      <c r="M207" s="90"/>
      <c r="N207" s="578" t="s">
        <v>2934</v>
      </c>
      <c r="O207" s="1628" t="s">
        <v>3465</v>
      </c>
      <c r="P207" s="544"/>
      <c r="R207" s="561"/>
    </row>
    <row r="208" spans="1:18" ht="11.25" customHeight="1">
      <c r="A208" s="254"/>
      <c r="B208" s="718"/>
      <c r="C208" s="555" t="s">
        <v>3762</v>
      </c>
      <c r="D208" s="44" t="s">
        <v>3437</v>
      </c>
      <c r="H208" s="66"/>
      <c r="I208" s="1645"/>
      <c r="J208" s="1646"/>
      <c r="L208" s="708"/>
      <c r="M208" s="90"/>
      <c r="N208" s="555" t="s">
        <v>3762</v>
      </c>
      <c r="O208" s="1628" t="s">
        <v>3465</v>
      </c>
      <c r="P208" s="544"/>
      <c r="R208" s="561"/>
    </row>
    <row r="209" spans="1:18" ht="11.25" customHeight="1">
      <c r="A209" s="254"/>
      <c r="B209" s="718"/>
      <c r="C209" s="555" t="s">
        <v>3763</v>
      </c>
      <c r="D209" s="44" t="s">
        <v>3438</v>
      </c>
      <c r="H209" s="66"/>
      <c r="I209" s="1645"/>
      <c r="J209" s="1646"/>
      <c r="L209" s="708"/>
      <c r="M209" s="90"/>
      <c r="N209" s="555" t="s">
        <v>3763</v>
      </c>
      <c r="O209" s="1628" t="s">
        <v>3465</v>
      </c>
      <c r="P209" s="544"/>
      <c r="R209" s="561"/>
    </row>
    <row r="210" spans="1:18" ht="11.25" customHeight="1" thickBot="1">
      <c r="A210" s="254"/>
      <c r="B210" s="718"/>
      <c r="C210" s="555" t="s">
        <v>3770</v>
      </c>
      <c r="D210" s="704" t="s">
        <v>3911</v>
      </c>
      <c r="E210" s="705"/>
      <c r="F210" s="705"/>
      <c r="G210" s="705"/>
      <c r="H210" s="706"/>
      <c r="I210" s="1647">
        <v>2106000</v>
      </c>
      <c r="J210" s="1648"/>
      <c r="L210" s="712"/>
      <c r="M210" s="90"/>
      <c r="N210" s="555" t="s">
        <v>3770</v>
      </c>
      <c r="O210" s="1624" t="s">
        <v>4060</v>
      </c>
      <c r="P210" s="358"/>
      <c r="R210" s="561"/>
    </row>
    <row r="211" spans="1:18" ht="12" customHeight="1" thickBot="1">
      <c r="A211" s="254"/>
      <c r="B211" s="718"/>
      <c r="D211" s="702" t="s">
        <v>3914</v>
      </c>
      <c r="H211" s="66"/>
      <c r="I211" s="1649">
        <f>SUM(I203:J210)</f>
        <v>2106000</v>
      </c>
      <c r="J211" s="1650"/>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2314</v>
      </c>
      <c r="C213" s="725" t="s">
        <v>3913</v>
      </c>
      <c r="D213" s="702" t="s">
        <v>3915</v>
      </c>
      <c r="I213" s="1177">
        <f>'Part IV-Uses of Funds'!$G$123</f>
        <v>11469093</v>
      </c>
      <c r="J213" s="1178"/>
      <c r="M213" s="218"/>
      <c r="N213" s="31"/>
      <c r="O213" s="31"/>
      <c r="P213" s="31"/>
    </row>
    <row r="214" spans="1:18" ht="12" customHeight="1">
      <c r="B214" s="252"/>
      <c r="C214" s="701"/>
      <c r="D214" s="723" t="s">
        <v>3916</v>
      </c>
      <c r="G214" s="711"/>
      <c r="H214" s="711"/>
      <c r="I214" s="1175">
        <f>IF($I$213=0,0,$I$211/$I$213)</f>
        <v>0.18362393608631475</v>
      </c>
      <c r="J214" s="1176"/>
      <c r="L214" s="703">
        <f>IF($I$213=0,0,$L$211/$I$213)</f>
        <v>0</v>
      </c>
      <c r="M214" s="218"/>
      <c r="N214" s="31"/>
      <c r="O214" s="31"/>
      <c r="P214" s="31"/>
    </row>
    <row r="215" spans="1:18" s="133" customFormat="1" ht="5.25" customHeight="1">
      <c r="B215" s="718"/>
    </row>
    <row r="216" spans="1:18" s="51" customFormat="1" ht="12.75" customHeight="1">
      <c r="A216" s="190" t="s">
        <v>2311</v>
      </c>
      <c r="B216" s="258" t="s">
        <v>3982</v>
      </c>
      <c r="D216" s="47"/>
      <c r="E216" s="44"/>
      <c r="F216" s="1"/>
      <c r="G216" s="38" t="s">
        <v>3983</v>
      </c>
      <c r="H216" s="44"/>
      <c r="I216" s="1"/>
      <c r="J216" s="38"/>
      <c r="K216" s="38"/>
      <c r="L216" s="38"/>
      <c r="M216" s="90">
        <v>1</v>
      </c>
      <c r="N216" s="60" t="s">
        <v>2311</v>
      </c>
      <c r="O216" s="1560">
        <v>1</v>
      </c>
      <c r="P216" s="86"/>
    </row>
    <row r="217" spans="1:18" s="133" customFormat="1" ht="6" customHeight="1">
      <c r="B217" s="718"/>
    </row>
    <row r="218" spans="1:18" s="51" customFormat="1" ht="12.75" customHeight="1">
      <c r="A218" s="190" t="s">
        <v>2783</v>
      </c>
      <c r="B218" s="258" t="s">
        <v>871</v>
      </c>
      <c r="D218" s="47"/>
      <c r="E218" s="44"/>
      <c r="F218" s="1"/>
      <c r="G218" s="1"/>
      <c r="H218" s="1"/>
      <c r="I218" s="1"/>
      <c r="J218" s="38"/>
      <c r="K218" s="38"/>
      <c r="L218" s="38"/>
      <c r="M218" s="699">
        <v>2</v>
      </c>
      <c r="N218" s="60" t="s">
        <v>2783</v>
      </c>
      <c r="O218" s="206">
        <f>IF($K$221&gt;=0.1, 2,IF($K$221&gt;=0.05, 1,0))</f>
        <v>0</v>
      </c>
      <c r="P218" s="206">
        <f>IF($M$221&gt;=0.1, 2,IF($M$221&gt;=0.05, 1,0))</f>
        <v>0</v>
      </c>
      <c r="R218" s="561" t="str">
        <f>IF(OR($O218=$M218,$O218=0,$O218=""),"","* * Check Score! * *")</f>
        <v/>
      </c>
    </row>
    <row r="219" spans="1:18" s="51" customFormat="1" ht="12.6" customHeight="1">
      <c r="A219" s="253"/>
      <c r="B219" s="44" t="s">
        <v>872</v>
      </c>
      <c r="E219" s="1651"/>
      <c r="F219" s="1652"/>
      <c r="G219" s="1652"/>
      <c r="H219" s="1653"/>
      <c r="K219" s="255"/>
      <c r="M219" s="7"/>
      <c r="N219" s="7"/>
      <c r="O219" s="7"/>
      <c r="P219" s="7"/>
    </row>
    <row r="220" spans="1:18" ht="12" customHeight="1">
      <c r="A220" s="254"/>
      <c r="B220" s="585" t="s">
        <v>2832</v>
      </c>
      <c r="D220" s="586"/>
      <c r="E220" s="1654"/>
      <c r="F220" s="1655"/>
      <c r="G220" s="1655"/>
      <c r="H220" s="1655"/>
      <c r="I220" s="1655"/>
      <c r="J220" s="1655"/>
      <c r="K220" s="1655"/>
      <c r="L220" s="1655"/>
      <c r="M220" s="1655"/>
      <c r="N220" s="1655"/>
      <c r="O220" s="1655"/>
      <c r="P220" s="1305"/>
    </row>
    <row r="221" spans="1:18" ht="12.6" customHeight="1">
      <c r="B221" s="44" t="s">
        <v>3805</v>
      </c>
      <c r="E221" s="707"/>
      <c r="I221" s="1656"/>
      <c r="J221" s="1657"/>
      <c r="K221" s="703">
        <f>IF($I$221=0,0,$I$221/$I$213)</f>
        <v>0</v>
      </c>
      <c r="L221" s="708"/>
      <c r="M221" s="1175">
        <f>IF($L$221=0,0,$L$221/$I$213)</f>
        <v>0</v>
      </c>
      <c r="N221" s="1176"/>
      <c r="O221" s="123"/>
      <c r="P221" s="123"/>
    </row>
    <row r="222" spans="1:18" s="133" customFormat="1" ht="6" customHeight="1">
      <c r="B222" s="718"/>
    </row>
    <row r="223" spans="1:18" s="51" customFormat="1" ht="11.25" customHeight="1">
      <c r="A223" s="50"/>
      <c r="B223" s="57" t="s">
        <v>238</v>
      </c>
      <c r="C223" s="50"/>
      <c r="D223" s="56"/>
      <c r="E223" s="56"/>
      <c r="F223" s="56"/>
      <c r="G223" s="56"/>
      <c r="H223" s="44"/>
      <c r="I223" s="44"/>
      <c r="J223" s="44"/>
      <c r="K223" s="44"/>
      <c r="M223" s="54"/>
      <c r="N223" s="75"/>
      <c r="O223" s="4"/>
      <c r="P223" s="852"/>
    </row>
    <row r="224" spans="1:18" s="51" customFormat="1" ht="24" customHeight="1">
      <c r="A224" s="1564" t="s">
        <v>485</v>
      </c>
      <c r="B224" s="1565"/>
      <c r="C224" s="1565"/>
      <c r="D224" s="1565"/>
      <c r="E224" s="1565"/>
      <c r="F224" s="1565"/>
      <c r="G224" s="1565"/>
      <c r="H224" s="1565"/>
      <c r="I224" s="1565"/>
      <c r="J224" s="1565"/>
      <c r="K224" s="1565"/>
      <c r="L224" s="1565"/>
      <c r="M224" s="1565"/>
      <c r="N224" s="1565"/>
      <c r="O224" s="1565"/>
      <c r="P224" s="1566"/>
    </row>
    <row r="225" spans="1:18" s="135" customFormat="1" ht="10.9" customHeight="1">
      <c r="A225" s="50"/>
      <c r="B225" s="130" t="s">
        <v>349</v>
      </c>
      <c r="C225" s="131"/>
      <c r="D225" s="130"/>
      <c r="E225" s="260"/>
      <c r="F225" s="851"/>
      <c r="G225" s="851"/>
      <c r="H225" s="851"/>
      <c r="I225" s="851"/>
      <c r="J225" s="851"/>
      <c r="K225" s="851"/>
      <c r="L225" s="851"/>
      <c r="M225" s="851"/>
      <c r="N225" s="125"/>
      <c r="O225" s="259"/>
      <c r="P225" s="3"/>
    </row>
    <row r="226" spans="1:18" s="51" customFormat="1" ht="23.25" customHeight="1">
      <c r="A226" s="1107"/>
      <c r="B226" s="1108"/>
      <c r="C226" s="1108"/>
      <c r="D226" s="1108"/>
      <c r="E226" s="1108"/>
      <c r="F226" s="1108"/>
      <c r="G226" s="1108"/>
      <c r="H226" s="1108"/>
      <c r="I226" s="1108"/>
      <c r="J226" s="1108"/>
      <c r="K226" s="1108"/>
      <c r="L226" s="1108"/>
      <c r="M226" s="1108"/>
      <c r="N226" s="1108"/>
      <c r="O226" s="1108"/>
      <c r="P226" s="1109"/>
    </row>
    <row r="227" spans="1:18" ht="3" customHeight="1"/>
    <row r="228" spans="1:18" s="51" customFormat="1" ht="15">
      <c r="A228" s="211" t="s">
        <v>2002</v>
      </c>
      <c r="B228" s="145" t="s">
        <v>2006</v>
      </c>
      <c r="C228" s="80"/>
      <c r="E228" s="49"/>
      <c r="G228" s="44"/>
      <c r="H228" s="44"/>
      <c r="I228" s="47"/>
      <c r="J228" s="56"/>
      <c r="K228" s="56"/>
      <c r="L228" s="561" t="str">
        <f>IF(OR($O228=$M228,$O228=0,$O228=""),"","* * Check Score! * *")</f>
        <v/>
      </c>
      <c r="M228" s="3">
        <v>6</v>
      </c>
      <c r="N228" s="135"/>
      <c r="O228" s="54"/>
      <c r="P228" s="86"/>
      <c r="Q228" s="149" t="s">
        <v>578</v>
      </c>
      <c r="R228" s="561"/>
    </row>
    <row r="229" spans="1:18" s="51" customFormat="1" ht="12" customHeight="1">
      <c r="A229" s="190" t="s">
        <v>2308</v>
      </c>
      <c r="B229" s="238" t="s">
        <v>1167</v>
      </c>
      <c r="D229" s="40"/>
      <c r="H229" s="66" t="s">
        <v>2798</v>
      </c>
      <c r="N229" s="60" t="s">
        <v>2308</v>
      </c>
      <c r="O229" s="1623" t="s">
        <v>4060</v>
      </c>
      <c r="P229" s="357"/>
      <c r="R229" s="561"/>
    </row>
    <row r="230" spans="1:18" s="51" customFormat="1" ht="24.6" customHeight="1">
      <c r="A230" s="50"/>
      <c r="B230" s="1171" t="s">
        <v>1150</v>
      </c>
      <c r="C230" s="1172"/>
      <c r="D230" s="1172"/>
      <c r="E230" s="1172"/>
      <c r="F230" s="1172"/>
      <c r="G230" s="1172"/>
      <c r="H230" s="1172"/>
      <c r="I230" s="1172"/>
      <c r="J230" s="1172"/>
      <c r="K230" s="1172"/>
      <c r="L230" s="1172"/>
      <c r="M230" s="54"/>
      <c r="N230" s="75"/>
      <c r="O230" s="1624" t="s">
        <v>4060</v>
      </c>
      <c r="P230" s="358"/>
    </row>
    <row r="231" spans="1:18" s="51" customFormat="1" ht="12" customHeight="1">
      <c r="A231" s="190" t="s">
        <v>2311</v>
      </c>
      <c r="B231" s="238" t="s">
        <v>3917</v>
      </c>
      <c r="D231" s="40"/>
      <c r="E231" s="40"/>
      <c r="F231" s="40"/>
      <c r="H231" s="66" t="s">
        <v>2798</v>
      </c>
      <c r="N231" s="60" t="s">
        <v>2311</v>
      </c>
      <c r="O231" s="1560" t="s">
        <v>4061</v>
      </c>
      <c r="P231" s="234"/>
      <c r="R231" s="561"/>
    </row>
    <row r="232" spans="1:18" s="51" customFormat="1" ht="12" customHeight="1">
      <c r="A232" s="50"/>
      <c r="B232" s="66" t="s">
        <v>3920</v>
      </c>
      <c r="D232" s="47"/>
      <c r="E232" s="44"/>
      <c r="F232" s="1"/>
      <c r="G232" s="1"/>
      <c r="H232" s="1"/>
      <c r="I232" s="1"/>
      <c r="J232" s="38"/>
      <c r="K232" s="38"/>
      <c r="L232" s="38"/>
      <c r="M232" s="822"/>
      <c r="N232" s="1"/>
      <c r="O232" s="852"/>
      <c r="P232" s="4"/>
    </row>
    <row r="233" spans="1:18" s="133" customFormat="1" ht="11.25" customHeight="1">
      <c r="B233" s="554" t="s">
        <v>2312</v>
      </c>
      <c r="C233" s="700" t="s">
        <v>3918</v>
      </c>
      <c r="E233" s="118"/>
      <c r="F233" s="63"/>
      <c r="G233" s="63"/>
      <c r="H233" s="63"/>
      <c r="I233" s="63"/>
      <c r="J233" s="65"/>
      <c r="K233" s="73"/>
      <c r="L233" s="69" t="str">
        <f>IF(M233&gt;14,"Over limit!","")</f>
        <v/>
      </c>
      <c r="N233" s="252" t="s">
        <v>2312</v>
      </c>
      <c r="O233" s="1623"/>
      <c r="P233" s="357"/>
    </row>
    <row r="234" spans="1:18" s="133" customFormat="1" ht="11.25" customHeight="1">
      <c r="B234" s="554" t="s">
        <v>2314</v>
      </c>
      <c r="C234" s="700" t="s">
        <v>3919</v>
      </c>
      <c r="N234" s="252" t="s">
        <v>2314</v>
      </c>
      <c r="O234" s="1628"/>
      <c r="P234" s="544"/>
    </row>
    <row r="235" spans="1:18" s="133" customFormat="1" ht="11.25" customHeight="1">
      <c r="B235" s="554" t="s">
        <v>3832</v>
      </c>
      <c r="C235" s="700" t="s">
        <v>3921</v>
      </c>
      <c r="N235" s="252" t="s">
        <v>3832</v>
      </c>
      <c r="O235" s="1628"/>
      <c r="P235" s="544"/>
    </row>
    <row r="236" spans="1:18" s="133" customFormat="1" ht="11.25" customHeight="1">
      <c r="B236" s="554" t="s">
        <v>1320</v>
      </c>
      <c r="C236" s="700" t="s">
        <v>3922</v>
      </c>
      <c r="N236" s="252" t="s">
        <v>1320</v>
      </c>
      <c r="O236" s="1624"/>
      <c r="P236" s="358"/>
    </row>
    <row r="237" spans="1:18" s="51" customFormat="1" ht="10.5" customHeight="1">
      <c r="A237" s="50"/>
      <c r="B237" s="57" t="s">
        <v>238</v>
      </c>
      <c r="C237" s="50"/>
      <c r="D237" s="56"/>
      <c r="E237" s="56"/>
      <c r="F237" s="56"/>
      <c r="G237" s="56"/>
      <c r="H237" s="44"/>
      <c r="I237" s="44"/>
      <c r="J237" s="44"/>
      <c r="K237" s="44"/>
      <c r="M237" s="54"/>
      <c r="N237" s="75"/>
      <c r="O237" s="4"/>
      <c r="P237" s="852"/>
    </row>
    <row r="238" spans="1:18" s="51" customFormat="1" ht="12.75" customHeight="1">
      <c r="A238" s="1564" t="s">
        <v>486</v>
      </c>
      <c r="B238" s="1565"/>
      <c r="C238" s="1565"/>
      <c r="D238" s="1565"/>
      <c r="E238" s="1565"/>
      <c r="F238" s="1565"/>
      <c r="G238" s="1565"/>
      <c r="H238" s="1565"/>
      <c r="I238" s="1565"/>
      <c r="J238" s="1565"/>
      <c r="K238" s="1565"/>
      <c r="L238" s="1565"/>
      <c r="M238" s="1565"/>
      <c r="N238" s="1565"/>
      <c r="O238" s="1565"/>
      <c r="P238" s="1566"/>
      <c r="Q238" s="738" t="s">
        <v>3276</v>
      </c>
    </row>
    <row r="239" spans="1:18" s="135" customFormat="1" ht="10.5" customHeight="1">
      <c r="A239" s="50"/>
      <c r="B239" s="130" t="s">
        <v>349</v>
      </c>
      <c r="C239" s="131"/>
      <c r="D239" s="130"/>
      <c r="E239" s="260"/>
      <c r="F239" s="851"/>
      <c r="G239" s="851"/>
      <c r="H239" s="851"/>
      <c r="I239" s="851"/>
      <c r="J239" s="851"/>
      <c r="K239" s="851"/>
      <c r="L239" s="851"/>
      <c r="M239" s="851"/>
      <c r="N239" s="125"/>
      <c r="O239" s="259"/>
      <c r="P239" s="3"/>
      <c r="Q239" s="691"/>
    </row>
    <row r="240" spans="1:18" s="51" customFormat="1" ht="23.45" customHeight="1">
      <c r="A240" s="1107"/>
      <c r="B240" s="1108"/>
      <c r="C240" s="1108"/>
      <c r="D240" s="1108"/>
      <c r="E240" s="1108"/>
      <c r="F240" s="1108"/>
      <c r="G240" s="1108"/>
      <c r="H240" s="1108"/>
      <c r="I240" s="1108"/>
      <c r="J240" s="1108"/>
      <c r="K240" s="1108"/>
      <c r="L240" s="1108"/>
      <c r="M240" s="1108"/>
      <c r="N240" s="1108"/>
      <c r="O240" s="1108"/>
      <c r="P240" s="1109"/>
      <c r="Q240" s="738" t="s">
        <v>3276</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2004</v>
      </c>
      <c r="B242" s="153" t="s">
        <v>2008</v>
      </c>
      <c r="C242" s="117"/>
      <c r="D242" s="71"/>
      <c r="E242" s="63"/>
      <c r="J242" s="74"/>
      <c r="M242" s="3">
        <v>5</v>
      </c>
      <c r="N242" s="7"/>
      <c r="O242" s="94">
        <f>MIN($M242,O243+O246)</f>
        <v>5</v>
      </c>
      <c r="P242" s="94">
        <f>MIN($M242,P243+P246)</f>
        <v>0</v>
      </c>
      <c r="Q242" s="149" t="s">
        <v>578</v>
      </c>
    </row>
    <row r="243" spans="1:18" s="51" customFormat="1" ht="12" customHeight="1">
      <c r="A243" s="190" t="s">
        <v>2308</v>
      </c>
      <c r="B243" s="238" t="s">
        <v>3923</v>
      </c>
      <c r="D243" s="40"/>
      <c r="E243" s="40"/>
      <c r="F243" s="40"/>
      <c r="L243" s="561" t="str">
        <f>IF(OR($O243=$M243,$O243=0,$O243=""),"","* * Check Score! * *")</f>
        <v/>
      </c>
      <c r="M243" s="7">
        <v>3</v>
      </c>
      <c r="N243" s="60" t="s">
        <v>2308</v>
      </c>
      <c r="O243" s="1658">
        <v>3</v>
      </c>
      <c r="P243" s="745"/>
      <c r="Q243" s="149"/>
      <c r="R243" s="561" t="str">
        <f>IF(OR($O243=$M243,$O243=0,$O243=""),"","* * Check Score! * *")</f>
        <v/>
      </c>
    </row>
    <row r="244" spans="1:18" s="51" customFormat="1" ht="36" customHeight="1">
      <c r="A244" s="190"/>
      <c r="B244" s="1179" t="s">
        <v>3291</v>
      </c>
      <c r="C244" s="1179"/>
      <c r="D244" s="1179"/>
      <c r="E244" s="1179"/>
      <c r="F244" s="1179"/>
      <c r="G244" s="1179"/>
      <c r="H244" s="1179"/>
      <c r="I244" s="1179"/>
      <c r="J244" s="1179"/>
      <c r="K244" s="1179"/>
      <c r="L244" s="1179"/>
      <c r="M244" s="561"/>
      <c r="N244" s="561"/>
      <c r="O244" s="1659" t="s">
        <v>4086</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2311</v>
      </c>
      <c r="B246" s="238" t="s">
        <v>3924</v>
      </c>
      <c r="D246" s="48"/>
      <c r="F246" s="38"/>
      <c r="G246" s="135"/>
      <c r="H246" s="74" t="s">
        <v>471</v>
      </c>
      <c r="K246" s="135"/>
      <c r="L246" s="44"/>
      <c r="M246" s="7">
        <v>2</v>
      </c>
      <c r="N246" s="60" t="s">
        <v>2311</v>
      </c>
      <c r="O246" s="713">
        <f>MIN($M246,O247+O248)</f>
        <v>2</v>
      </c>
      <c r="P246" s="713">
        <f>MIN($M246,P247+P248)</f>
        <v>0</v>
      </c>
      <c r="R246" s="561" t="str">
        <f>IF(OR($O247=$M246,$O247=0,$O247=""),"","* * Check Score! * *")</f>
        <v/>
      </c>
    </row>
    <row r="247" spans="1:18" s="658" customFormat="1" ht="36" customHeight="1">
      <c r="A247" s="657"/>
      <c r="B247" s="726" t="s">
        <v>2312</v>
      </c>
      <c r="C247" s="1118" t="s">
        <v>104</v>
      </c>
      <c r="D247" s="1118"/>
      <c r="E247" s="1118"/>
      <c r="F247" s="1118"/>
      <c r="G247" s="1118"/>
      <c r="H247" s="1118"/>
      <c r="I247" s="1118"/>
      <c r="J247" s="1118"/>
      <c r="K247" s="1118"/>
      <c r="L247" s="1118"/>
      <c r="M247" s="659">
        <v>2</v>
      </c>
      <c r="O247" s="1658">
        <v>2</v>
      </c>
      <c r="P247" s="745"/>
    </row>
    <row r="248" spans="1:18" s="658" customFormat="1" ht="24" customHeight="1">
      <c r="A248" s="714" t="s">
        <v>1426</v>
      </c>
      <c r="B248" s="726" t="s">
        <v>2314</v>
      </c>
      <c r="C248" s="1118" t="s">
        <v>3339</v>
      </c>
      <c r="D248" s="1118"/>
      <c r="E248" s="1118"/>
      <c r="F248" s="1118"/>
      <c r="G248" s="1118"/>
      <c r="H248" s="1118"/>
      <c r="I248" s="1118"/>
      <c r="J248" s="1118"/>
      <c r="K248" s="1118"/>
      <c r="L248" s="1118"/>
      <c r="M248" s="659">
        <v>1</v>
      </c>
      <c r="O248" s="1659"/>
      <c r="P248" s="746"/>
    </row>
    <row r="249" spans="1:18" s="51" customFormat="1" ht="12" customHeight="1">
      <c r="A249" s="50"/>
      <c r="B249" s="57" t="s">
        <v>238</v>
      </c>
      <c r="C249" s="50"/>
      <c r="D249" s="56"/>
      <c r="E249" s="56"/>
      <c r="F249" s="56"/>
      <c r="G249" s="56"/>
      <c r="H249" s="44"/>
      <c r="I249" s="44"/>
      <c r="J249" s="44"/>
      <c r="K249" s="44"/>
      <c r="M249" s="54"/>
      <c r="N249" s="75"/>
      <c r="O249" s="4"/>
      <c r="P249" s="852"/>
    </row>
    <row r="250" spans="1:18" s="51" customFormat="1" ht="12" customHeight="1">
      <c r="A250" s="1564" t="s">
        <v>487</v>
      </c>
      <c r="B250" s="1565"/>
      <c r="C250" s="1565"/>
      <c r="D250" s="1565"/>
      <c r="E250" s="1565"/>
      <c r="F250" s="1565"/>
      <c r="G250" s="1565"/>
      <c r="H250" s="1565"/>
      <c r="I250" s="1565"/>
      <c r="J250" s="1565"/>
      <c r="K250" s="1565"/>
      <c r="L250" s="1565"/>
      <c r="M250" s="1565"/>
      <c r="N250" s="1565"/>
      <c r="O250" s="1565"/>
      <c r="P250" s="1566"/>
    </row>
    <row r="251" spans="1:18" s="51" customFormat="1" ht="12" customHeight="1">
      <c r="B251" s="115" t="s">
        <v>349</v>
      </c>
      <c r="C251" s="131"/>
      <c r="D251" s="115"/>
      <c r="E251" s="132"/>
      <c r="F251" s="853"/>
      <c r="G251" s="853"/>
      <c r="H251" s="853"/>
      <c r="I251" s="853"/>
      <c r="J251" s="853"/>
      <c r="K251" s="853"/>
      <c r="L251" s="853"/>
      <c r="M251" s="853"/>
      <c r="N251" s="92"/>
      <c r="O251" s="87"/>
      <c r="P251" s="3"/>
    </row>
    <row r="252" spans="1:18" s="51" customFormat="1" ht="12" customHeight="1">
      <c r="A252" s="1107"/>
      <c r="B252" s="1108"/>
      <c r="C252" s="1108"/>
      <c r="D252" s="1108"/>
      <c r="E252" s="1108"/>
      <c r="F252" s="1108"/>
      <c r="G252" s="1108"/>
      <c r="H252" s="1108"/>
      <c r="I252" s="1108"/>
      <c r="J252" s="1108"/>
      <c r="K252" s="1108"/>
      <c r="L252" s="1108"/>
      <c r="M252" s="1108"/>
      <c r="N252" s="1108"/>
      <c r="O252" s="1108"/>
      <c r="P252" s="1109"/>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2005</v>
      </c>
      <c r="B254" s="145" t="s">
        <v>2009</v>
      </c>
      <c r="D254" s="53"/>
      <c r="E254" s="53"/>
      <c r="F254" s="47"/>
      <c r="G254" s="44"/>
      <c r="H254" s="44"/>
      <c r="I254" s="44"/>
      <c r="J254" s="44"/>
      <c r="K254" s="44"/>
      <c r="L254" s="561" t="str">
        <f>IF(OR($O254=$M254,$O254&lt;=0,$O254=""),"","* * Check Score! * *")</f>
        <v/>
      </c>
      <c r="M254" s="3">
        <v>10</v>
      </c>
      <c r="N254" s="7"/>
      <c r="O254" s="78">
        <f>O256</f>
        <v>10</v>
      </c>
      <c r="P254" s="78">
        <f>P256</f>
        <v>0</v>
      </c>
      <c r="Q254" s="149" t="s">
        <v>578</v>
      </c>
    </row>
    <row r="255" spans="1:18" s="43" customFormat="1" ht="11.45" customHeight="1">
      <c r="B255" s="196" t="s">
        <v>3846</v>
      </c>
      <c r="M255" s="50"/>
      <c r="N255" s="50"/>
      <c r="O255" s="1560" t="s">
        <v>4061</v>
      </c>
      <c r="P255" s="234"/>
    </row>
    <row r="256" spans="1:18" ht="12.6" customHeight="1">
      <c r="A256" s="190" t="s">
        <v>2308</v>
      </c>
      <c r="B256" s="256" t="s">
        <v>3381</v>
      </c>
      <c r="D256" s="40"/>
      <c r="E256" s="40"/>
      <c r="F256" s="40"/>
      <c r="G256" s="40"/>
      <c r="H256" s="40"/>
      <c r="I256" s="40"/>
      <c r="J256" s="40"/>
      <c r="K256" s="40"/>
      <c r="L256" s="40"/>
      <c r="M256" s="158"/>
      <c r="N256" s="60" t="s">
        <v>2308</v>
      </c>
      <c r="O256" s="1660">
        <v>10</v>
      </c>
      <c r="P256" s="583"/>
    </row>
    <row r="257" spans="1:18" ht="12.6" customHeight="1">
      <c r="A257" s="190" t="s">
        <v>2311</v>
      </c>
      <c r="B257" s="256" t="s">
        <v>2260</v>
      </c>
      <c r="D257" s="40"/>
      <c r="E257" s="40"/>
      <c r="F257" s="40"/>
      <c r="G257" s="48"/>
      <c r="H257" s="48"/>
      <c r="I257" s="48"/>
      <c r="J257" s="48"/>
      <c r="K257" s="48"/>
      <c r="M257" s="135"/>
      <c r="N257" s="60" t="s">
        <v>2311</v>
      </c>
      <c r="O257" s="1560"/>
      <c r="P257" s="234"/>
    </row>
    <row r="258" spans="1:18" s="51" customFormat="1" ht="11.25" customHeight="1">
      <c r="A258" s="50"/>
      <c r="B258" s="57" t="s">
        <v>238</v>
      </c>
      <c r="C258" s="50"/>
      <c r="D258" s="56"/>
      <c r="E258" s="56"/>
      <c r="F258" s="56"/>
      <c r="G258" s="56"/>
      <c r="H258" s="44"/>
      <c r="I258" s="44"/>
      <c r="J258" s="44"/>
      <c r="K258" s="44"/>
      <c r="M258" s="54"/>
      <c r="N258" s="75"/>
      <c r="O258" s="4"/>
      <c r="P258" s="852"/>
    </row>
    <row r="259" spans="1:18" s="51" customFormat="1" ht="12.75" customHeight="1">
      <c r="A259" s="1564" t="s">
        <v>488</v>
      </c>
      <c r="B259" s="1565"/>
      <c r="C259" s="1565"/>
      <c r="D259" s="1565"/>
      <c r="E259" s="1565"/>
      <c r="F259" s="1565"/>
      <c r="G259" s="1565"/>
      <c r="H259" s="1565"/>
      <c r="I259" s="1565"/>
      <c r="J259" s="1565"/>
      <c r="K259" s="1565"/>
      <c r="L259" s="1565"/>
      <c r="M259" s="1565"/>
      <c r="N259" s="1565"/>
      <c r="O259" s="1565"/>
      <c r="P259" s="1566"/>
      <c r="Q259" s="738" t="s">
        <v>3276</v>
      </c>
      <c r="R259" s="739"/>
    </row>
    <row r="260" spans="1:18" s="135" customFormat="1" ht="11.25" customHeight="1">
      <c r="A260" s="81"/>
      <c r="B260" s="81" t="s">
        <v>349</v>
      </c>
      <c r="C260" s="58"/>
      <c r="D260" s="81"/>
      <c r="E260" s="851"/>
      <c r="F260" s="851"/>
      <c r="G260" s="851"/>
      <c r="H260" s="851"/>
      <c r="I260" s="851"/>
      <c r="J260" s="851"/>
      <c r="K260" s="851"/>
      <c r="L260" s="851"/>
      <c r="M260" s="851"/>
      <c r="N260" s="125"/>
      <c r="O260" s="259"/>
      <c r="P260" s="3"/>
    </row>
    <row r="261" spans="1:18" s="51" customFormat="1" ht="12.75" customHeight="1">
      <c r="A261" s="1107"/>
      <c r="B261" s="1108"/>
      <c r="C261" s="1108"/>
      <c r="D261" s="1108"/>
      <c r="E261" s="1108"/>
      <c r="F261" s="1108"/>
      <c r="G261" s="1108"/>
      <c r="H261" s="1108"/>
      <c r="I261" s="1108"/>
      <c r="J261" s="1108"/>
      <c r="K261" s="1108"/>
      <c r="L261" s="1108"/>
      <c r="M261" s="1108"/>
      <c r="N261" s="1108"/>
      <c r="O261" s="1108"/>
      <c r="P261" s="1109"/>
      <c r="Q261" s="738" t="s">
        <v>3276</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2007</v>
      </c>
      <c r="B263" s="146" t="s">
        <v>3292</v>
      </c>
      <c r="C263" s="65"/>
      <c r="D263" s="160"/>
      <c r="E263" s="160"/>
      <c r="F263" s="49"/>
      <c r="H263" s="47"/>
      <c r="K263" s="56"/>
      <c r="M263" s="3">
        <v>20</v>
      </c>
      <c r="N263" s="7"/>
      <c r="O263" s="94">
        <f>MIN($M263,(O264+O273))</f>
        <v>0</v>
      </c>
      <c r="P263" s="94">
        <f>MIN($M263,(P264+P273))</f>
        <v>0</v>
      </c>
      <c r="Q263" s="149" t="s">
        <v>578</v>
      </c>
    </row>
    <row r="264" spans="1:18" s="51" customFormat="1" ht="13.5" customHeight="1">
      <c r="A264" s="190" t="s">
        <v>2308</v>
      </c>
      <c r="B264" s="238" t="s">
        <v>3293</v>
      </c>
      <c r="D264" s="74" t="s">
        <v>4051</v>
      </c>
      <c r="H264" s="47"/>
      <c r="I264" s="47"/>
      <c r="K264" s="47"/>
      <c r="L264" s="561"/>
      <c r="M264" s="3">
        <v>6</v>
      </c>
      <c r="N264" s="80" t="s">
        <v>2308</v>
      </c>
      <c r="O264" s="126">
        <f>IF(O265=$M265,$M265, IF(O267=$M267,$M267, IF(O269=$M269,$M269,0)))</f>
        <v>0</v>
      </c>
      <c r="P264" s="126">
        <f>IF(P265=$M265,$M265, IF(P267=$M267,$M267, IF(P269=$M269,$M269,0)))</f>
        <v>0</v>
      </c>
      <c r="Q264" s="149"/>
    </row>
    <row r="265" spans="1:18" s="658" customFormat="1" ht="12" customHeight="1">
      <c r="A265" s="657" t="str">
        <f>IF($I$90="HOPE VI Initiative", "X","")</f>
        <v/>
      </c>
      <c r="B265" s="726" t="s">
        <v>2312</v>
      </c>
      <c r="C265" s="180" t="s">
        <v>3294</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4033</v>
      </c>
      <c r="D266" s="585"/>
      <c r="E266" s="585"/>
      <c r="F266" s="585"/>
      <c r="G266" s="585"/>
      <c r="H266" s="585"/>
      <c r="I266" s="585"/>
      <c r="J266" s="860"/>
      <c r="K266" s="860"/>
      <c r="L266" s="860"/>
      <c r="M266" s="717"/>
      <c r="O266" s="1616"/>
      <c r="P266" s="86"/>
    </row>
    <row r="267" spans="1:18" s="658" customFormat="1" ht="12" customHeight="1">
      <c r="A267" s="716" t="s">
        <v>1426</v>
      </c>
      <c r="B267" s="726" t="s">
        <v>2314</v>
      </c>
      <c r="C267" s="180" t="s">
        <v>1999</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18" t="s">
        <v>4034</v>
      </c>
      <c r="D268" s="1118"/>
      <c r="E268" s="1118"/>
      <c r="F268" s="1118"/>
      <c r="G268" s="1118"/>
      <c r="H268" s="1118"/>
      <c r="I268" s="1118"/>
      <c r="J268" s="1118"/>
      <c r="K268" s="1118"/>
      <c r="L268" s="1118"/>
      <c r="M268" s="717"/>
      <c r="N268" s="659"/>
      <c r="O268" s="1661"/>
      <c r="P268" s="715"/>
    </row>
    <row r="269" spans="1:18" s="658" customFormat="1" ht="12" customHeight="1">
      <c r="A269" s="716" t="s">
        <v>1426</v>
      </c>
      <c r="B269" s="726" t="s">
        <v>3832</v>
      </c>
      <c r="C269" s="180" t="s">
        <v>1998</v>
      </c>
      <c r="D269" s="585"/>
      <c r="E269" s="585"/>
      <c r="F269" s="1170"/>
      <c r="G269" s="1170"/>
      <c r="H269" s="1170"/>
      <c r="I269" s="1170"/>
      <c r="J269" s="1170"/>
      <c r="K269" s="1170"/>
      <c r="L269" s="1170"/>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2930</v>
      </c>
      <c r="C270" s="1122" t="s">
        <v>4035</v>
      </c>
      <c r="D270" s="1122"/>
      <c r="E270" s="1122"/>
      <c r="F270" s="1122"/>
      <c r="G270" s="1122"/>
      <c r="H270" s="1122"/>
      <c r="I270" s="1122"/>
      <c r="J270" s="1122"/>
      <c r="K270" s="1122"/>
      <c r="L270" s="1122"/>
      <c r="M270" s="659"/>
      <c r="N270" s="578" t="s">
        <v>2930</v>
      </c>
      <c r="O270" s="1662"/>
      <c r="P270" s="742"/>
    </row>
    <row r="271" spans="1:18" s="658" customFormat="1" ht="22.5" customHeight="1">
      <c r="A271" s="657"/>
      <c r="B271" s="578" t="s">
        <v>2931</v>
      </c>
      <c r="C271" s="1118" t="s">
        <v>3340</v>
      </c>
      <c r="D271" s="1118"/>
      <c r="E271" s="1118"/>
      <c r="F271" s="1118"/>
      <c r="G271" s="1118"/>
      <c r="H271" s="1118"/>
      <c r="I271" s="1118"/>
      <c r="J271" s="1118"/>
      <c r="K271" s="1118"/>
      <c r="L271" s="1118"/>
      <c r="M271" s="659"/>
      <c r="N271" s="578" t="s">
        <v>2931</v>
      </c>
      <c r="O271" s="1663"/>
      <c r="P271" s="743"/>
    </row>
    <row r="272" spans="1:18" s="658" customFormat="1" ht="22.5" customHeight="1">
      <c r="A272" s="657"/>
      <c r="B272" s="578" t="s">
        <v>2932</v>
      </c>
      <c r="C272" s="1118" t="s">
        <v>3295</v>
      </c>
      <c r="D272" s="1118"/>
      <c r="E272" s="1118"/>
      <c r="F272" s="1118"/>
      <c r="G272" s="1118"/>
      <c r="H272" s="1118"/>
      <c r="I272" s="1118"/>
      <c r="J272" s="1118"/>
      <c r="K272" s="1118"/>
      <c r="L272" s="1118"/>
      <c r="M272" s="659"/>
      <c r="N272" s="578" t="s">
        <v>2932</v>
      </c>
      <c r="O272" s="1664"/>
      <c r="P272" s="744"/>
    </row>
    <row r="273" spans="1:18" ht="13.5" customHeight="1">
      <c r="A273" s="190" t="s">
        <v>2311</v>
      </c>
      <c r="B273" s="238" t="s">
        <v>3296</v>
      </c>
      <c r="D273" s="40"/>
      <c r="E273" s="74" t="s">
        <v>4050</v>
      </c>
      <c r="F273" s="40"/>
      <c r="G273" s="159"/>
      <c r="H273" s="40"/>
      <c r="I273" s="40"/>
      <c r="J273" s="40"/>
      <c r="K273" s="40"/>
      <c r="L273" s="40"/>
      <c r="M273" s="1">
        <v>14</v>
      </c>
      <c r="N273" s="60" t="s">
        <v>2311</v>
      </c>
      <c r="O273" s="126">
        <f>MIN($M273,O274+O277+O278+O281+O282)</f>
        <v>0</v>
      </c>
      <c r="P273" s="126">
        <f>MIN($M273,P274+P277+P278+P281+P282+P283)</f>
        <v>0</v>
      </c>
      <c r="R273" s="658"/>
    </row>
    <row r="274" spans="1:18" s="133" customFormat="1" ht="12.75" customHeight="1">
      <c r="B274" s="554" t="s">
        <v>2312</v>
      </c>
      <c r="C274" s="727" t="s">
        <v>3297</v>
      </c>
      <c r="L274" s="561"/>
      <c r="M274" s="8">
        <v>4</v>
      </c>
      <c r="N274" s="252" t="s">
        <v>2312</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2930</v>
      </c>
      <c r="C275" s="1118" t="s">
        <v>3938</v>
      </c>
      <c r="D275" s="1118"/>
      <c r="E275" s="1118"/>
      <c r="F275" s="1118"/>
      <c r="G275" s="1118"/>
      <c r="H275" s="1118"/>
      <c r="I275" s="1118"/>
      <c r="J275" s="1118"/>
      <c r="K275" s="1118"/>
      <c r="L275" s="1118"/>
      <c r="M275" s="659">
        <v>4</v>
      </c>
      <c r="N275" s="578" t="s">
        <v>2930</v>
      </c>
      <c r="O275" s="1662"/>
      <c r="P275" s="742"/>
    </row>
    <row r="276" spans="1:18" s="658" customFormat="1" ht="22.5" customHeight="1">
      <c r="A276" s="221" t="s">
        <v>3341</v>
      </c>
      <c r="B276" s="578" t="s">
        <v>2931</v>
      </c>
      <c r="C276" s="1118" t="s">
        <v>3939</v>
      </c>
      <c r="D276" s="1118"/>
      <c r="E276" s="1118"/>
      <c r="F276" s="1118"/>
      <c r="G276" s="1118"/>
      <c r="H276" s="1118"/>
      <c r="I276" s="1118"/>
      <c r="J276" s="1118"/>
      <c r="K276" s="1118"/>
      <c r="L276" s="1118"/>
      <c r="M276" s="659">
        <v>2</v>
      </c>
      <c r="N276" s="578" t="s">
        <v>2931</v>
      </c>
      <c r="O276" s="1664"/>
      <c r="P276" s="744"/>
    </row>
    <row r="277" spans="1:18" s="133" customFormat="1" ht="12" customHeight="1">
      <c r="B277" s="554" t="s">
        <v>2314</v>
      </c>
      <c r="C277" s="727" t="s">
        <v>3298</v>
      </c>
      <c r="L277" s="561" t="str">
        <f>IF(OR($O277=$M277,$O277=0,$O277=""),"","* * Check Score! * *")</f>
        <v/>
      </c>
      <c r="M277" s="8">
        <v>1</v>
      </c>
      <c r="N277" s="252" t="s">
        <v>2314</v>
      </c>
      <c r="O277" s="1616"/>
      <c r="P277" s="86"/>
    </row>
    <row r="278" spans="1:18" s="133" customFormat="1" ht="12" customHeight="1">
      <c r="B278" s="554" t="s">
        <v>3832</v>
      </c>
      <c r="C278" s="727" t="s">
        <v>3940</v>
      </c>
      <c r="L278" s="561" t="str">
        <f>IF(OR($O278=$M278,$O278=0,$O278=""),"","* * Check Score! * *")</f>
        <v/>
      </c>
      <c r="M278" s="8">
        <v>2</v>
      </c>
      <c r="N278" s="252" t="s">
        <v>3832</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2930</v>
      </c>
      <c r="C279" s="1118" t="s">
        <v>3942</v>
      </c>
      <c r="D279" s="1118"/>
      <c r="E279" s="1118"/>
      <c r="F279" s="1118"/>
      <c r="G279" s="1118"/>
      <c r="H279" s="1118"/>
      <c r="I279" s="1118"/>
      <c r="J279" s="1118"/>
      <c r="K279" s="1118"/>
      <c r="L279" s="1118"/>
      <c r="M279" s="659">
        <v>2</v>
      </c>
      <c r="N279" s="578" t="s">
        <v>2930</v>
      </c>
      <c r="O279" s="1658"/>
      <c r="P279" s="745"/>
    </row>
    <row r="280" spans="1:18" s="658" customFormat="1" ht="12" customHeight="1">
      <c r="A280" s="221" t="s">
        <v>3341</v>
      </c>
      <c r="B280" s="578" t="s">
        <v>2931</v>
      </c>
      <c r="C280" s="1118" t="s">
        <v>3941</v>
      </c>
      <c r="D280" s="1118"/>
      <c r="E280" s="1118"/>
      <c r="F280" s="1118"/>
      <c r="G280" s="1118"/>
      <c r="H280" s="1118"/>
      <c r="I280" s="1118"/>
      <c r="J280" s="1118"/>
      <c r="K280" s="1118"/>
      <c r="L280" s="1118"/>
      <c r="M280" s="659">
        <v>1</v>
      </c>
      <c r="N280" s="578" t="s">
        <v>2931</v>
      </c>
      <c r="O280" s="1659"/>
      <c r="P280" s="746"/>
    </row>
    <row r="281" spans="1:18" s="133" customFormat="1" ht="12" customHeight="1">
      <c r="B281" s="554" t="s">
        <v>1320</v>
      </c>
      <c r="C281" s="727" t="s">
        <v>3943</v>
      </c>
      <c r="F281" s="700" t="s">
        <v>3806</v>
      </c>
      <c r="L281" s="561"/>
      <c r="M281" s="8">
        <v>2</v>
      </c>
      <c r="N281" s="252" t="s">
        <v>1320</v>
      </c>
      <c r="O281" s="1616"/>
      <c r="P281" s="86"/>
    </row>
    <row r="282" spans="1:18" s="133" customFormat="1" ht="12" customHeight="1">
      <c r="B282" s="554" t="s">
        <v>1321</v>
      </c>
      <c r="C282" s="727" t="s">
        <v>3944</v>
      </c>
      <c r="F282" s="700" t="s">
        <v>3329</v>
      </c>
      <c r="J282" s="1168">
        <f>'Part IV-Uses of Funds'!$B$39/'Part IV-Uses of Funds'!$G$123</f>
        <v>0.58533913710526198</v>
      </c>
      <c r="K282" s="1169"/>
      <c r="L282" s="561"/>
      <c r="M282" s="8">
        <v>2</v>
      </c>
      <c r="N282" s="252" t="s">
        <v>1321</v>
      </c>
      <c r="O282" s="1616"/>
      <c r="P282" s="86"/>
    </row>
    <row r="283" spans="1:18" s="133" customFormat="1" ht="12" customHeight="1">
      <c r="B283" s="554" t="s">
        <v>2191</v>
      </c>
      <c r="C283" s="727" t="s">
        <v>3945</v>
      </c>
      <c r="F283" s="700" t="s">
        <v>4036</v>
      </c>
      <c r="L283" s="561"/>
      <c r="M283" s="8">
        <v>3</v>
      </c>
      <c r="N283" s="252" t="s">
        <v>2191</v>
      </c>
      <c r="P283" s="86"/>
    </row>
    <row r="284" spans="1:18" s="51" customFormat="1" ht="12" customHeight="1">
      <c r="A284" s="190"/>
      <c r="B284" s="578" t="s">
        <v>2930</v>
      </c>
      <c r="C284" s="66" t="s">
        <v>2798</v>
      </c>
      <c r="D284" s="40"/>
      <c r="N284" s="60"/>
      <c r="O284" s="1560"/>
      <c r="P284" s="234"/>
      <c r="R284" s="561"/>
    </row>
    <row r="285" spans="1:18" s="51" customFormat="1" ht="12" customHeight="1">
      <c r="A285" s="190"/>
      <c r="B285" s="578" t="s">
        <v>2931</v>
      </c>
      <c r="C285" s="66" t="s">
        <v>4030</v>
      </c>
      <c r="D285" s="40"/>
      <c r="N285" s="60"/>
      <c r="O285" s="1560"/>
      <c r="P285" s="234"/>
      <c r="R285" s="561"/>
    </row>
    <row r="286" spans="1:18" s="51" customFormat="1" ht="12" customHeight="1">
      <c r="A286" s="50"/>
      <c r="B286" s="57" t="s">
        <v>238</v>
      </c>
      <c r="C286" s="50"/>
      <c r="D286" s="56"/>
      <c r="E286" s="56"/>
      <c r="F286" s="56"/>
      <c r="G286" s="56"/>
      <c r="H286" s="44"/>
      <c r="I286" s="44"/>
      <c r="J286" s="44"/>
      <c r="K286" s="44"/>
      <c r="M286" s="54"/>
      <c r="N286" s="75"/>
      <c r="O286" s="4"/>
      <c r="P286" s="852"/>
    </row>
    <row r="287" spans="1:18" s="51" customFormat="1" ht="12.75" customHeight="1">
      <c r="A287" s="1564"/>
      <c r="B287" s="1565"/>
      <c r="C287" s="1565"/>
      <c r="D287" s="1565"/>
      <c r="E287" s="1565"/>
      <c r="F287" s="1565"/>
      <c r="G287" s="1565"/>
      <c r="H287" s="1565"/>
      <c r="I287" s="1565"/>
      <c r="J287" s="1565"/>
      <c r="K287" s="1565"/>
      <c r="L287" s="1565"/>
      <c r="M287" s="1565"/>
      <c r="N287" s="1565"/>
      <c r="O287" s="1565"/>
      <c r="P287" s="1566"/>
    </row>
    <row r="288" spans="1:18" s="51" customFormat="1" ht="11.25" customHeight="1">
      <c r="A288" s="50"/>
      <c r="B288" s="115" t="s">
        <v>349</v>
      </c>
      <c r="C288" s="131"/>
      <c r="D288" s="115"/>
      <c r="E288" s="132"/>
      <c r="F288" s="853"/>
      <c r="G288" s="853"/>
      <c r="H288" s="853"/>
      <c r="I288" s="853"/>
      <c r="J288" s="853"/>
      <c r="K288" s="853"/>
      <c r="L288" s="853"/>
      <c r="M288" s="853"/>
      <c r="N288" s="92"/>
      <c r="O288" s="87"/>
      <c r="P288" s="3"/>
    </row>
    <row r="289" spans="1:19" s="51" customFormat="1" ht="12.75" customHeight="1">
      <c r="A289" s="1107"/>
      <c r="B289" s="1108"/>
      <c r="C289" s="1108"/>
      <c r="D289" s="1108"/>
      <c r="E289" s="1108"/>
      <c r="F289" s="1108"/>
      <c r="G289" s="1108"/>
      <c r="H289" s="1108"/>
      <c r="I289" s="1108"/>
      <c r="J289" s="1108"/>
      <c r="K289" s="1108"/>
      <c r="L289" s="1108"/>
      <c r="M289" s="1108"/>
      <c r="N289" s="1108"/>
      <c r="O289" s="1108"/>
      <c r="P289" s="1109"/>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3803</v>
      </c>
      <c r="B291" s="82"/>
      <c r="C291" s="58"/>
      <c r="D291" s="43"/>
      <c r="E291" s="43"/>
      <c r="F291" s="65"/>
      <c r="G291" s="51"/>
      <c r="H291" s="213" t="s">
        <v>2444</v>
      </c>
      <c r="I291" s="214"/>
      <c r="J291" s="214"/>
      <c r="K291" s="214"/>
      <c r="L291" s="135"/>
      <c r="M291" s="729">
        <f>M8+M30+M38+M49+M58+M67+M74+M90+M132+M146+M161+M169+M177+M182+M193+M228+M242+M254+M263</f>
        <v>102</v>
      </c>
      <c r="N291" s="215"/>
      <c r="O291" s="216">
        <f>O8+O30+O38+O49+O58+O67+O74+O90+O132+O146+O161+O169+O177+O182+O193+O228+O242+O254+O263</f>
        <v>57</v>
      </c>
      <c r="P291" s="216">
        <f>P8+P30+P38+P49+P58+P67+P74+P90+P132+P146+P161+P169+P177+P182+P193+P228+P242+P254+P263</f>
        <v>14</v>
      </c>
    </row>
    <row r="292" spans="1:19" s="50" customFormat="1" ht="13.5" customHeight="1">
      <c r="A292" s="65"/>
      <c r="B292" s="82"/>
      <c r="C292" s="65"/>
      <c r="D292" s="43"/>
      <c r="E292" s="43"/>
      <c r="F292" s="84"/>
      <c r="G292" s="84"/>
      <c r="H292" s="238" t="s">
        <v>3984</v>
      </c>
      <c r="I292" s="83"/>
      <c r="J292" s="83"/>
      <c r="K292" s="83"/>
      <c r="L292" s="51"/>
      <c r="M292" s="43"/>
      <c r="N292" s="3"/>
      <c r="O292" s="794">
        <f>O291-O263</f>
        <v>57</v>
      </c>
      <c r="P292" s="794">
        <f>P291-P263</f>
        <v>14</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1968</v>
      </c>
      <c r="D298" s="111"/>
      <c r="E298" s="111"/>
      <c r="F298" s="111"/>
      <c r="G298" s="111"/>
      <c r="H298" s="111"/>
      <c r="I298" s="111"/>
      <c r="J298" s="111" t="s">
        <v>1058</v>
      </c>
      <c r="K298" s="210"/>
      <c r="L298" s="168"/>
      <c r="M298" s="157"/>
      <c r="Q298" s="157"/>
      <c r="R298" s="157"/>
      <c r="S298" s="157"/>
    </row>
    <row r="299" spans="1:19">
      <c r="A299" s="157"/>
      <c r="B299" s="157"/>
      <c r="C299" s="168" t="s">
        <v>3974</v>
      </c>
      <c r="D299" s="168"/>
      <c r="E299" s="168"/>
      <c r="F299" s="168"/>
      <c r="G299" s="168"/>
      <c r="H299" s="168"/>
      <c r="I299" s="168"/>
      <c r="J299" s="168" t="s">
        <v>2102</v>
      </c>
      <c r="K299" s="168"/>
      <c r="L299" s="168"/>
      <c r="M299" s="157"/>
      <c r="Q299" s="157"/>
      <c r="R299" s="157"/>
      <c r="S299" s="157"/>
    </row>
    <row r="300" spans="1:19" ht="15">
      <c r="A300" s="157"/>
      <c r="B300" s="157"/>
      <c r="C300" s="111" t="s">
        <v>3852</v>
      </c>
      <c r="D300" s="111"/>
      <c r="E300" s="111"/>
      <c r="F300" s="111"/>
      <c r="G300" s="111"/>
      <c r="H300" s="111"/>
      <c r="I300" s="111"/>
      <c r="J300" s="361" t="s">
        <v>2073</v>
      </c>
      <c r="K300" s="210"/>
      <c r="L300" s="168"/>
      <c r="M300" s="250"/>
      <c r="N300" s="251"/>
      <c r="Q300" s="157"/>
      <c r="R300" s="157"/>
      <c r="S300" s="157"/>
    </row>
    <row r="301" spans="1:19" ht="15">
      <c r="A301" s="157"/>
      <c r="B301" s="157"/>
      <c r="C301" s="111" t="s">
        <v>3975</v>
      </c>
      <c r="D301" s="111"/>
      <c r="E301" s="111"/>
      <c r="F301" s="111"/>
      <c r="G301" s="111"/>
      <c r="H301" s="111"/>
      <c r="I301" s="111"/>
      <c r="J301" s="361" t="s">
        <v>1970</v>
      </c>
      <c r="K301" s="210"/>
      <c r="L301" s="168"/>
      <c r="M301" s="250"/>
      <c r="N301" s="251"/>
      <c r="Q301" s="157"/>
      <c r="R301" s="157"/>
      <c r="S301" s="157"/>
    </row>
    <row r="302" spans="1:19" ht="15">
      <c r="A302" s="157"/>
      <c r="B302" s="157"/>
      <c r="C302" s="111" t="s">
        <v>3976</v>
      </c>
      <c r="D302" s="111"/>
      <c r="E302" s="111"/>
      <c r="F302" s="111"/>
      <c r="G302" s="111"/>
      <c r="H302" s="111"/>
      <c r="I302" s="111"/>
      <c r="J302" s="361" t="s">
        <v>1971</v>
      </c>
      <c r="K302" s="210"/>
      <c r="L302" s="168"/>
      <c r="M302" s="250"/>
      <c r="N302" s="251"/>
      <c r="Q302" s="157"/>
      <c r="R302" s="157"/>
      <c r="S302" s="157"/>
    </row>
    <row r="303" spans="1:19" ht="15">
      <c r="A303" s="157"/>
      <c r="B303" s="157"/>
      <c r="C303" s="362" t="s">
        <v>3977</v>
      </c>
      <c r="D303" s="111"/>
      <c r="E303" s="111"/>
      <c r="F303" s="111"/>
      <c r="G303" s="111"/>
      <c r="H303" s="111"/>
      <c r="I303" s="111"/>
      <c r="J303" s="361" t="s">
        <v>3179</v>
      </c>
      <c r="K303" s="210"/>
      <c r="L303" s="168"/>
      <c r="M303" s="250"/>
      <c r="N303" s="251"/>
      <c r="Q303" s="157"/>
      <c r="R303" s="157"/>
      <c r="S303" s="157"/>
    </row>
    <row r="304" spans="1:19" ht="15">
      <c r="A304" s="157"/>
      <c r="B304" s="157"/>
      <c r="C304" s="362" t="s">
        <v>3978</v>
      </c>
      <c r="D304" s="111"/>
      <c r="E304" s="111"/>
      <c r="F304" s="111"/>
      <c r="G304" s="111"/>
      <c r="H304" s="111"/>
      <c r="I304" s="111"/>
      <c r="J304" s="361" t="s">
        <v>1972</v>
      </c>
      <c r="K304" s="210"/>
      <c r="L304" s="168"/>
      <c r="M304" s="250"/>
      <c r="N304" s="251"/>
      <c r="Q304" s="157"/>
      <c r="R304" s="157"/>
      <c r="S304" s="157"/>
    </row>
    <row r="305" spans="1:19" ht="15">
      <c r="A305" s="157"/>
      <c r="B305" s="157"/>
      <c r="C305" s="362"/>
      <c r="D305" s="111"/>
      <c r="E305" s="111"/>
      <c r="F305" s="111"/>
      <c r="G305" s="111"/>
      <c r="H305" s="111"/>
      <c r="I305" s="111"/>
      <c r="J305" s="361" t="s">
        <v>1973</v>
      </c>
      <c r="K305" s="210"/>
      <c r="L305" s="168"/>
      <c r="M305" s="250"/>
      <c r="N305" s="251"/>
      <c r="Q305" s="157"/>
      <c r="R305" s="157"/>
      <c r="S305" s="157"/>
    </row>
    <row r="306" spans="1:19" ht="15">
      <c r="A306" s="157"/>
      <c r="B306" s="157"/>
      <c r="C306" s="168" t="s">
        <v>2102</v>
      </c>
      <c r="D306" s="111"/>
      <c r="E306" s="111"/>
      <c r="F306" s="111"/>
      <c r="G306" s="111"/>
      <c r="H306" s="111"/>
      <c r="I306" s="111"/>
      <c r="J306" s="361" t="s">
        <v>1974</v>
      </c>
      <c r="K306" s="210"/>
      <c r="L306" s="168"/>
      <c r="M306" s="250"/>
      <c r="N306" s="251"/>
      <c r="Q306" s="157"/>
      <c r="R306" s="157"/>
      <c r="S306" s="157"/>
    </row>
    <row r="307" spans="1:19" ht="15">
      <c r="A307" s="157"/>
      <c r="B307" s="157"/>
      <c r="C307" s="363" t="s">
        <v>1467</v>
      </c>
      <c r="D307" s="111"/>
      <c r="E307" s="111"/>
      <c r="F307" s="111"/>
      <c r="G307" s="111"/>
      <c r="H307" s="111"/>
      <c r="I307" s="111"/>
      <c r="J307" s="361" t="s">
        <v>1975</v>
      </c>
      <c r="K307" s="210"/>
      <c r="L307" s="168"/>
      <c r="M307" s="250"/>
      <c r="N307" s="251"/>
      <c r="Q307" s="157"/>
      <c r="R307" s="157"/>
      <c r="S307" s="157"/>
    </row>
    <row r="308" spans="1:19" ht="15">
      <c r="A308" s="157"/>
      <c r="B308" s="157"/>
      <c r="C308" s="363" t="s">
        <v>1468</v>
      </c>
      <c r="D308" s="111"/>
      <c r="E308" s="111"/>
      <c r="F308" s="111"/>
      <c r="G308" s="111"/>
      <c r="H308" s="111"/>
      <c r="I308" s="111"/>
      <c r="J308" s="361" t="s">
        <v>1976</v>
      </c>
      <c r="K308" s="210"/>
      <c r="L308" s="168"/>
      <c r="M308" s="250"/>
      <c r="N308" s="251"/>
      <c r="Q308" s="157"/>
      <c r="R308" s="157"/>
      <c r="S308" s="157"/>
    </row>
    <row r="309" spans="1:19" ht="15">
      <c r="A309" s="157"/>
      <c r="B309" s="157"/>
      <c r="C309" s="364" t="s">
        <v>2500</v>
      </c>
      <c r="D309" s="111"/>
      <c r="E309" s="111"/>
      <c r="F309" s="111"/>
      <c r="G309" s="111"/>
      <c r="H309" s="111"/>
      <c r="I309" s="111"/>
      <c r="J309" s="361" t="s">
        <v>1977</v>
      </c>
      <c r="K309" s="210"/>
      <c r="L309" s="168"/>
      <c r="M309" s="250"/>
      <c r="N309" s="251"/>
      <c r="Q309" s="157"/>
      <c r="R309" s="157"/>
      <c r="S309" s="157"/>
    </row>
    <row r="310" spans="1:19" ht="15">
      <c r="A310" s="157"/>
      <c r="B310" s="157"/>
      <c r="C310" s="364" t="s">
        <v>1464</v>
      </c>
      <c r="D310" s="111"/>
      <c r="E310" s="111"/>
      <c r="F310" s="111"/>
      <c r="G310" s="111"/>
      <c r="H310" s="111"/>
      <c r="I310" s="111"/>
      <c r="J310" s="361" t="s">
        <v>802</v>
      </c>
      <c r="K310" s="210"/>
      <c r="L310" s="168"/>
      <c r="M310" s="250"/>
      <c r="N310" s="251"/>
      <c r="Q310" s="157"/>
      <c r="R310" s="157"/>
      <c r="S310" s="157"/>
    </row>
    <row r="311" spans="1:19" ht="15">
      <c r="A311" s="157"/>
      <c r="B311" s="157"/>
      <c r="C311" s="364" t="s">
        <v>1465</v>
      </c>
      <c r="D311" s="111"/>
      <c r="E311" s="111"/>
      <c r="F311" s="111"/>
      <c r="G311" s="111"/>
      <c r="H311" s="111"/>
      <c r="I311" s="111"/>
      <c r="J311" s="361" t="s">
        <v>1978</v>
      </c>
      <c r="K311" s="210"/>
      <c r="L311" s="168"/>
      <c r="M311" s="250"/>
      <c r="N311" s="251"/>
      <c r="Q311" s="157"/>
      <c r="R311" s="157"/>
      <c r="S311" s="157"/>
    </row>
    <row r="312" spans="1:19" ht="15">
      <c r="A312" s="157"/>
      <c r="B312" s="157"/>
      <c r="C312" s="363" t="s">
        <v>2495</v>
      </c>
      <c r="D312" s="111"/>
      <c r="E312" s="111"/>
      <c r="F312" s="111"/>
      <c r="G312" s="111"/>
      <c r="H312" s="111"/>
      <c r="I312" s="111"/>
      <c r="J312" s="361" t="s">
        <v>1979</v>
      </c>
      <c r="K312" s="210"/>
      <c r="L312" s="168"/>
      <c r="M312" s="250"/>
      <c r="N312" s="251"/>
      <c r="Q312" s="157"/>
      <c r="R312" s="157"/>
      <c r="S312" s="157"/>
    </row>
    <row r="313" spans="1:19" ht="15">
      <c r="A313" s="157"/>
      <c r="B313" s="157"/>
      <c r="C313" s="363" t="s">
        <v>2496</v>
      </c>
      <c r="D313" s="111"/>
      <c r="E313" s="111"/>
      <c r="F313" s="111"/>
      <c r="G313" s="111"/>
      <c r="H313" s="111"/>
      <c r="I313" s="111"/>
      <c r="J313" s="361" t="s">
        <v>1980</v>
      </c>
      <c r="K313" s="168"/>
      <c r="L313" s="168"/>
      <c r="M313" s="250"/>
      <c r="N313" s="251"/>
      <c r="Q313" s="157"/>
      <c r="R313" s="157"/>
      <c r="S313" s="157"/>
    </row>
    <row r="314" spans="1:19" ht="15">
      <c r="A314" s="157"/>
      <c r="B314" s="157"/>
      <c r="C314" s="363" t="s">
        <v>2497</v>
      </c>
      <c r="D314" s="168"/>
      <c r="E314" s="168"/>
      <c r="F314" s="168"/>
      <c r="G314" s="168"/>
      <c r="H314" s="168"/>
      <c r="I314" s="168"/>
      <c r="J314" s="361" t="s">
        <v>1546</v>
      </c>
      <c r="K314" s="168"/>
      <c r="L314" s="168"/>
      <c r="M314" s="250"/>
      <c r="N314" s="251"/>
      <c r="Q314" s="157"/>
      <c r="R314" s="157"/>
      <c r="S314" s="157"/>
    </row>
    <row r="315" spans="1:19" ht="15">
      <c r="A315" s="157"/>
      <c r="B315" s="157"/>
      <c r="C315" s="363" t="s">
        <v>2498</v>
      </c>
      <c r="D315" s="168"/>
      <c r="E315" s="168"/>
      <c r="F315" s="168"/>
      <c r="G315" s="168"/>
      <c r="H315" s="168"/>
      <c r="I315" s="168"/>
      <c r="J315" s="365"/>
      <c r="K315" s="168"/>
      <c r="L315" s="168"/>
      <c r="M315" s="250"/>
      <c r="N315" s="251"/>
      <c r="Q315" s="157"/>
      <c r="R315" s="157"/>
      <c r="S315" s="157"/>
    </row>
    <row r="316" spans="1:19">
      <c r="A316" s="157"/>
      <c r="B316" s="157"/>
      <c r="C316" s="363" t="s">
        <v>2499</v>
      </c>
      <c r="D316" s="168"/>
      <c r="E316" s="168"/>
      <c r="F316" s="168"/>
      <c r="G316" s="168"/>
      <c r="H316" s="168"/>
      <c r="I316" s="168"/>
      <c r="J316" s="168"/>
      <c r="K316" s="168"/>
      <c r="L316" s="168"/>
      <c r="M316" s="157"/>
      <c r="Q316" s="157"/>
      <c r="R316" s="157"/>
      <c r="S316" s="157"/>
    </row>
    <row r="317" spans="1:19">
      <c r="A317" s="157"/>
      <c r="B317" s="157"/>
      <c r="C317" s="363" t="s">
        <v>1466</v>
      </c>
      <c r="D317" s="168"/>
      <c r="E317" s="168"/>
      <c r="F317" s="168"/>
      <c r="G317" s="168"/>
      <c r="H317" s="168"/>
      <c r="I317" s="168"/>
      <c r="J317" s="168"/>
      <c r="K317" s="168"/>
      <c r="L317" s="168"/>
      <c r="M317" s="157"/>
      <c r="Q317" s="157"/>
      <c r="R317" s="157"/>
      <c r="S317" s="157"/>
    </row>
    <row r="318" spans="1:19">
      <c r="A318" s="157"/>
      <c r="B318" s="157"/>
      <c r="C318" s="363" t="s">
        <v>3656</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3460</v>
      </c>
      <c r="H321" s="810" t="s">
        <v>3461</v>
      </c>
      <c r="I321" s="810" t="s">
        <v>3462</v>
      </c>
      <c r="J321" s="168"/>
      <c r="K321" s="168"/>
      <c r="L321" s="168"/>
      <c r="M321" s="250"/>
      <c r="N321" s="251"/>
    </row>
    <row r="322" spans="1:14" ht="38.25">
      <c r="A322" s="157"/>
      <c r="B322" s="157"/>
      <c r="C322" s="168"/>
      <c r="D322" s="168"/>
      <c r="E322" s="168"/>
      <c r="F322" s="168"/>
      <c r="G322" s="811" t="s">
        <v>3818</v>
      </c>
      <c r="H322" s="811" t="s">
        <v>3819</v>
      </c>
      <c r="I322" s="811" t="s">
        <v>3231</v>
      </c>
      <c r="J322" s="168"/>
      <c r="K322" s="168"/>
      <c r="L322" s="168"/>
      <c r="M322" s="250"/>
      <c r="N322" s="251"/>
    </row>
    <row r="323" spans="1:14" ht="25.5">
      <c r="A323" s="157"/>
      <c r="B323" s="157"/>
      <c r="C323" s="168"/>
      <c r="D323" s="168"/>
      <c r="E323" s="168"/>
      <c r="F323" s="168"/>
      <c r="G323" s="811" t="s">
        <v>1879</v>
      </c>
      <c r="H323" s="812" t="s">
        <v>1051</v>
      </c>
      <c r="I323" s="812" t="s">
        <v>1389</v>
      </c>
      <c r="J323" s="168"/>
      <c r="K323" s="168"/>
      <c r="L323" s="168"/>
      <c r="M323" s="250"/>
      <c r="N323" s="251"/>
    </row>
    <row r="324" spans="1:14">
      <c r="A324" s="157"/>
      <c r="B324" s="157"/>
      <c r="C324" s="168"/>
      <c r="D324" s="168"/>
      <c r="E324" s="168"/>
      <c r="F324" s="168"/>
      <c r="G324" s="811" t="s">
        <v>3956</v>
      </c>
      <c r="H324" s="812" t="s">
        <v>1404</v>
      </c>
      <c r="I324" s="812" t="s">
        <v>1401</v>
      </c>
      <c r="J324" s="168"/>
      <c r="K324" s="168"/>
      <c r="L324" s="168"/>
      <c r="M324" s="250"/>
      <c r="N324" s="251"/>
    </row>
    <row r="325" spans="1:14">
      <c r="A325" s="157"/>
      <c r="B325" s="157"/>
      <c r="C325" s="168"/>
      <c r="D325" s="168"/>
      <c r="E325" s="168"/>
      <c r="F325" s="168"/>
      <c r="G325" s="811" t="s">
        <v>1880</v>
      </c>
      <c r="H325" s="812" t="s">
        <v>3839</v>
      </c>
      <c r="I325" s="812" t="s">
        <v>1404</v>
      </c>
      <c r="J325" s="168"/>
      <c r="K325" s="168"/>
      <c r="L325" s="168"/>
      <c r="M325" s="250"/>
      <c r="N325" s="251"/>
    </row>
    <row r="326" spans="1:14" ht="25.5">
      <c r="A326" s="157"/>
      <c r="B326" s="157"/>
      <c r="C326" s="168"/>
      <c r="D326" s="168"/>
      <c r="E326" s="168"/>
      <c r="F326" s="168"/>
      <c r="G326" s="811" t="s">
        <v>1518</v>
      </c>
      <c r="H326" s="812" t="s">
        <v>3840</v>
      </c>
      <c r="I326" s="812" t="s">
        <v>3153</v>
      </c>
      <c r="J326" s="168"/>
      <c r="K326" s="168"/>
      <c r="L326" s="168"/>
      <c r="M326" s="250"/>
      <c r="N326" s="251"/>
    </row>
    <row r="327" spans="1:14">
      <c r="A327" s="157"/>
      <c r="B327" s="157"/>
      <c r="C327" s="168"/>
      <c r="D327" s="168"/>
      <c r="E327" s="168"/>
      <c r="F327" s="168"/>
      <c r="G327" s="811" t="s">
        <v>1404</v>
      </c>
      <c r="H327" s="812" t="s">
        <v>2240</v>
      </c>
      <c r="I327" s="812" t="s">
        <v>3159</v>
      </c>
      <c r="J327" s="168"/>
      <c r="K327" s="168"/>
      <c r="L327" s="168"/>
      <c r="M327" s="250"/>
      <c r="N327" s="251"/>
    </row>
    <row r="328" spans="1:14">
      <c r="A328" s="157"/>
      <c r="B328" s="157"/>
      <c r="C328" s="168"/>
      <c r="D328" s="168"/>
      <c r="E328" s="168"/>
      <c r="F328" s="168"/>
      <c r="G328" s="811" t="s">
        <v>3463</v>
      </c>
      <c r="H328" s="812" t="s">
        <v>3653</v>
      </c>
      <c r="I328" s="812" t="s">
        <v>3161</v>
      </c>
      <c r="J328" s="168"/>
      <c r="K328" s="168"/>
      <c r="L328" s="168"/>
      <c r="M328" s="250"/>
      <c r="N328" s="251"/>
    </row>
    <row r="329" spans="1:14">
      <c r="A329" s="157"/>
      <c r="B329" s="157"/>
      <c r="C329" s="168"/>
      <c r="D329" s="168"/>
      <c r="E329" s="168"/>
      <c r="F329" s="168"/>
      <c r="G329" s="811" t="s">
        <v>1071</v>
      </c>
      <c r="H329" s="812" t="s">
        <v>3841</v>
      </c>
      <c r="I329" s="812" t="s">
        <v>3827</v>
      </c>
      <c r="J329" s="168"/>
      <c r="K329" s="168"/>
      <c r="L329" s="168"/>
      <c r="M329" s="250"/>
      <c r="N329" s="251"/>
    </row>
    <row r="330" spans="1:14">
      <c r="A330" s="157"/>
      <c r="B330" s="157"/>
      <c r="C330" s="168"/>
      <c r="D330" s="168"/>
      <c r="E330" s="168"/>
      <c r="F330" s="168"/>
      <c r="G330" s="811" t="s">
        <v>3161</v>
      </c>
      <c r="H330" s="812" t="s">
        <v>2563</v>
      </c>
      <c r="I330" s="812" t="s">
        <v>2034</v>
      </c>
      <c r="J330" s="168"/>
      <c r="K330" s="168"/>
      <c r="L330" s="168"/>
      <c r="M330" s="250"/>
      <c r="N330" s="251"/>
    </row>
    <row r="331" spans="1:14">
      <c r="A331" s="157"/>
      <c r="B331" s="157"/>
      <c r="C331" s="168"/>
      <c r="D331" s="168"/>
      <c r="E331" s="168"/>
      <c r="F331" s="168"/>
      <c r="G331" s="811" t="s">
        <v>2419</v>
      </c>
      <c r="H331" s="812" t="s">
        <v>1967</v>
      </c>
      <c r="I331" s="812" t="s">
        <v>3013</v>
      </c>
      <c r="J331" s="168"/>
      <c r="K331" s="168"/>
      <c r="L331" s="168"/>
      <c r="M331" s="250"/>
      <c r="N331" s="251"/>
    </row>
    <row r="332" spans="1:14" ht="25.5">
      <c r="A332" s="157"/>
      <c r="B332" s="157"/>
      <c r="C332" s="168"/>
      <c r="D332" s="168"/>
      <c r="E332" s="168"/>
      <c r="F332" s="168"/>
      <c r="G332" s="811" t="s">
        <v>823</v>
      </c>
      <c r="H332" s="812" t="s">
        <v>3842</v>
      </c>
      <c r="I332" s="812" t="s">
        <v>3015</v>
      </c>
      <c r="J332" s="168"/>
      <c r="K332" s="168"/>
      <c r="L332" s="168"/>
      <c r="M332" s="250"/>
      <c r="N332" s="251"/>
    </row>
    <row r="333" spans="1:14" ht="25.5">
      <c r="A333" s="157"/>
      <c r="B333" s="157"/>
      <c r="C333" s="168"/>
      <c r="D333" s="168"/>
      <c r="E333" s="168"/>
      <c r="F333" s="168"/>
      <c r="G333" s="811" t="s">
        <v>1881</v>
      </c>
      <c r="H333" s="812" t="s">
        <v>3464</v>
      </c>
      <c r="I333" s="812" t="s">
        <v>183</v>
      </c>
      <c r="J333" s="168"/>
      <c r="K333" s="168"/>
      <c r="L333" s="168"/>
      <c r="M333" s="250"/>
      <c r="N333" s="251"/>
    </row>
    <row r="334" spans="1:14">
      <c r="A334" s="157"/>
      <c r="B334" s="157"/>
      <c r="C334" s="168"/>
      <c r="D334" s="168"/>
      <c r="E334" s="168"/>
      <c r="F334" s="168"/>
      <c r="G334" s="811" t="s">
        <v>182</v>
      </c>
      <c r="H334" s="812" t="s">
        <v>3642</v>
      </c>
      <c r="I334" s="812" t="s">
        <v>187</v>
      </c>
      <c r="J334" s="168"/>
      <c r="K334" s="168"/>
      <c r="L334" s="168"/>
      <c r="M334" s="250"/>
      <c r="N334" s="251"/>
    </row>
    <row r="335" spans="1:14">
      <c r="A335" s="157"/>
      <c r="B335" s="157"/>
      <c r="C335" s="168"/>
      <c r="D335" s="168"/>
      <c r="E335" s="168"/>
      <c r="F335" s="168"/>
      <c r="G335" s="811" t="s">
        <v>595</v>
      </c>
      <c r="H335" s="812" t="s">
        <v>2200</v>
      </c>
      <c r="I335" s="812" t="s">
        <v>2568</v>
      </c>
      <c r="J335" s="168"/>
      <c r="K335" s="168"/>
      <c r="L335" s="168"/>
      <c r="M335" s="250"/>
      <c r="N335" s="251"/>
    </row>
    <row r="336" spans="1:14" ht="51">
      <c r="A336" s="157"/>
      <c r="B336" s="157"/>
      <c r="C336" s="168"/>
      <c r="D336" s="168"/>
      <c r="E336" s="168"/>
      <c r="F336" s="168"/>
      <c r="G336" s="811" t="s">
        <v>204</v>
      </c>
      <c r="H336" s="812" t="s">
        <v>3845</v>
      </c>
      <c r="I336" s="812" t="s">
        <v>2573</v>
      </c>
      <c r="J336" s="168"/>
      <c r="K336" s="168"/>
      <c r="L336" s="168"/>
      <c r="M336" s="250"/>
      <c r="N336" s="251"/>
    </row>
    <row r="337" spans="1:14">
      <c r="A337" s="157"/>
      <c r="B337" s="157"/>
      <c r="C337" s="168"/>
      <c r="D337" s="168"/>
      <c r="E337" s="168"/>
      <c r="F337" s="168"/>
      <c r="G337" s="811" t="s">
        <v>1317</v>
      </c>
      <c r="H337" s="812" t="s">
        <v>3838</v>
      </c>
      <c r="I337" s="812" t="s">
        <v>410</v>
      </c>
      <c r="J337" s="168"/>
      <c r="K337" s="168"/>
      <c r="L337" s="168"/>
      <c r="M337" s="250"/>
      <c r="N337" s="251"/>
    </row>
    <row r="338" spans="1:14" ht="25.5">
      <c r="A338" s="157"/>
      <c r="B338" s="157"/>
      <c r="C338" s="168"/>
      <c r="D338" s="168"/>
      <c r="E338" s="168"/>
      <c r="F338" s="168"/>
      <c r="G338" s="811" t="s">
        <v>1319</v>
      </c>
      <c r="H338" s="812" t="s">
        <v>3843</v>
      </c>
      <c r="I338" s="812" t="s">
        <v>419</v>
      </c>
      <c r="J338" s="168"/>
      <c r="K338" s="168"/>
      <c r="L338" s="168"/>
      <c r="M338" s="250"/>
      <c r="N338" s="251"/>
    </row>
    <row r="339" spans="1:14" ht="25.5">
      <c r="A339" s="157"/>
      <c r="B339" s="157"/>
      <c r="C339" s="168"/>
      <c r="D339" s="168"/>
      <c r="E339" s="168"/>
      <c r="F339" s="168"/>
      <c r="G339" s="811" t="s">
        <v>1882</v>
      </c>
      <c r="H339" s="812" t="s">
        <v>3844</v>
      </c>
      <c r="I339" s="812" t="s">
        <v>426</v>
      </c>
      <c r="J339" s="168"/>
      <c r="K339" s="168"/>
      <c r="L339" s="168"/>
      <c r="M339" s="250"/>
      <c r="N339" s="251"/>
    </row>
    <row r="340" spans="1:14">
      <c r="A340" s="157"/>
      <c r="B340" s="157"/>
      <c r="C340" s="168"/>
      <c r="D340" s="168"/>
      <c r="E340" s="168"/>
      <c r="F340" s="168"/>
      <c r="G340" s="811" t="s">
        <v>783</v>
      </c>
      <c r="H340" s="812" t="s">
        <v>3465</v>
      </c>
      <c r="I340" s="812" t="s">
        <v>428</v>
      </c>
      <c r="J340" s="168"/>
      <c r="K340" s="168"/>
      <c r="L340" s="168"/>
      <c r="M340" s="250"/>
      <c r="N340" s="251"/>
    </row>
    <row r="341" spans="1:14">
      <c r="A341" s="157"/>
      <c r="B341" s="157"/>
      <c r="C341" s="168"/>
      <c r="D341" s="168"/>
      <c r="E341" s="168"/>
      <c r="F341" s="168"/>
      <c r="G341" s="811" t="s">
        <v>1883</v>
      </c>
      <c r="H341" s="812"/>
      <c r="I341" s="812" t="s">
        <v>3401</v>
      </c>
      <c r="J341" s="168"/>
      <c r="K341" s="168"/>
      <c r="L341" s="168"/>
      <c r="M341" s="250"/>
      <c r="N341" s="251"/>
    </row>
    <row r="342" spans="1:14">
      <c r="A342" s="157"/>
      <c r="B342" s="157"/>
      <c r="C342" s="168"/>
      <c r="D342" s="168"/>
      <c r="E342" s="168"/>
      <c r="F342" s="168"/>
      <c r="G342" s="811" t="s">
        <v>3683</v>
      </c>
      <c r="H342" s="812"/>
      <c r="I342" s="812" t="s">
        <v>3403</v>
      </c>
      <c r="J342" s="168"/>
      <c r="K342" s="168"/>
      <c r="L342" s="168"/>
      <c r="M342" s="250"/>
      <c r="N342" s="251"/>
    </row>
    <row r="343" spans="1:14">
      <c r="A343" s="157"/>
      <c r="B343" s="157"/>
      <c r="C343" s="168"/>
      <c r="D343" s="168"/>
      <c r="E343" s="168"/>
      <c r="F343" s="168"/>
      <c r="G343" s="811" t="s">
        <v>3751</v>
      </c>
      <c r="H343" s="812"/>
      <c r="I343" s="812" t="s">
        <v>1392</v>
      </c>
      <c r="J343" s="168"/>
      <c r="K343" s="168"/>
      <c r="L343" s="168"/>
      <c r="M343" s="250"/>
      <c r="N343" s="251"/>
    </row>
    <row r="344" spans="1:14">
      <c r="A344" s="157"/>
      <c r="B344" s="157"/>
      <c r="C344" s="168"/>
      <c r="D344" s="168"/>
      <c r="E344" s="168"/>
      <c r="F344" s="168"/>
      <c r="G344" s="811" t="s">
        <v>722</v>
      </c>
      <c r="H344" s="812"/>
      <c r="I344" s="812" t="s">
        <v>2375</v>
      </c>
      <c r="J344" s="168"/>
      <c r="K344" s="168"/>
      <c r="L344" s="168"/>
      <c r="M344" s="250"/>
      <c r="N344" s="251"/>
    </row>
    <row r="345" spans="1:14">
      <c r="A345" s="157"/>
      <c r="B345" s="157"/>
      <c r="C345" s="168"/>
      <c r="D345" s="168"/>
      <c r="E345" s="168"/>
      <c r="F345" s="168"/>
      <c r="G345" s="811" t="s">
        <v>730</v>
      </c>
      <c r="H345" s="812"/>
      <c r="I345" s="812" t="s">
        <v>2186</v>
      </c>
      <c r="J345" s="168"/>
      <c r="K345" s="168"/>
      <c r="L345" s="168"/>
      <c r="M345" s="250"/>
      <c r="N345" s="251"/>
    </row>
    <row r="346" spans="1:14">
      <c r="A346" s="157"/>
      <c r="B346" s="157"/>
      <c r="C346" s="168"/>
      <c r="D346" s="168"/>
      <c r="E346" s="168"/>
      <c r="F346" s="168"/>
      <c r="G346" s="811" t="s">
        <v>3980</v>
      </c>
      <c r="H346" s="812"/>
      <c r="I346" s="812" t="s">
        <v>2188</v>
      </c>
      <c r="J346" s="168"/>
      <c r="K346" s="168"/>
      <c r="L346" s="168"/>
      <c r="M346" s="250"/>
      <c r="N346" s="251"/>
    </row>
    <row r="347" spans="1:14">
      <c r="A347" s="157"/>
      <c r="B347" s="157"/>
      <c r="C347" s="168"/>
      <c r="D347" s="168"/>
      <c r="E347" s="168"/>
      <c r="F347" s="168"/>
      <c r="G347" s="811" t="s">
        <v>469</v>
      </c>
      <c r="H347" s="812"/>
      <c r="I347" s="812" t="s">
        <v>1873</v>
      </c>
      <c r="J347" s="168"/>
      <c r="K347" s="168"/>
      <c r="L347" s="168"/>
      <c r="M347" s="250"/>
      <c r="N347" s="251"/>
    </row>
    <row r="348" spans="1:14">
      <c r="A348" s="157"/>
      <c r="B348" s="157"/>
      <c r="C348" s="168"/>
      <c r="D348" s="168"/>
      <c r="E348" s="168"/>
      <c r="F348" s="168"/>
      <c r="G348" s="811" t="s">
        <v>3642</v>
      </c>
      <c r="H348" s="812"/>
      <c r="I348" s="812" t="s">
        <v>1875</v>
      </c>
      <c r="J348" s="168"/>
      <c r="K348" s="168"/>
      <c r="L348" s="168"/>
      <c r="M348" s="250"/>
      <c r="N348" s="251"/>
    </row>
    <row r="349" spans="1:14" ht="51">
      <c r="A349" s="157"/>
      <c r="B349" s="157"/>
      <c r="C349" s="168"/>
      <c r="D349" s="168"/>
      <c r="E349" s="168"/>
      <c r="F349" s="168"/>
      <c r="G349" s="811" t="s">
        <v>1884</v>
      </c>
      <c r="H349" s="812"/>
      <c r="I349" s="812" t="s">
        <v>1194</v>
      </c>
      <c r="J349" s="168"/>
      <c r="K349" s="168"/>
      <c r="L349" s="168"/>
      <c r="M349" s="250"/>
      <c r="N349" s="251"/>
    </row>
    <row r="350" spans="1:14">
      <c r="A350" s="157"/>
      <c r="B350" s="157"/>
      <c r="C350" s="168"/>
      <c r="D350" s="168"/>
      <c r="E350" s="168"/>
      <c r="F350" s="168"/>
      <c r="G350" s="811" t="s">
        <v>3631</v>
      </c>
      <c r="H350" s="812"/>
      <c r="I350" s="812" t="s">
        <v>1198</v>
      </c>
      <c r="J350" s="168"/>
      <c r="K350" s="168"/>
      <c r="L350" s="168"/>
      <c r="M350" s="250"/>
      <c r="N350" s="251"/>
    </row>
    <row r="351" spans="1:14">
      <c r="A351" s="157"/>
      <c r="B351" s="157"/>
      <c r="C351" s="168"/>
      <c r="D351" s="168"/>
      <c r="E351" s="168"/>
      <c r="F351" s="168"/>
      <c r="G351" s="811" t="s">
        <v>3633</v>
      </c>
      <c r="H351" s="812"/>
      <c r="I351" s="812" t="s">
        <v>2541</v>
      </c>
      <c r="J351" s="168"/>
      <c r="K351" s="168"/>
      <c r="L351" s="168"/>
      <c r="M351" s="250"/>
      <c r="N351" s="251"/>
    </row>
    <row r="352" spans="1:14">
      <c r="A352" s="157"/>
      <c r="B352" s="157"/>
      <c r="C352" s="168"/>
      <c r="D352" s="168"/>
      <c r="E352" s="168"/>
      <c r="F352" s="168"/>
      <c r="G352" s="811" t="s">
        <v>2494</v>
      </c>
      <c r="H352" s="812"/>
      <c r="I352" s="812" t="s">
        <v>2546</v>
      </c>
      <c r="J352" s="168"/>
      <c r="K352" s="168"/>
      <c r="L352" s="168"/>
      <c r="M352" s="250"/>
      <c r="N352" s="251"/>
    </row>
    <row r="353" spans="1:14" ht="25.5">
      <c r="A353" s="157"/>
      <c r="B353" s="157"/>
      <c r="C353" s="168"/>
      <c r="D353" s="168"/>
      <c r="E353" s="168"/>
      <c r="F353" s="168"/>
      <c r="G353" s="811" t="s">
        <v>1885</v>
      </c>
      <c r="H353" s="812"/>
      <c r="I353" s="812" t="s">
        <v>2548</v>
      </c>
      <c r="J353" s="168"/>
      <c r="K353" s="168"/>
      <c r="L353" s="168"/>
      <c r="M353" s="250"/>
      <c r="N353" s="251"/>
    </row>
    <row r="354" spans="1:14" ht="13.5">
      <c r="A354" s="157"/>
      <c r="B354" s="157"/>
      <c r="C354" s="643"/>
      <c r="D354" s="643"/>
      <c r="E354" s="168"/>
      <c r="F354" s="168"/>
      <c r="G354" s="811" t="s">
        <v>3082</v>
      </c>
      <c r="H354" s="763"/>
      <c r="I354" s="812" t="s">
        <v>2552</v>
      </c>
      <c r="J354" s="168"/>
      <c r="K354" s="168"/>
      <c r="L354" s="168"/>
      <c r="M354" s="250"/>
      <c r="N354" s="251"/>
    </row>
    <row r="355" spans="1:14" ht="13.5">
      <c r="A355" s="157"/>
      <c r="B355" s="157"/>
      <c r="C355" s="643"/>
      <c r="D355" s="643"/>
      <c r="E355" s="168"/>
      <c r="F355" s="168"/>
      <c r="G355" s="811" t="s">
        <v>3634</v>
      </c>
      <c r="H355" s="763"/>
      <c r="I355" s="812" t="s">
        <v>2556</v>
      </c>
      <c r="J355" s="168"/>
      <c r="K355" s="168"/>
      <c r="L355" s="168"/>
      <c r="M355" s="250"/>
      <c r="N355" s="251"/>
    </row>
    <row r="356" spans="1:14" ht="13.5">
      <c r="A356" s="157"/>
      <c r="B356" s="157"/>
      <c r="C356" s="643"/>
      <c r="D356" s="644"/>
      <c r="E356" s="168"/>
      <c r="F356" s="168"/>
      <c r="G356" s="811" t="s">
        <v>3700</v>
      </c>
      <c r="H356" s="763"/>
      <c r="I356" s="812" t="s">
        <v>1990</v>
      </c>
      <c r="J356" s="168"/>
      <c r="K356" s="168"/>
      <c r="L356" s="168"/>
      <c r="M356" s="250"/>
      <c r="N356" s="251"/>
    </row>
    <row r="357" spans="1:14" ht="13.5">
      <c r="A357" s="157"/>
      <c r="B357" s="157"/>
      <c r="C357" s="643"/>
      <c r="D357" s="644"/>
      <c r="E357" s="644"/>
      <c r="F357" s="121"/>
      <c r="G357" s="769" t="s">
        <v>3705</v>
      </c>
      <c r="H357" s="747"/>
      <c r="I357" s="812" t="s">
        <v>1991</v>
      </c>
      <c r="J357" s="168"/>
      <c r="K357" s="168"/>
      <c r="L357" s="168"/>
      <c r="M357" s="157"/>
    </row>
    <row r="358" spans="1:14" ht="13.5">
      <c r="A358" s="157"/>
      <c r="B358" s="157"/>
      <c r="C358" s="643"/>
      <c r="D358" s="121"/>
      <c r="E358" s="121"/>
      <c r="F358" s="121"/>
      <c r="G358" s="769" t="s">
        <v>3708</v>
      </c>
      <c r="H358" s="747"/>
      <c r="I358" s="812" t="s">
        <v>2230</v>
      </c>
      <c r="J358" s="168"/>
      <c r="K358" s="168"/>
      <c r="L358" s="168"/>
      <c r="M358" s="157"/>
    </row>
    <row r="359" spans="1:14" ht="13.5">
      <c r="A359" s="157"/>
      <c r="B359" s="157"/>
      <c r="C359" s="643"/>
      <c r="D359" s="121"/>
      <c r="E359" s="121"/>
      <c r="F359" s="121"/>
      <c r="G359" s="769" t="s">
        <v>3713</v>
      </c>
      <c r="H359" s="747"/>
      <c r="I359" s="813" t="s">
        <v>1619</v>
      </c>
      <c r="J359" s="168"/>
      <c r="K359" s="168"/>
      <c r="L359" s="168"/>
      <c r="M359" s="157"/>
    </row>
    <row r="360" spans="1:14" ht="13.5">
      <c r="A360" s="157"/>
      <c r="B360" s="157"/>
      <c r="C360" s="643"/>
      <c r="D360" s="168"/>
      <c r="E360" s="168"/>
      <c r="F360" s="168"/>
      <c r="G360" s="769" t="s">
        <v>1621</v>
      </c>
      <c r="H360" s="747"/>
      <c r="I360" s="763" t="s">
        <v>1625</v>
      </c>
      <c r="J360" s="168"/>
      <c r="K360" s="168"/>
      <c r="L360" s="168"/>
      <c r="M360" s="157"/>
    </row>
    <row r="361" spans="1:14" ht="13.5">
      <c r="A361" s="157"/>
      <c r="B361" s="157"/>
      <c r="C361" s="644"/>
      <c r="D361" s="168"/>
      <c r="E361" s="168"/>
      <c r="F361" s="168"/>
      <c r="G361" s="769" t="s">
        <v>392</v>
      </c>
      <c r="H361" s="747"/>
      <c r="I361" s="763" t="s">
        <v>2885</v>
      </c>
      <c r="J361" s="168"/>
      <c r="K361" s="168"/>
      <c r="L361" s="168"/>
      <c r="M361" s="157"/>
    </row>
    <row r="362" spans="1:14" ht="13.5">
      <c r="A362" s="157"/>
      <c r="B362" s="157"/>
      <c r="C362" s="644"/>
      <c r="D362" s="168"/>
      <c r="E362" s="168"/>
      <c r="F362" s="168"/>
      <c r="G362" s="769" t="s">
        <v>393</v>
      </c>
      <c r="H362" s="747"/>
      <c r="I362" s="763" t="s">
        <v>2887</v>
      </c>
      <c r="J362" s="168"/>
      <c r="K362" s="168"/>
      <c r="L362" s="168"/>
      <c r="M362" s="157"/>
    </row>
    <row r="363" spans="1:14" ht="13.5">
      <c r="A363" s="157"/>
      <c r="B363" s="157"/>
      <c r="C363" s="168"/>
      <c r="D363" s="168"/>
      <c r="E363" s="168"/>
      <c r="F363" s="168"/>
      <c r="G363" s="769" t="s">
        <v>3508</v>
      </c>
      <c r="H363" s="747"/>
      <c r="I363" s="763" t="s">
        <v>2889</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G20:J20"/>
    <mergeCell ref="A14:P14"/>
    <mergeCell ref="A17:E17"/>
    <mergeCell ref="L18:O18"/>
    <mergeCell ref="A16:D16"/>
    <mergeCell ref="G16:I16"/>
    <mergeCell ref="L17:O17"/>
    <mergeCell ref="G17:J17"/>
    <mergeCell ref="A18:E18"/>
    <mergeCell ref="G18:J18"/>
    <mergeCell ref="G19:J19"/>
    <mergeCell ref="A19:E19"/>
    <mergeCell ref="A54:P54"/>
    <mergeCell ref="I60:L60"/>
    <mergeCell ref="A63:P63"/>
    <mergeCell ref="A65:P65"/>
    <mergeCell ref="A1:P1"/>
    <mergeCell ref="L19:O19"/>
    <mergeCell ref="A20:E20"/>
    <mergeCell ref="A26:E26"/>
    <mergeCell ref="G28:J28"/>
    <mergeCell ref="L25:O25"/>
    <mergeCell ref="G26:J26"/>
    <mergeCell ref="G27:J27"/>
    <mergeCell ref="L27:O27"/>
    <mergeCell ref="L26:O26"/>
    <mergeCell ref="A28:E28"/>
    <mergeCell ref="L20:O20"/>
    <mergeCell ref="L23:O23"/>
    <mergeCell ref="L22:O22"/>
    <mergeCell ref="A22:E22"/>
    <mergeCell ref="A25:E25"/>
    <mergeCell ref="A23:E23"/>
    <mergeCell ref="G22:J22"/>
    <mergeCell ref="G24:J24"/>
    <mergeCell ref="G25:J25"/>
    <mergeCell ref="G21:J21"/>
    <mergeCell ref="A21:E21"/>
    <mergeCell ref="A46:P46"/>
    <mergeCell ref="A34:P34"/>
    <mergeCell ref="A44:P44"/>
    <mergeCell ref="L28:O28"/>
    <mergeCell ref="A27:E27"/>
    <mergeCell ref="L24:O24"/>
    <mergeCell ref="L21:O21"/>
    <mergeCell ref="A36:P36"/>
    <mergeCell ref="O31:O32"/>
    <mergeCell ref="A24:E24"/>
    <mergeCell ref="G23:J23"/>
    <mergeCell ref="C79:L79"/>
    <mergeCell ref="A56:P56"/>
    <mergeCell ref="H114:L114"/>
    <mergeCell ref="A88:P88"/>
    <mergeCell ref="A70:P70"/>
    <mergeCell ref="J74:L74"/>
    <mergeCell ref="C78:L78"/>
    <mergeCell ref="C82:L82"/>
    <mergeCell ref="I90:L90"/>
    <mergeCell ref="I68:L68"/>
    <mergeCell ref="A72:P72"/>
    <mergeCell ref="A144:P144"/>
    <mergeCell ref="A175:P175"/>
    <mergeCell ref="C134:L134"/>
    <mergeCell ref="C81:L81"/>
    <mergeCell ref="A86:P86"/>
    <mergeCell ref="A157:P157"/>
    <mergeCell ref="A91:P91"/>
    <mergeCell ref="B149:N149"/>
    <mergeCell ref="A128:P128"/>
    <mergeCell ref="B150:N150"/>
    <mergeCell ref="A173:P173"/>
    <mergeCell ref="B152:N152"/>
    <mergeCell ref="J112:L112"/>
    <mergeCell ref="A142:P142"/>
    <mergeCell ref="A130:P130"/>
    <mergeCell ref="K135:M135"/>
    <mergeCell ref="B151:N151"/>
    <mergeCell ref="A159:P159"/>
    <mergeCell ref="A167:P167"/>
    <mergeCell ref="A165:P165"/>
    <mergeCell ref="J180:P180"/>
    <mergeCell ref="B230:L230"/>
    <mergeCell ref="A226:P226"/>
    <mergeCell ref="A180:I180"/>
    <mergeCell ref="I202:J202"/>
    <mergeCell ref="I204:J204"/>
    <mergeCell ref="B178:M178"/>
    <mergeCell ref="C248:L248"/>
    <mergeCell ref="C272:L272"/>
    <mergeCell ref="M221:N221"/>
    <mergeCell ref="A259:P259"/>
    <mergeCell ref="A250:P250"/>
    <mergeCell ref="A252:P252"/>
    <mergeCell ref="C247:L247"/>
    <mergeCell ref="A240:P240"/>
    <mergeCell ref="I211:J211"/>
    <mergeCell ref="I203:J203"/>
    <mergeCell ref="I206:J206"/>
    <mergeCell ref="I207:J207"/>
    <mergeCell ref="A261:P261"/>
    <mergeCell ref="A224:P224"/>
    <mergeCell ref="E220:P220"/>
    <mergeCell ref="J184:L184"/>
    <mergeCell ref="A191:P191"/>
    <mergeCell ref="E183:H183"/>
    <mergeCell ref="I209:J209"/>
    <mergeCell ref="I208:J208"/>
    <mergeCell ref="I205:J205"/>
    <mergeCell ref="A289:P289"/>
    <mergeCell ref="J282:K282"/>
    <mergeCell ref="C268:L268"/>
    <mergeCell ref="F269:L269"/>
    <mergeCell ref="C270:L270"/>
    <mergeCell ref="C276:L276"/>
    <mergeCell ref="C271:L271"/>
    <mergeCell ref="C275:L275"/>
    <mergeCell ref="A189:P189"/>
    <mergeCell ref="A287:P287"/>
    <mergeCell ref="C280:L280"/>
    <mergeCell ref="C279:L279"/>
    <mergeCell ref="G184:I184"/>
    <mergeCell ref="E219:H219"/>
    <mergeCell ref="I221:J221"/>
    <mergeCell ref="I213:J213"/>
    <mergeCell ref="I214:J214"/>
    <mergeCell ref="B244:L244"/>
    <mergeCell ref="A238:P238"/>
    <mergeCell ref="I210:J210"/>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5" zoomScaleNormal="100" workbookViewId="0">
      <selection activeCell="A5" sqref="A5:A23"/>
    </sheetView>
  </sheetViews>
  <sheetFormatPr defaultRowHeight="12.75"/>
  <cols>
    <col min="1" max="1" width="88.42578125" customWidth="1"/>
  </cols>
  <sheetData>
    <row r="1" spans="1:6" ht="15.75">
      <c r="A1" s="580" t="s">
        <v>4024</v>
      </c>
    </row>
    <row r="2" spans="1:6" ht="16.5">
      <c r="A2" s="579" t="str">
        <f>'Part I-Project Information'!F22</f>
        <v>Freedom's Path I</v>
      </c>
    </row>
    <row r="3" spans="1:6" ht="16.5">
      <c r="A3" s="579" t="str">
        <f>CONCATENATE('Part I-Project Information'!F24,", ", 'Part I-Project Information'!J25," County")</f>
        <v>Augusta, Richmond County</v>
      </c>
    </row>
    <row r="4" spans="1:6" ht="12" customHeight="1"/>
    <row r="5" spans="1:6" ht="113.25" customHeight="1">
      <c r="A5" s="1208" t="s">
        <v>4112</v>
      </c>
      <c r="B5" s="1127" t="s">
        <v>4044</v>
      </c>
      <c r="C5" s="884"/>
      <c r="D5" s="884"/>
      <c r="E5" s="884"/>
      <c r="F5" s="884"/>
    </row>
    <row r="6" spans="1:6" ht="6.6" customHeight="1">
      <c r="A6" s="1209"/>
      <c r="B6" s="1127"/>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80" t="s">
        <v>4025</v>
      </c>
    </row>
    <row r="2" spans="1:6" ht="16.5">
      <c r="A2" s="579" t="str">
        <f>'Part I-Project Information'!F22</f>
        <v>Freedom's Path I</v>
      </c>
    </row>
    <row r="3" spans="1:6" ht="16.5">
      <c r="A3" s="579" t="str">
        <f>CONCATENATE('Part I-Project Information'!F24,", ", 'Part I-Project Information'!J25," County")</f>
        <v>Augusta, Richmond County</v>
      </c>
    </row>
    <row r="4" spans="1:6" ht="12" customHeight="1"/>
    <row r="5" spans="1:6" ht="60" customHeight="1">
      <c r="A5" s="1208" t="s">
        <v>4043</v>
      </c>
      <c r="B5" s="1127" t="s">
        <v>4045</v>
      </c>
      <c r="C5" s="1211"/>
      <c r="D5" s="1211"/>
      <c r="E5" s="1211"/>
      <c r="F5" s="1211"/>
    </row>
    <row r="6" spans="1:6" ht="6.6" customHeight="1">
      <c r="A6" s="1209"/>
      <c r="B6" s="1127"/>
      <c r="C6" s="1211"/>
      <c r="D6" s="1211"/>
      <c r="E6" s="1211"/>
      <c r="F6" s="1211"/>
    </row>
    <row r="7" spans="1:6" ht="60" customHeight="1">
      <c r="A7" s="1209"/>
      <c r="B7" s="1127"/>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honeticPr fontId="130"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3454</v>
      </c>
      <c r="O1" s="648"/>
      <c r="P1" s="648"/>
      <c r="Q1" s="648"/>
      <c r="R1" s="648"/>
      <c r="S1" s="648"/>
      <c r="T1" s="648"/>
      <c r="U1" s="648"/>
      <c r="V1" s="648"/>
      <c r="W1" s="648"/>
      <c r="X1" s="648"/>
      <c r="Y1" s="648"/>
      <c r="Z1" s="648"/>
    </row>
    <row r="3" spans="1:26">
      <c r="N3" s="649" t="s">
        <v>3455</v>
      </c>
      <c r="O3" s="649"/>
      <c r="P3" s="649"/>
      <c r="Q3" s="649"/>
      <c r="R3" s="649"/>
      <c r="S3" s="649"/>
      <c r="T3" s="649"/>
      <c r="U3" s="649"/>
      <c r="V3" s="649"/>
      <c r="W3" s="649"/>
      <c r="X3" s="649"/>
      <c r="Y3" s="649"/>
      <c r="Z3" s="649"/>
    </row>
    <row r="4" spans="1:26">
      <c r="N4" s="650" t="s">
        <v>3456</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2615</v>
      </c>
    </row>
    <row r="7" spans="1:26" ht="11.45" customHeight="1">
      <c r="A7" s="139"/>
      <c r="B7" s="139"/>
      <c r="C7" s="139"/>
      <c r="D7" s="139"/>
      <c r="E7" s="139"/>
      <c r="F7" s="139"/>
      <c r="G7" s="139"/>
      <c r="H7" s="139"/>
      <c r="I7" s="139"/>
      <c r="J7" s="139"/>
      <c r="K7" s="139"/>
      <c r="L7" s="139"/>
      <c r="M7" s="139"/>
    </row>
    <row r="8" spans="1:26" ht="63.6" customHeight="1">
      <c r="A8" s="1214" t="s">
        <v>3075</v>
      </c>
      <c r="B8" s="1214"/>
      <c r="C8" s="1214"/>
      <c r="D8" s="1214"/>
      <c r="E8" s="1214"/>
      <c r="F8" s="1214"/>
      <c r="G8" s="1214"/>
      <c r="H8" s="1214"/>
      <c r="I8" s="1214"/>
      <c r="J8" s="1214"/>
      <c r="K8" s="1214"/>
      <c r="L8" s="1214"/>
      <c r="M8" s="1214"/>
    </row>
    <row r="9" spans="1:26" ht="11.45" customHeight="1">
      <c r="A9" s="139"/>
      <c r="B9" s="139"/>
      <c r="C9" s="139"/>
      <c r="D9" s="139"/>
      <c r="E9" s="139"/>
      <c r="F9" s="139"/>
      <c r="G9" s="139"/>
      <c r="H9" s="139"/>
      <c r="I9" s="139"/>
      <c r="J9" s="139"/>
      <c r="K9" s="139"/>
      <c r="L9" s="139"/>
      <c r="M9" s="139"/>
    </row>
    <row r="10" spans="1:26">
      <c r="A10" s="139" t="s">
        <v>2620</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3" t="s">
        <v>2216</v>
      </c>
      <c r="B12" s="1213"/>
      <c r="C12" s="1213"/>
      <c r="D12" s="1213"/>
      <c r="E12" s="1213"/>
      <c r="F12" s="1213"/>
      <c r="G12" s="1213"/>
      <c r="H12" s="1213"/>
      <c r="I12" s="1213"/>
      <c r="J12" s="1213"/>
      <c r="K12" s="1213"/>
      <c r="L12" s="1213"/>
      <c r="M12" s="1213"/>
    </row>
    <row r="13" spans="1:26" ht="11.45" customHeight="1">
      <c r="A13" s="1213"/>
      <c r="B13" s="1213"/>
      <c r="C13" s="1213"/>
      <c r="D13" s="1213"/>
      <c r="E13" s="1213"/>
      <c r="F13" s="1213"/>
      <c r="G13" s="1213"/>
      <c r="H13" s="1213"/>
      <c r="I13" s="1213"/>
      <c r="J13" s="1213"/>
      <c r="K13" s="1213"/>
      <c r="L13" s="1213"/>
      <c r="M13" s="1213"/>
    </row>
    <row r="14" spans="1:26" ht="48.6" customHeight="1">
      <c r="A14" s="1215" t="s">
        <v>713</v>
      </c>
      <c r="B14" s="1215"/>
      <c r="C14" s="1215"/>
      <c r="D14" s="1215"/>
      <c r="E14" s="1215"/>
      <c r="F14" s="1215"/>
      <c r="G14" s="1215"/>
      <c r="H14" s="1215"/>
      <c r="I14" s="1215"/>
      <c r="J14" s="1215"/>
      <c r="K14" s="1215"/>
      <c r="L14" s="1215"/>
      <c r="M14" s="1215"/>
    </row>
    <row r="15" spans="1:26" ht="3" customHeight="1">
      <c r="A15" s="1213"/>
      <c r="B15" s="1213"/>
      <c r="C15" s="1213"/>
      <c r="D15" s="1213"/>
      <c r="E15" s="1213"/>
      <c r="F15" s="1213"/>
      <c r="G15" s="1213"/>
      <c r="H15" s="1213"/>
      <c r="I15" s="1213"/>
      <c r="J15" s="1213"/>
      <c r="K15" s="1213"/>
      <c r="L15" s="1213"/>
      <c r="M15" s="1213"/>
    </row>
    <row r="16" spans="1:26" ht="60" customHeight="1">
      <c r="A16" s="141" t="s">
        <v>3747</v>
      </c>
      <c r="B16" s="1212" t="s">
        <v>1612</v>
      </c>
      <c r="C16" s="1212"/>
      <c r="D16" s="1212"/>
      <c r="E16" s="1212"/>
      <c r="F16" s="1212"/>
      <c r="G16" s="1212"/>
      <c r="H16" s="1212"/>
      <c r="I16" s="1212"/>
      <c r="J16" s="1212"/>
      <c r="K16" s="1212"/>
      <c r="L16" s="1212"/>
      <c r="M16" s="1212"/>
    </row>
    <row r="17" spans="1:13" ht="3" customHeight="1">
      <c r="A17" s="1213"/>
      <c r="B17" s="1213"/>
      <c r="C17" s="1213"/>
      <c r="D17" s="1213"/>
      <c r="E17" s="1213"/>
      <c r="F17" s="1213"/>
      <c r="G17" s="1213"/>
      <c r="H17" s="1213"/>
      <c r="I17" s="1213"/>
      <c r="J17" s="1213"/>
      <c r="K17" s="1213"/>
      <c r="L17" s="1213"/>
      <c r="M17" s="1213"/>
    </row>
    <row r="18" spans="1:13" ht="120.6" customHeight="1">
      <c r="A18" s="141" t="s">
        <v>3748</v>
      </c>
      <c r="B18" s="1212" t="s">
        <v>869</v>
      </c>
      <c r="C18" s="1212"/>
      <c r="D18" s="1212"/>
      <c r="E18" s="1212"/>
      <c r="F18" s="1212"/>
      <c r="G18" s="1212"/>
      <c r="H18" s="1212"/>
      <c r="I18" s="1212"/>
      <c r="J18" s="1212"/>
      <c r="K18" s="1212"/>
      <c r="L18" s="1212"/>
      <c r="M18" s="1212"/>
    </row>
    <row r="19" spans="1:13" ht="3" customHeight="1">
      <c r="A19" s="1213"/>
      <c r="B19" s="1213"/>
      <c r="C19" s="1213"/>
      <c r="D19" s="1213"/>
      <c r="E19" s="1213"/>
      <c r="F19" s="1213"/>
      <c r="G19" s="1213"/>
      <c r="H19" s="1213"/>
      <c r="I19" s="1213"/>
      <c r="J19" s="1213"/>
      <c r="K19" s="1213"/>
      <c r="L19" s="1213"/>
      <c r="M19" s="1213"/>
    </row>
    <row r="20" spans="1:13" ht="135.6" customHeight="1">
      <c r="A20" s="141" t="s">
        <v>3749</v>
      </c>
      <c r="B20" s="1212" t="s">
        <v>912</v>
      </c>
      <c r="C20" s="1212"/>
      <c r="D20" s="1212"/>
      <c r="E20" s="1212"/>
      <c r="F20" s="1212"/>
      <c r="G20" s="1212"/>
      <c r="H20" s="1212"/>
      <c r="I20" s="1212"/>
      <c r="J20" s="1212"/>
      <c r="K20" s="1212"/>
      <c r="L20" s="1212"/>
      <c r="M20" s="1212"/>
    </row>
    <row r="21" spans="1:13" ht="3" customHeight="1">
      <c r="A21" s="1213"/>
      <c r="B21" s="1213"/>
      <c r="C21" s="1213"/>
      <c r="D21" s="1213"/>
      <c r="E21" s="1213"/>
      <c r="F21" s="1213"/>
      <c r="G21" s="1213"/>
      <c r="H21" s="1213"/>
      <c r="I21" s="1213"/>
      <c r="J21" s="1213"/>
      <c r="K21" s="1213"/>
      <c r="L21" s="1213"/>
      <c r="M21" s="1213"/>
    </row>
    <row r="22" spans="1:13" ht="65.45" customHeight="1">
      <c r="A22" s="141" t="s">
        <v>2842</v>
      </c>
      <c r="B22" s="1212" t="s">
        <v>2591</v>
      </c>
      <c r="C22" s="1212"/>
      <c r="D22" s="1212"/>
      <c r="E22" s="1212"/>
      <c r="F22" s="1212"/>
      <c r="G22" s="1212"/>
      <c r="H22" s="1212"/>
      <c r="I22" s="1212"/>
      <c r="J22" s="1212"/>
      <c r="K22" s="1212"/>
      <c r="L22" s="1212"/>
      <c r="M22" s="1212"/>
    </row>
    <row r="23" spans="1:13" ht="165.6" customHeight="1">
      <c r="A23" s="141" t="s">
        <v>3514</v>
      </c>
      <c r="B23" s="1212" t="s">
        <v>3925</v>
      </c>
      <c r="C23" s="1212"/>
      <c r="D23" s="1212"/>
      <c r="E23" s="1212"/>
      <c r="F23" s="1212"/>
      <c r="G23" s="1212"/>
      <c r="H23" s="1212"/>
      <c r="I23" s="1212"/>
      <c r="J23" s="1212"/>
      <c r="K23" s="1212"/>
      <c r="L23" s="1212"/>
      <c r="M23" s="1212"/>
    </row>
    <row r="24" spans="1:13" ht="3" customHeight="1">
      <c r="A24" s="1213"/>
      <c r="B24" s="1213"/>
      <c r="C24" s="1213"/>
      <c r="D24" s="1213"/>
      <c r="E24" s="1213"/>
      <c r="F24" s="1213"/>
      <c r="G24" s="1213"/>
      <c r="H24" s="1213"/>
      <c r="I24" s="1213"/>
      <c r="J24" s="1213"/>
      <c r="K24" s="1213"/>
      <c r="L24" s="1213"/>
      <c r="M24" s="1213"/>
    </row>
    <row r="25" spans="1:13" ht="46.15" customHeight="1">
      <c r="A25" s="141" t="s">
        <v>3515</v>
      </c>
      <c r="B25" s="1212" t="s">
        <v>3411</v>
      </c>
      <c r="C25" s="1212"/>
      <c r="D25" s="1212"/>
      <c r="E25" s="1212"/>
      <c r="F25" s="1212"/>
      <c r="G25" s="1212"/>
      <c r="H25" s="1212"/>
      <c r="I25" s="1212"/>
      <c r="J25" s="1212"/>
      <c r="K25" s="1212"/>
      <c r="L25" s="1212"/>
      <c r="M25" s="1212"/>
    </row>
    <row r="26" spans="1:13" ht="3" customHeight="1">
      <c r="A26" s="1213"/>
      <c r="B26" s="1213"/>
      <c r="C26" s="1213"/>
      <c r="D26" s="1213"/>
      <c r="E26" s="1213"/>
      <c r="F26" s="1213"/>
      <c r="G26" s="1213"/>
      <c r="H26" s="1213"/>
      <c r="I26" s="1213"/>
      <c r="J26" s="1213"/>
      <c r="K26" s="1213"/>
      <c r="L26" s="1213"/>
      <c r="M26" s="1213"/>
    </row>
    <row r="27" spans="1:13">
      <c r="A27" s="141" t="s">
        <v>1613</v>
      </c>
      <c r="B27" s="1212" t="s">
        <v>3412</v>
      </c>
      <c r="C27" s="1212"/>
      <c r="D27" s="1212"/>
      <c r="E27" s="1212"/>
      <c r="F27" s="1212"/>
      <c r="G27" s="1212"/>
      <c r="H27" s="1212"/>
      <c r="I27" s="1212"/>
      <c r="J27" s="1212"/>
      <c r="K27" s="1212"/>
      <c r="L27" s="1212"/>
      <c r="M27" s="1212"/>
    </row>
    <row r="28" spans="1:13" ht="12" customHeight="1">
      <c r="A28" s="1213"/>
      <c r="B28" s="1213"/>
      <c r="C28" s="1213"/>
      <c r="D28" s="1213"/>
      <c r="E28" s="1213"/>
      <c r="F28" s="1213"/>
      <c r="G28" s="1213"/>
      <c r="H28" s="1213"/>
      <c r="I28" s="1213"/>
      <c r="J28" s="1213"/>
      <c r="K28" s="1213"/>
      <c r="L28" s="1213"/>
      <c r="M28" s="1213"/>
    </row>
    <row r="29" spans="1:13">
      <c r="A29" s="1213" t="s">
        <v>3413</v>
      </c>
      <c r="B29" s="1213"/>
      <c r="C29" s="1213"/>
      <c r="D29" s="1213"/>
      <c r="E29" s="1213"/>
      <c r="F29" s="1213"/>
      <c r="G29" s="1213"/>
      <c r="H29" s="1213"/>
      <c r="I29" s="1213"/>
      <c r="J29" s="1213"/>
      <c r="K29" s="1213"/>
      <c r="L29" s="1213"/>
      <c r="M29" s="1213"/>
    </row>
    <row r="30" spans="1:13" ht="3" customHeight="1">
      <c r="A30" s="1213"/>
      <c r="B30" s="1213"/>
      <c r="C30" s="1213"/>
      <c r="D30" s="1213"/>
      <c r="E30" s="1213"/>
      <c r="F30" s="1213"/>
      <c r="G30" s="1213"/>
      <c r="H30" s="1213"/>
      <c r="I30" s="1213"/>
      <c r="J30" s="1213"/>
      <c r="K30" s="1213"/>
      <c r="L30" s="1213"/>
      <c r="M30" s="1213"/>
    </row>
    <row r="31" spans="1:13" ht="33" customHeight="1">
      <c r="A31" s="142" t="s">
        <v>3414</v>
      </c>
      <c r="B31" s="1212" t="s">
        <v>3374</v>
      </c>
      <c r="C31" s="1212"/>
      <c r="D31" s="1212"/>
      <c r="E31" s="1212"/>
      <c r="F31" s="1212"/>
      <c r="G31" s="1212"/>
      <c r="H31" s="1212"/>
      <c r="I31" s="1212"/>
      <c r="J31" s="1212"/>
      <c r="K31" s="1212"/>
      <c r="L31" s="1212"/>
      <c r="M31" s="1212"/>
    </row>
    <row r="32" spans="1:13" ht="3" customHeight="1">
      <c r="A32" s="1213"/>
      <c r="B32" s="1213"/>
      <c r="C32" s="1213"/>
      <c r="D32" s="1213"/>
      <c r="E32" s="1213"/>
      <c r="F32" s="1213"/>
      <c r="G32" s="1213"/>
      <c r="H32" s="1213"/>
      <c r="I32" s="1213"/>
      <c r="J32" s="1213"/>
      <c r="K32" s="1213"/>
      <c r="L32" s="1213"/>
      <c r="M32" s="1213"/>
    </row>
    <row r="33" spans="1:13" ht="45.6" customHeight="1">
      <c r="A33" s="142" t="s">
        <v>3414</v>
      </c>
      <c r="B33" s="1212" t="s">
        <v>1242</v>
      </c>
      <c r="C33" s="1212"/>
      <c r="D33" s="1212"/>
      <c r="E33" s="1212"/>
      <c r="F33" s="1212"/>
      <c r="G33" s="1212"/>
      <c r="H33" s="1212"/>
      <c r="I33" s="1212"/>
      <c r="J33" s="1212"/>
      <c r="K33" s="1212"/>
      <c r="L33" s="1212"/>
      <c r="M33" s="1212"/>
    </row>
    <row r="34" spans="1:13" ht="3" customHeight="1">
      <c r="A34" s="1213"/>
      <c r="B34" s="1213"/>
      <c r="C34" s="1213"/>
      <c r="D34" s="1213"/>
      <c r="E34" s="1213"/>
      <c r="F34" s="1213"/>
      <c r="G34" s="1213"/>
      <c r="H34" s="1213"/>
      <c r="I34" s="1213"/>
      <c r="J34" s="1213"/>
      <c r="K34" s="1213"/>
      <c r="L34" s="1213"/>
      <c r="M34" s="1213"/>
    </row>
    <row r="35" spans="1:13" ht="75" customHeight="1">
      <c r="A35" s="142" t="s">
        <v>3414</v>
      </c>
      <c r="B35" s="1212" t="s">
        <v>1228</v>
      </c>
      <c r="C35" s="1212"/>
      <c r="D35" s="1212"/>
      <c r="E35" s="1212"/>
      <c r="F35" s="1212"/>
      <c r="G35" s="1212"/>
      <c r="H35" s="1212"/>
      <c r="I35" s="1212"/>
      <c r="J35" s="1212"/>
      <c r="K35" s="1212"/>
      <c r="L35" s="1212"/>
      <c r="M35" s="1212"/>
    </row>
    <row r="36" spans="1:13" ht="12" customHeight="1">
      <c r="A36" s="1213"/>
      <c r="B36" s="1213"/>
      <c r="C36" s="1213"/>
      <c r="D36" s="1213"/>
      <c r="E36" s="1213"/>
      <c r="F36" s="1213"/>
      <c r="G36" s="1213"/>
      <c r="H36" s="1213"/>
      <c r="I36" s="1213"/>
      <c r="J36" s="1213"/>
      <c r="K36" s="1213"/>
      <c r="L36" s="1213"/>
      <c r="M36" s="1213"/>
    </row>
    <row r="37" spans="1:13" ht="48" customHeight="1">
      <c r="A37" s="1212" t="s">
        <v>3005</v>
      </c>
      <c r="B37" s="1212"/>
      <c r="C37" s="1212"/>
      <c r="D37" s="1212"/>
      <c r="E37" s="1212"/>
      <c r="F37" s="1212"/>
      <c r="G37" s="1212"/>
      <c r="H37" s="1212"/>
      <c r="I37" s="1212"/>
      <c r="J37" s="1212"/>
      <c r="K37" s="1212"/>
      <c r="L37" s="1212"/>
      <c r="M37" s="1212"/>
    </row>
    <row r="38" spans="1:13" ht="3" customHeight="1">
      <c r="A38" s="1213"/>
      <c r="B38" s="1213"/>
      <c r="C38" s="1213"/>
      <c r="D38" s="1213"/>
      <c r="E38" s="1213"/>
      <c r="F38" s="1213"/>
      <c r="G38" s="1213"/>
      <c r="H38" s="1213"/>
      <c r="I38" s="1213"/>
      <c r="J38" s="1213"/>
      <c r="K38" s="1213"/>
      <c r="L38" s="1213"/>
      <c r="M38" s="1213"/>
    </row>
    <row r="39" spans="1:13" ht="36.6" customHeight="1">
      <c r="A39" s="1212" t="s">
        <v>935</v>
      </c>
      <c r="B39" s="1212"/>
      <c r="C39" s="1212"/>
      <c r="D39" s="1212"/>
      <c r="E39" s="1212"/>
      <c r="F39" s="1212"/>
      <c r="G39" s="1212"/>
      <c r="H39" s="1212"/>
      <c r="I39" s="1212"/>
      <c r="J39" s="1212"/>
      <c r="K39" s="1212"/>
      <c r="L39" s="1212"/>
      <c r="M39" s="1212"/>
    </row>
    <row r="40" spans="1:13" ht="3" customHeight="1">
      <c r="A40" s="1213"/>
      <c r="B40" s="1213"/>
      <c r="C40" s="1213"/>
      <c r="D40" s="1213"/>
      <c r="E40" s="1213"/>
      <c r="F40" s="1213"/>
      <c r="G40" s="1213"/>
      <c r="H40" s="1213"/>
      <c r="I40" s="1213"/>
      <c r="J40" s="1213"/>
      <c r="K40" s="1213"/>
      <c r="L40" s="1213"/>
      <c r="M40" s="1213"/>
    </row>
    <row r="41" spans="1:13">
      <c r="A41" s="1213" t="s">
        <v>936</v>
      </c>
      <c r="B41" s="1213"/>
      <c r="C41" s="1213"/>
      <c r="D41" s="1213"/>
      <c r="E41" s="1213"/>
      <c r="F41" s="1213"/>
      <c r="G41" s="1213"/>
      <c r="H41" s="1213"/>
      <c r="I41" s="1213"/>
      <c r="J41" s="1213"/>
      <c r="K41" s="1213"/>
      <c r="L41" s="1213"/>
      <c r="M41" s="1213"/>
    </row>
    <row r="42" spans="1:13">
      <c r="A42" s="140"/>
      <c r="B42" s="140"/>
      <c r="C42" s="140"/>
      <c r="D42" s="140"/>
      <c r="E42" s="140"/>
      <c r="F42" s="140"/>
      <c r="G42" s="140"/>
      <c r="H42" s="140"/>
      <c r="I42" s="140"/>
      <c r="J42" s="140"/>
      <c r="K42" s="140"/>
      <c r="L42" s="140"/>
      <c r="M42" s="140"/>
    </row>
    <row r="43" spans="1:13">
      <c r="A43" s="1216"/>
      <c r="B43" s="1216"/>
      <c r="C43" s="1216"/>
      <c r="D43" s="1216"/>
      <c r="E43" s="1216"/>
      <c r="F43" s="1216"/>
      <c r="G43" s="143"/>
      <c r="H43" s="1216"/>
      <c r="I43" s="1216"/>
      <c r="J43" s="1216"/>
      <c r="K43" s="1216"/>
      <c r="L43" s="1216"/>
      <c r="M43" s="1216"/>
    </row>
    <row r="44" spans="1:13" ht="12" customHeight="1">
      <c r="A44" s="1217" t="s">
        <v>937</v>
      </c>
      <c r="B44" s="1217"/>
      <c r="C44" s="1217"/>
      <c r="D44" s="1217"/>
      <c r="E44" s="1217"/>
      <c r="F44" s="1217"/>
      <c r="G44" s="143"/>
      <c r="H44" s="1217" t="s">
        <v>2305</v>
      </c>
      <c r="I44" s="1217"/>
      <c r="J44" s="1217"/>
      <c r="K44" s="1217"/>
      <c r="L44" s="1217"/>
      <c r="M44" s="1217"/>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6"/>
      <c r="B47" s="1216"/>
      <c r="C47" s="1216"/>
      <c r="D47" s="1216"/>
      <c r="E47" s="1216"/>
      <c r="F47" s="1216"/>
      <c r="G47" s="143"/>
      <c r="H47" s="1219"/>
      <c r="I47" s="1219"/>
      <c r="J47" s="1219"/>
      <c r="K47" s="1219"/>
      <c r="L47" s="1219"/>
      <c r="M47" s="1219"/>
    </row>
    <row r="48" spans="1:13" ht="12" customHeight="1">
      <c r="A48" s="1217" t="s">
        <v>938</v>
      </c>
      <c r="B48" s="1217"/>
      <c r="C48" s="1217"/>
      <c r="D48" s="1217"/>
      <c r="E48" s="1217"/>
      <c r="F48" s="1217"/>
      <c r="G48" s="143"/>
      <c r="H48" s="1217" t="s">
        <v>939</v>
      </c>
      <c r="I48" s="1217"/>
      <c r="J48" s="1217"/>
      <c r="K48" s="1217"/>
      <c r="L48" s="1217"/>
      <c r="M48" s="1217"/>
    </row>
    <row r="49" spans="1:13" ht="11.45" customHeight="1">
      <c r="A49" s="1213"/>
      <c r="B49" s="1213"/>
      <c r="C49" s="1213"/>
      <c r="D49" s="1213"/>
      <c r="E49" s="1213"/>
      <c r="F49" s="1213"/>
      <c r="G49" s="1213"/>
      <c r="H49" s="1213"/>
      <c r="I49" s="1213"/>
      <c r="J49" s="1213"/>
      <c r="K49" s="1213"/>
      <c r="L49" s="1213"/>
      <c r="M49" s="1213"/>
    </row>
    <row r="50" spans="1:13" ht="11.45" customHeight="1">
      <c r="A50" s="139"/>
      <c r="B50" s="139"/>
      <c r="C50" s="139"/>
      <c r="D50" s="139"/>
      <c r="E50" s="139"/>
      <c r="F50" s="139"/>
      <c r="G50" s="139"/>
      <c r="H50" s="1218" t="s">
        <v>940</v>
      </c>
      <c r="I50" s="1218"/>
      <c r="J50" s="1218"/>
      <c r="K50" s="1218"/>
      <c r="L50" s="1218"/>
      <c r="M50" s="1218"/>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H50:M50"/>
    <mergeCell ref="H44:M44"/>
    <mergeCell ref="A44:F44"/>
    <mergeCell ref="A49:M49"/>
    <mergeCell ref="A47:F47"/>
    <mergeCell ref="H47:M47"/>
    <mergeCell ref="A48:F48"/>
    <mergeCell ref="A43:F43"/>
    <mergeCell ref="H43:M43"/>
    <mergeCell ref="H48:M48"/>
    <mergeCell ref="A36:M36"/>
    <mergeCell ref="A40:M40"/>
    <mergeCell ref="A39:M39"/>
    <mergeCell ref="A37:M37"/>
    <mergeCell ref="A41:M41"/>
    <mergeCell ref="A38:M38"/>
    <mergeCell ref="A8:M8"/>
    <mergeCell ref="A17:M17"/>
    <mergeCell ref="A19:M19"/>
    <mergeCell ref="A12:M12"/>
    <mergeCell ref="A13:M13"/>
    <mergeCell ref="A15:M15"/>
    <mergeCell ref="A14:M14"/>
    <mergeCell ref="B16:M16"/>
    <mergeCell ref="B18:M18"/>
    <mergeCell ref="A32:M32"/>
    <mergeCell ref="B35:M35"/>
    <mergeCell ref="A28:M28"/>
    <mergeCell ref="A34:M34"/>
    <mergeCell ref="B31:M31"/>
    <mergeCell ref="A30:M30"/>
    <mergeCell ref="A29:M29"/>
    <mergeCell ref="B33:M33"/>
    <mergeCell ref="B27:M27"/>
    <mergeCell ref="B20:M20"/>
    <mergeCell ref="B22:M22"/>
    <mergeCell ref="A21:M21"/>
    <mergeCell ref="B23:M23"/>
    <mergeCell ref="B25:M25"/>
    <mergeCell ref="A26:M26"/>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35" zoomScaleNormal="100" workbookViewId="0">
      <selection activeCell="Q43" sqref="Q43:R4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3" t="s">
        <v>2640</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3736</v>
      </c>
      <c r="B4" s="420"/>
      <c r="C4" s="420"/>
      <c r="D4" s="241"/>
      <c r="E4" s="241"/>
      <c r="F4" s="420" t="s">
        <v>3737</v>
      </c>
      <c r="G4" s="420"/>
      <c r="H4" s="241"/>
      <c r="I4" s="241"/>
      <c r="J4" s="420" t="s">
        <v>3738</v>
      </c>
      <c r="K4" s="420"/>
      <c r="L4" s="420"/>
      <c r="M4" s="420"/>
      <c r="N4" s="420"/>
      <c r="O4" s="420"/>
      <c r="P4" s="241"/>
      <c r="Q4" s="421" t="s">
        <v>3739</v>
      </c>
      <c r="R4" s="422" t="s">
        <v>3740</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3741</v>
      </c>
      <c r="B6" s="243"/>
      <c r="C6" s="243"/>
      <c r="D6" s="241"/>
      <c r="E6" s="241"/>
      <c r="F6" s="243" t="s">
        <v>702</v>
      </c>
      <c r="G6" s="243"/>
      <c r="H6" s="241"/>
      <c r="I6" s="241"/>
      <c r="J6" s="243" t="s">
        <v>3742</v>
      </c>
      <c r="K6" s="243"/>
      <c r="L6" s="243"/>
      <c r="M6" s="243"/>
      <c r="N6" s="243"/>
      <c r="O6" s="243"/>
      <c r="P6" s="241"/>
      <c r="Q6" s="425" t="s">
        <v>3743</v>
      </c>
      <c r="R6" s="425">
        <v>950000</v>
      </c>
      <c r="S6" s="241"/>
      <c r="T6" s="241"/>
      <c r="U6" s="241"/>
      <c r="V6" s="426"/>
      <c r="W6" s="426"/>
      <c r="X6" s="244"/>
    </row>
    <row r="7" spans="1:26" s="419" customFormat="1" ht="11.45" customHeight="1">
      <c r="A7" s="424"/>
      <c r="B7" s="243"/>
      <c r="C7" s="243"/>
      <c r="D7" s="241"/>
      <c r="E7" s="241"/>
      <c r="F7" s="243"/>
      <c r="G7" s="243"/>
      <c r="H7" s="241"/>
      <c r="I7" s="241"/>
      <c r="J7" s="243" t="s">
        <v>3278</v>
      </c>
      <c r="K7" s="243"/>
      <c r="L7" s="243"/>
      <c r="M7" s="243"/>
      <c r="N7" s="243"/>
      <c r="O7" s="243"/>
      <c r="P7" s="241"/>
      <c r="Q7" s="425" t="s">
        <v>3743</v>
      </c>
      <c r="R7" s="425">
        <v>1700000</v>
      </c>
      <c r="S7" s="241"/>
      <c r="T7" s="241"/>
      <c r="U7" s="241"/>
      <c r="V7" s="426"/>
      <c r="W7" s="426"/>
      <c r="X7" s="244"/>
    </row>
    <row r="8" spans="1:26" s="419" customFormat="1" ht="11.45" customHeight="1">
      <c r="A8" s="243"/>
      <c r="B8" s="243"/>
      <c r="C8" s="243"/>
      <c r="D8" s="241"/>
      <c r="E8" s="241"/>
      <c r="F8" s="243" t="s">
        <v>2902</v>
      </c>
      <c r="G8" s="243"/>
      <c r="H8" s="241"/>
      <c r="I8" s="241"/>
      <c r="J8" s="243" t="s">
        <v>2094</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2868</v>
      </c>
      <c r="K9" s="243"/>
      <c r="L9" s="243"/>
      <c r="M9" s="243"/>
      <c r="N9" s="243"/>
      <c r="O9" s="243"/>
      <c r="P9" s="241"/>
      <c r="Q9" s="425" t="s">
        <v>3743</v>
      </c>
      <c r="R9" s="437">
        <v>0.25</v>
      </c>
      <c r="S9" s="241"/>
      <c r="T9" s="241"/>
      <c r="U9" s="241"/>
      <c r="V9" s="426"/>
      <c r="W9" s="426"/>
      <c r="X9" s="244"/>
    </row>
    <row r="10" spans="1:26" s="419" customFormat="1" ht="11.45" customHeight="1">
      <c r="A10" s="243"/>
      <c r="B10" s="243"/>
      <c r="C10" s="243"/>
      <c r="D10" s="241"/>
      <c r="E10" s="241"/>
      <c r="F10" s="243"/>
      <c r="G10" s="243"/>
      <c r="H10" s="241"/>
      <c r="I10" s="241"/>
      <c r="J10" s="429" t="s">
        <v>639</v>
      </c>
      <c r="K10" s="429" t="s">
        <v>2935</v>
      </c>
      <c r="L10" s="429" t="s">
        <v>2936</v>
      </c>
      <c r="M10" s="429" t="s">
        <v>2937</v>
      </c>
      <c r="N10" s="429" t="s">
        <v>2938</v>
      </c>
      <c r="O10" s="243"/>
      <c r="P10" s="241"/>
      <c r="Q10" s="430"/>
      <c r="R10" s="430"/>
      <c r="S10" s="427"/>
      <c r="T10" s="427"/>
      <c r="U10" s="241"/>
      <c r="V10" s="428"/>
      <c r="W10" s="428"/>
      <c r="X10" s="428"/>
    </row>
    <row r="11" spans="1:26" s="419" customFormat="1" ht="11.45" customHeight="1">
      <c r="A11" s="243"/>
      <c r="B11" s="243"/>
      <c r="C11" s="243"/>
      <c r="D11" s="241"/>
      <c r="E11" s="241"/>
      <c r="F11" s="243" t="s">
        <v>3279</v>
      </c>
      <c r="G11" s="243"/>
      <c r="H11" s="241"/>
      <c r="I11" s="241"/>
      <c r="J11" s="431">
        <v>110481</v>
      </c>
      <c r="K11" s="431">
        <v>126647</v>
      </c>
      <c r="L11" s="431">
        <v>154003</v>
      </c>
      <c r="M11" s="431">
        <v>199229</v>
      </c>
      <c r="N11" s="431">
        <v>199229</v>
      </c>
      <c r="O11" s="243"/>
      <c r="Q11" s="425" t="s">
        <v>3743</v>
      </c>
      <c r="R11" s="425">
        <f>'Part VI-Revenues &amp; Expenses'!$H$62*$J11+'Part VI-Revenues &amp; Expenses'!$I$62*$K11+'Part VI-Revenues &amp; Expenses'!$J$62*$L11+'Part VI-Revenues &amp; Expenses'!$K$62*$M11+'Part VI-Revenues &amp; Expenses'!$L$62*$N11</f>
        <v>8541970</v>
      </c>
      <c r="S11" s="446" t="s">
        <v>95</v>
      </c>
      <c r="T11" s="427"/>
      <c r="U11" s="241"/>
      <c r="V11" s="428"/>
      <c r="W11" s="428"/>
      <c r="X11" s="428"/>
    </row>
    <row r="12" spans="1:26" s="419" customFormat="1" ht="11.45" customHeight="1">
      <c r="A12" s="243"/>
      <c r="B12" s="243"/>
      <c r="C12" s="243"/>
      <c r="D12" s="241"/>
      <c r="E12" s="241"/>
      <c r="F12" s="243" t="s">
        <v>3281</v>
      </c>
      <c r="G12" s="243"/>
      <c r="H12" s="241"/>
      <c r="I12" s="241"/>
      <c r="J12" s="431">
        <v>132577</v>
      </c>
      <c r="K12" s="431">
        <v>151976</v>
      </c>
      <c r="L12" s="431">
        <v>184804</v>
      </c>
      <c r="M12" s="431">
        <v>239075</v>
      </c>
      <c r="N12" s="431">
        <v>239075</v>
      </c>
      <c r="O12" s="243"/>
      <c r="Q12" s="425" t="s">
        <v>3743</v>
      </c>
      <c r="R12" s="425">
        <f>'Part VI-Revenues &amp; Expenses'!$H$62*$J12+'Part VI-Revenues &amp; Expenses'!$I$62*$K12+'Part VI-Revenues &amp; Expenses'!$J$62*$L12+'Part VI-Revenues &amp; Expenses'!$K$62*$M12+'Part VI-Revenues &amp; Expenses'!$L$62*$N12</f>
        <v>10250340</v>
      </c>
      <c r="S12" s="446" t="s">
        <v>95</v>
      </c>
      <c r="T12" s="241"/>
      <c r="U12" s="241"/>
      <c r="V12" s="428"/>
      <c r="W12" s="428"/>
      <c r="X12" s="428"/>
    </row>
    <row r="13" spans="1:26" s="419" customFormat="1" ht="11.45" customHeight="1">
      <c r="A13" s="243"/>
      <c r="B13" s="243"/>
      <c r="C13" s="243"/>
      <c r="D13" s="241"/>
      <c r="E13" s="241"/>
      <c r="F13" s="243" t="s">
        <v>3280</v>
      </c>
      <c r="G13" s="243"/>
      <c r="H13" s="241"/>
      <c r="I13" s="241"/>
      <c r="J13" s="431">
        <v>121529</v>
      </c>
      <c r="K13" s="431">
        <v>139312</v>
      </c>
      <c r="L13" s="431">
        <v>169403</v>
      </c>
      <c r="M13" s="431">
        <v>219152</v>
      </c>
      <c r="N13" s="431">
        <v>219152</v>
      </c>
      <c r="O13" s="243"/>
      <c r="Q13" s="425" t="s">
        <v>3743</v>
      </c>
      <c r="R13" s="425">
        <f>'Part VI-Revenues &amp; Expenses'!$H$62*$J13+'Part VI-Revenues &amp; Expenses'!$I$62*$K13+'Part VI-Revenues &amp; Expenses'!$J$62*$L13+'Part VI-Revenues &amp; Expenses'!$K$62*$M13+'Part VI-Revenues &amp; Expenses'!$L$62*$N13</f>
        <v>9396180</v>
      </c>
      <c r="S13" s="446" t="s">
        <v>95</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1286</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1286</v>
      </c>
      <c r="C16" s="243"/>
      <c r="D16" s="241"/>
      <c r="E16" s="241"/>
      <c r="F16" s="243" t="s">
        <v>1287</v>
      </c>
      <c r="G16" s="243" t="s">
        <v>1301</v>
      </c>
      <c r="H16" s="241"/>
      <c r="I16" s="241"/>
      <c r="J16" s="243" t="s">
        <v>3492</v>
      </c>
      <c r="K16" s="243"/>
      <c r="L16" s="243"/>
      <c r="M16" s="243"/>
      <c r="N16" s="243"/>
      <c r="O16" s="243"/>
      <c r="P16" s="241"/>
      <c r="Q16" s="245">
        <v>4500</v>
      </c>
      <c r="R16" s="434" t="s">
        <v>3743</v>
      </c>
      <c r="S16" s="435"/>
    </row>
    <row r="17" spans="1:21" s="419" customFormat="1" ht="11.45" customHeight="1">
      <c r="A17" s="241"/>
      <c r="B17" s="243"/>
      <c r="C17" s="243"/>
      <c r="D17" s="241"/>
      <c r="E17" s="241"/>
      <c r="F17" s="243"/>
      <c r="G17" s="243" t="s">
        <v>1701</v>
      </c>
      <c r="H17" s="241"/>
      <c r="I17" s="241"/>
      <c r="J17" s="243" t="s">
        <v>3492</v>
      </c>
      <c r="K17" s="243"/>
      <c r="L17" s="243"/>
      <c r="M17" s="243"/>
      <c r="N17" s="243"/>
      <c r="O17" s="243"/>
      <c r="P17" s="241"/>
      <c r="Q17" s="245">
        <v>4000</v>
      </c>
      <c r="R17" s="434" t="s">
        <v>3743</v>
      </c>
      <c r="S17" s="435"/>
    </row>
    <row r="18" spans="1:21" s="419" customFormat="1" ht="11.45" customHeight="1">
      <c r="A18" s="243"/>
      <c r="B18" s="243"/>
      <c r="C18" s="243"/>
      <c r="D18" s="241"/>
      <c r="E18" s="241"/>
      <c r="F18" s="243" t="s">
        <v>2217</v>
      </c>
      <c r="G18" s="243"/>
      <c r="H18" s="241"/>
      <c r="I18" s="241"/>
      <c r="J18" s="243" t="s">
        <v>3492</v>
      </c>
      <c r="K18" s="243"/>
      <c r="L18" s="243"/>
      <c r="M18" s="243"/>
      <c r="N18" s="243"/>
      <c r="O18" s="243"/>
      <c r="P18" s="241"/>
      <c r="Q18" s="245">
        <v>3000</v>
      </c>
      <c r="R18" s="434" t="s">
        <v>3743</v>
      </c>
      <c r="S18" s="435"/>
    </row>
    <row r="19" spans="1:21" s="419" customFormat="1" ht="11.45" customHeight="1">
      <c r="A19" s="243"/>
      <c r="B19" s="243"/>
      <c r="C19" s="243"/>
      <c r="D19" s="241"/>
      <c r="E19" s="241"/>
      <c r="F19" s="243" t="s">
        <v>3795</v>
      </c>
      <c r="G19" s="243"/>
      <c r="H19" s="241"/>
      <c r="I19" s="241"/>
      <c r="J19" s="243" t="s">
        <v>3492</v>
      </c>
      <c r="K19" s="243"/>
      <c r="L19" s="243"/>
      <c r="M19" s="243"/>
      <c r="N19" s="243"/>
      <c r="O19" s="243"/>
      <c r="P19" s="241"/>
      <c r="Q19" s="245">
        <v>3000</v>
      </c>
      <c r="R19" s="434" t="s">
        <v>3743</v>
      </c>
      <c r="S19" s="435"/>
      <c r="T19" s="435"/>
      <c r="U19" s="435"/>
    </row>
    <row r="20" spans="1:21" s="419" customFormat="1" ht="11.45" customHeight="1">
      <c r="A20" s="243"/>
      <c r="B20" s="243" t="s">
        <v>1288</v>
      </c>
      <c r="C20" s="243"/>
      <c r="D20" s="241"/>
      <c r="E20" s="241"/>
      <c r="F20" s="243" t="s">
        <v>2276</v>
      </c>
      <c r="G20" s="243"/>
      <c r="H20" s="241"/>
      <c r="I20" s="241"/>
      <c r="J20" s="243" t="s">
        <v>3492</v>
      </c>
      <c r="K20" s="243"/>
      <c r="L20" s="243"/>
      <c r="M20" s="243"/>
      <c r="N20" s="243"/>
      <c r="O20" s="243"/>
      <c r="P20" s="241"/>
      <c r="Q20" s="436">
        <v>350</v>
      </c>
      <c r="R20" s="434" t="s">
        <v>3743</v>
      </c>
      <c r="S20" s="435"/>
      <c r="T20" s="435"/>
      <c r="U20" s="435"/>
    </row>
    <row r="21" spans="1:21" s="419" customFormat="1" ht="11.45" customHeight="1">
      <c r="A21" s="243"/>
      <c r="B21" s="243"/>
      <c r="C21" s="243"/>
      <c r="D21" s="241"/>
      <c r="E21" s="241"/>
      <c r="F21" s="243" t="s">
        <v>1289</v>
      </c>
      <c r="G21" s="243"/>
      <c r="H21" s="241"/>
      <c r="I21" s="241"/>
      <c r="J21" s="243" t="s">
        <v>3492</v>
      </c>
      <c r="K21" s="243"/>
      <c r="L21" s="243"/>
      <c r="M21" s="243"/>
      <c r="N21" s="243"/>
      <c r="O21" s="243"/>
      <c r="P21" s="241"/>
      <c r="Q21" s="436">
        <v>250</v>
      </c>
      <c r="R21" s="434" t="s">
        <v>3743</v>
      </c>
      <c r="S21" s="435"/>
      <c r="T21" s="435"/>
      <c r="U21" s="435"/>
    </row>
    <row r="22" spans="1:21" s="419" customFormat="1" ht="11.45" customHeight="1">
      <c r="A22" s="243"/>
      <c r="B22" s="243"/>
      <c r="C22" s="243"/>
      <c r="D22" s="243"/>
      <c r="E22" s="241"/>
      <c r="F22" s="243" t="s">
        <v>1290</v>
      </c>
      <c r="G22" s="243"/>
      <c r="H22" s="241"/>
      <c r="I22" s="241"/>
      <c r="J22" s="243" t="s">
        <v>3492</v>
      </c>
      <c r="K22" s="243"/>
      <c r="L22" s="243"/>
      <c r="M22" s="243"/>
      <c r="N22" s="243"/>
      <c r="O22" s="243"/>
      <c r="P22" s="241"/>
      <c r="Q22" s="436">
        <v>420</v>
      </c>
      <c r="R22" s="434" t="s">
        <v>3743</v>
      </c>
      <c r="S22" s="435"/>
      <c r="T22" s="435"/>
      <c r="U22" s="435"/>
    </row>
    <row r="23" spans="1:21" s="419" customFormat="1" ht="11.45" customHeight="1">
      <c r="A23" s="243"/>
      <c r="B23" s="243"/>
      <c r="C23" s="243"/>
      <c r="D23" s="243"/>
      <c r="E23" s="241"/>
      <c r="F23" s="243" t="s">
        <v>1249</v>
      </c>
      <c r="G23" s="243"/>
      <c r="H23" s="241"/>
      <c r="I23" s="241"/>
      <c r="J23" s="243" t="s">
        <v>3492</v>
      </c>
      <c r="K23" s="243"/>
      <c r="L23" s="243"/>
      <c r="M23" s="243"/>
      <c r="N23" s="243"/>
      <c r="O23" s="243"/>
      <c r="P23" s="241"/>
      <c r="Q23" s="436">
        <v>420</v>
      </c>
      <c r="R23" s="434" t="s">
        <v>3743</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1291</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1292</v>
      </c>
      <c r="C26" s="243"/>
      <c r="D26" s="243"/>
      <c r="E26" s="241"/>
      <c r="F26" s="246" t="s">
        <v>1293</v>
      </c>
      <c r="G26" s="243"/>
      <c r="H26" s="241"/>
      <c r="I26" s="241"/>
      <c r="J26" s="243" t="s">
        <v>1294</v>
      </c>
      <c r="K26" s="243"/>
      <c r="L26" s="243"/>
      <c r="M26" s="243"/>
      <c r="N26" s="243"/>
      <c r="O26" s="243"/>
      <c r="P26" s="241"/>
      <c r="Q26" s="1221">
        <v>6500</v>
      </c>
      <c r="R26" s="1222"/>
      <c r="S26" s="435"/>
      <c r="T26" s="435"/>
      <c r="U26" s="435"/>
    </row>
    <row r="27" spans="1:21" s="419" customFormat="1" ht="11.45" customHeight="1">
      <c r="A27" s="243"/>
      <c r="B27" s="243"/>
      <c r="C27" s="243"/>
      <c r="D27" s="243"/>
      <c r="E27" s="241"/>
      <c r="F27" s="246" t="s">
        <v>1293</v>
      </c>
      <c r="G27" s="243"/>
      <c r="H27" s="241"/>
      <c r="I27" s="241"/>
      <c r="J27" s="243" t="s">
        <v>1295</v>
      </c>
      <c r="K27" s="243"/>
      <c r="L27" s="243"/>
      <c r="M27" s="243"/>
      <c r="N27" s="243"/>
      <c r="O27" s="243"/>
      <c r="P27" s="241"/>
      <c r="Q27" s="1221">
        <v>5500</v>
      </c>
      <c r="R27" s="1222"/>
      <c r="S27" s="435"/>
      <c r="T27" s="435"/>
      <c r="U27" s="435"/>
    </row>
    <row r="28" spans="1:21" s="419" customFormat="1" ht="11.45" customHeight="1">
      <c r="A28" s="241"/>
      <c r="B28" s="241"/>
      <c r="C28" s="243"/>
      <c r="D28" s="243"/>
      <c r="E28" s="241"/>
      <c r="F28" s="246" t="s">
        <v>1296</v>
      </c>
      <c r="G28" s="243"/>
      <c r="H28" s="241"/>
      <c r="I28" s="241"/>
      <c r="J28" s="243" t="s">
        <v>1294</v>
      </c>
      <c r="K28" s="243"/>
      <c r="L28" s="243"/>
      <c r="M28" s="243"/>
      <c r="N28" s="243"/>
      <c r="O28" s="243"/>
      <c r="P28" s="241"/>
      <c r="Q28" s="1221">
        <v>1000</v>
      </c>
      <c r="R28" s="1222"/>
      <c r="S28" s="435"/>
      <c r="T28" s="435"/>
      <c r="U28" s="435"/>
    </row>
    <row r="29" spans="1:21" s="419" customFormat="1" ht="11.45" customHeight="1">
      <c r="A29" s="243"/>
      <c r="B29" s="243"/>
      <c r="C29" s="243"/>
      <c r="D29" s="243"/>
      <c r="E29" s="241"/>
      <c r="F29" s="246" t="s">
        <v>1296</v>
      </c>
      <c r="G29" s="243"/>
      <c r="H29" s="241"/>
      <c r="I29" s="241"/>
      <c r="J29" s="243" t="s">
        <v>1295</v>
      </c>
      <c r="K29" s="243"/>
      <c r="L29" s="243"/>
      <c r="M29" s="243"/>
      <c r="N29" s="243"/>
      <c r="O29" s="243"/>
      <c r="P29" s="241"/>
      <c r="Q29" s="1221">
        <v>500</v>
      </c>
      <c r="R29" s="1222"/>
      <c r="S29" s="435"/>
      <c r="T29" s="435"/>
      <c r="U29" s="435"/>
    </row>
    <row r="30" spans="1:21" s="419" customFormat="1" ht="11.45" customHeight="1">
      <c r="A30" s="243"/>
      <c r="B30" s="243"/>
      <c r="C30" s="243"/>
      <c r="D30" s="243"/>
      <c r="E30" s="241"/>
      <c r="F30" s="246" t="s">
        <v>910</v>
      </c>
      <c r="G30" s="243"/>
      <c r="H30" s="241"/>
      <c r="I30" s="241"/>
      <c r="J30" s="243" t="s">
        <v>1294</v>
      </c>
      <c r="K30" s="243"/>
      <c r="L30" s="243"/>
      <c r="M30" s="243"/>
      <c r="N30" s="243"/>
      <c r="O30" s="243"/>
      <c r="P30" s="241"/>
      <c r="Q30" s="1221">
        <v>7000</v>
      </c>
      <c r="R30" s="1222"/>
      <c r="S30" s="435"/>
      <c r="T30" s="435"/>
      <c r="U30" s="435"/>
    </row>
    <row r="31" spans="1:21" s="419" customFormat="1" ht="11.45" customHeight="1">
      <c r="A31" s="243"/>
      <c r="B31" s="243"/>
      <c r="C31" s="243"/>
      <c r="D31" s="243"/>
      <c r="E31" s="241"/>
      <c r="F31" s="246" t="s">
        <v>910</v>
      </c>
      <c r="G31" s="243"/>
      <c r="H31" s="241"/>
      <c r="I31" s="241"/>
      <c r="J31" s="243" t="s">
        <v>1295</v>
      </c>
      <c r="K31" s="243"/>
      <c r="L31" s="243"/>
      <c r="M31" s="243"/>
      <c r="N31" s="243"/>
      <c r="O31" s="243"/>
      <c r="P31" s="241"/>
      <c r="Q31" s="1221">
        <v>6000</v>
      </c>
      <c r="R31" s="1222"/>
      <c r="S31" s="435"/>
      <c r="T31" s="435"/>
      <c r="U31" s="435"/>
    </row>
    <row r="32" spans="1:21" s="419" customFormat="1" ht="11.45" customHeight="1">
      <c r="A32" s="243"/>
      <c r="B32" s="243" t="s">
        <v>911</v>
      </c>
      <c r="C32" s="243"/>
      <c r="D32" s="241"/>
      <c r="E32" s="241"/>
      <c r="F32" s="243" t="s">
        <v>2276</v>
      </c>
      <c r="G32" s="243"/>
      <c r="H32" s="241"/>
      <c r="I32" s="241"/>
      <c r="J32" s="243" t="s">
        <v>698</v>
      </c>
      <c r="K32" s="243"/>
      <c r="L32" s="243"/>
      <c r="M32" s="243"/>
      <c r="N32" s="243"/>
      <c r="O32" s="243"/>
      <c r="P32" s="241"/>
      <c r="Q32" s="425">
        <v>25000</v>
      </c>
      <c r="R32" s="434" t="s">
        <v>699</v>
      </c>
      <c r="S32" s="435"/>
      <c r="T32" s="435"/>
      <c r="U32" s="435"/>
    </row>
    <row r="33" spans="1:21" s="419" customFormat="1" ht="11.45" customHeight="1">
      <c r="A33" s="243"/>
      <c r="B33" s="243"/>
      <c r="C33" s="243"/>
      <c r="D33" s="241"/>
      <c r="E33" s="241"/>
      <c r="F33" s="243"/>
      <c r="G33" s="243"/>
      <c r="H33" s="241"/>
      <c r="I33" s="241"/>
      <c r="J33" s="243" t="s">
        <v>700</v>
      </c>
      <c r="K33" s="243"/>
      <c r="L33" s="243"/>
      <c r="M33" s="243"/>
      <c r="N33" s="243"/>
      <c r="O33" s="243"/>
      <c r="P33" s="241"/>
      <c r="Q33" s="425">
        <v>30000</v>
      </c>
      <c r="R33" s="434" t="s">
        <v>699</v>
      </c>
      <c r="S33" s="435"/>
      <c r="T33" s="435"/>
      <c r="U33" s="435"/>
    </row>
    <row r="34" spans="1:21" s="419" customFormat="1" ht="11.45" customHeight="1">
      <c r="A34" s="243"/>
      <c r="B34" s="243" t="s">
        <v>3897</v>
      </c>
      <c r="C34" s="243"/>
      <c r="D34" s="241"/>
      <c r="E34" s="241"/>
      <c r="F34" s="243" t="s">
        <v>1289</v>
      </c>
      <c r="G34" s="243"/>
      <c r="H34" s="241"/>
      <c r="I34" s="241"/>
      <c r="J34" s="243" t="s">
        <v>3033</v>
      </c>
      <c r="K34" s="243"/>
      <c r="L34" s="243"/>
      <c r="M34" s="243"/>
      <c r="N34" s="243"/>
      <c r="O34" s="243"/>
      <c r="P34" s="241"/>
      <c r="Q34" s="437" t="s">
        <v>3034</v>
      </c>
      <c r="R34" s="437">
        <v>0.05</v>
      </c>
      <c r="S34" s="435"/>
      <c r="T34" s="435"/>
      <c r="U34" s="435"/>
    </row>
    <row r="35" spans="1:21" s="419" customFormat="1" ht="11.45" customHeight="1">
      <c r="A35" s="243"/>
      <c r="B35" s="243"/>
      <c r="C35" s="243"/>
      <c r="D35" s="241"/>
      <c r="E35" s="241"/>
      <c r="F35" s="243"/>
      <c r="G35" s="243"/>
      <c r="H35" s="241"/>
      <c r="I35" s="241"/>
      <c r="J35" s="243" t="s">
        <v>2359</v>
      </c>
      <c r="K35" s="243"/>
      <c r="L35" s="243"/>
      <c r="M35" s="243"/>
      <c r="N35" s="243"/>
      <c r="O35" s="243"/>
      <c r="P35" s="241"/>
      <c r="Q35" s="437" t="s">
        <v>3034</v>
      </c>
      <c r="R35" s="425">
        <v>500000</v>
      </c>
      <c r="S35" s="435"/>
      <c r="T35" s="435"/>
      <c r="U35" s="435"/>
    </row>
    <row r="36" spans="1:21" s="419" customFormat="1" ht="11.45" customHeight="1">
      <c r="A36" s="243"/>
      <c r="B36" s="243"/>
      <c r="C36" s="243"/>
      <c r="D36" s="241"/>
      <c r="E36" s="241"/>
      <c r="F36" s="243" t="s">
        <v>2276</v>
      </c>
      <c r="G36" s="243"/>
      <c r="H36" s="241"/>
      <c r="I36" s="241"/>
      <c r="J36" s="243" t="s">
        <v>3033</v>
      </c>
      <c r="K36" s="243"/>
      <c r="L36" s="243"/>
      <c r="M36" s="243"/>
      <c r="N36" s="243"/>
      <c r="O36" s="243"/>
      <c r="P36" s="241"/>
      <c r="Q36" s="437" t="s">
        <v>3034</v>
      </c>
      <c r="R36" s="437">
        <v>7.0000000000000007E-2</v>
      </c>
      <c r="S36" s="435"/>
      <c r="T36" s="435"/>
      <c r="U36" s="435"/>
    </row>
    <row r="37" spans="1:21" s="419" customFormat="1" ht="11.45" customHeight="1">
      <c r="A37" s="243"/>
      <c r="B37" s="243"/>
      <c r="C37" s="243"/>
      <c r="D37" s="241"/>
      <c r="E37" s="241"/>
      <c r="F37" s="243"/>
      <c r="G37" s="243"/>
      <c r="H37" s="241"/>
      <c r="I37" s="241"/>
      <c r="J37" s="243" t="s">
        <v>2359</v>
      </c>
      <c r="K37" s="243"/>
      <c r="L37" s="243"/>
      <c r="M37" s="243"/>
      <c r="N37" s="243"/>
      <c r="O37" s="243"/>
      <c r="P37" s="241"/>
      <c r="Q37" s="437" t="s">
        <v>3034</v>
      </c>
      <c r="R37" s="425">
        <v>500000</v>
      </c>
      <c r="S37" s="435"/>
      <c r="T37" s="435"/>
      <c r="U37" s="435"/>
    </row>
    <row r="38" spans="1:21" s="419" customFormat="1" ht="11.45" customHeight="1">
      <c r="A38" s="243"/>
      <c r="B38" s="243" t="s">
        <v>3927</v>
      </c>
      <c r="C38" s="243"/>
      <c r="D38" s="241"/>
      <c r="E38" s="241"/>
      <c r="F38" s="243" t="s">
        <v>3743</v>
      </c>
      <c r="G38" s="243"/>
      <c r="H38" s="241"/>
      <c r="I38" s="241"/>
      <c r="J38" s="243" t="s">
        <v>2376</v>
      </c>
      <c r="K38" s="243"/>
      <c r="L38" s="243"/>
      <c r="M38" s="243"/>
      <c r="N38" s="243"/>
      <c r="O38" s="243"/>
      <c r="P38" s="241"/>
      <c r="Q38" s="434" t="s">
        <v>3743</v>
      </c>
      <c r="R38" s="437">
        <v>0.06</v>
      </c>
      <c r="S38" s="435"/>
      <c r="T38" s="435"/>
      <c r="U38" s="435"/>
    </row>
    <row r="39" spans="1:21" s="419" customFormat="1" ht="11.45" customHeight="1">
      <c r="A39" s="243"/>
      <c r="B39" s="243" t="s">
        <v>3928</v>
      </c>
      <c r="C39" s="243"/>
      <c r="D39" s="241"/>
      <c r="E39" s="241"/>
      <c r="F39" s="243" t="s">
        <v>3743</v>
      </c>
      <c r="G39" s="243"/>
      <c r="H39" s="241"/>
      <c r="I39" s="241"/>
      <c r="J39" s="243" t="s">
        <v>2376</v>
      </c>
      <c r="K39" s="243"/>
      <c r="L39" s="243"/>
      <c r="M39" s="243"/>
      <c r="N39" s="243"/>
      <c r="O39" s="243"/>
      <c r="P39" s="241"/>
      <c r="Q39" s="434" t="s">
        <v>3743</v>
      </c>
      <c r="R39" s="437">
        <v>0.02</v>
      </c>
      <c r="S39" s="435"/>
      <c r="T39" s="435"/>
      <c r="U39" s="435"/>
    </row>
    <row r="40" spans="1:21" s="419" customFormat="1" ht="11.45" customHeight="1">
      <c r="A40" s="243"/>
      <c r="B40" s="243" t="s">
        <v>3796</v>
      </c>
      <c r="C40" s="243"/>
      <c r="D40" s="241"/>
      <c r="E40" s="241"/>
      <c r="F40" s="243" t="s">
        <v>3743</v>
      </c>
      <c r="G40" s="243"/>
      <c r="H40" s="241"/>
      <c r="I40" s="241"/>
      <c r="J40" s="243" t="s">
        <v>2376</v>
      </c>
      <c r="K40" s="243"/>
      <c r="L40" s="243"/>
      <c r="M40" s="243"/>
      <c r="N40" s="243"/>
      <c r="O40" s="243"/>
      <c r="P40" s="241"/>
      <c r="Q40" s="434" t="s">
        <v>3743</v>
      </c>
      <c r="R40" s="437">
        <v>0.06</v>
      </c>
      <c r="S40" s="435"/>
      <c r="T40" s="435"/>
      <c r="U40" s="435"/>
    </row>
    <row r="41" spans="1:21" s="419" customFormat="1" ht="11.45" customHeight="1">
      <c r="A41" s="243"/>
      <c r="B41" s="246" t="s">
        <v>3007</v>
      </c>
      <c r="C41" s="243"/>
      <c r="D41" s="241"/>
      <c r="E41" s="241"/>
      <c r="F41" s="243" t="s">
        <v>3008</v>
      </c>
      <c r="G41" s="243"/>
      <c r="H41" s="241"/>
      <c r="I41" s="241"/>
      <c r="J41" s="243" t="s">
        <v>3009</v>
      </c>
      <c r="K41" s="243"/>
      <c r="L41" s="243"/>
      <c r="M41" s="243"/>
      <c r="N41" s="243"/>
      <c r="O41" s="243"/>
      <c r="P41" s="241"/>
      <c r="Q41" s="1220">
        <v>0.08</v>
      </c>
      <c r="R41" s="1220"/>
      <c r="S41" s="435"/>
      <c r="T41" s="435"/>
      <c r="U41" s="435"/>
    </row>
    <row r="42" spans="1:21" s="419" customFormat="1" ht="11.45" customHeight="1">
      <c r="A42" s="243"/>
      <c r="B42" s="246" t="s">
        <v>3010</v>
      </c>
      <c r="C42" s="243"/>
      <c r="D42" s="241"/>
      <c r="E42" s="241"/>
      <c r="F42" s="243" t="s">
        <v>3008</v>
      </c>
      <c r="G42" s="243"/>
      <c r="H42" s="241"/>
      <c r="I42" s="241"/>
      <c r="J42" s="243" t="s">
        <v>3009</v>
      </c>
      <c r="K42" s="243"/>
      <c r="L42" s="243"/>
      <c r="M42" s="243"/>
      <c r="N42" s="243"/>
      <c r="O42" s="243"/>
      <c r="P42" s="241"/>
      <c r="Q42" s="1220">
        <v>0.08</v>
      </c>
      <c r="R42" s="1220"/>
      <c r="S42" s="435"/>
      <c r="T42" s="435"/>
      <c r="U42" s="435"/>
    </row>
    <row r="43" spans="1:21" s="419" customFormat="1" ht="11.45" customHeight="1">
      <c r="A43" s="243"/>
      <c r="B43" s="246" t="s">
        <v>618</v>
      </c>
      <c r="C43" s="243"/>
      <c r="D43" s="241"/>
      <c r="E43" s="241"/>
      <c r="F43" s="243"/>
      <c r="G43" s="243"/>
      <c r="H43" s="241"/>
      <c r="I43" s="241"/>
      <c r="J43" s="243"/>
      <c r="K43" s="243"/>
      <c r="L43" s="243"/>
      <c r="M43" s="243"/>
      <c r="N43" s="243"/>
      <c r="O43" s="243"/>
      <c r="P43" s="241"/>
      <c r="Q43" s="1221">
        <v>2700</v>
      </c>
      <c r="R43" s="1222"/>
      <c r="S43" s="435"/>
      <c r="T43" s="435"/>
      <c r="U43" s="435"/>
    </row>
    <row r="44" spans="1:21" s="419" customFormat="1" ht="11.45" customHeight="1">
      <c r="A44" s="243"/>
      <c r="B44" s="243" t="s">
        <v>3011</v>
      </c>
      <c r="C44" s="243"/>
      <c r="D44" s="241"/>
      <c r="E44" s="241"/>
      <c r="F44" s="243" t="s">
        <v>1714</v>
      </c>
      <c r="G44" s="243"/>
      <c r="H44" s="241"/>
      <c r="I44" s="241"/>
      <c r="J44" s="243" t="s">
        <v>3492</v>
      </c>
      <c r="K44" s="243"/>
      <c r="L44" s="243"/>
      <c r="M44" s="243"/>
      <c r="N44" s="243"/>
      <c r="O44" s="243"/>
      <c r="P44" s="241"/>
      <c r="Q44" s="434">
        <v>800</v>
      </c>
      <c r="R44" s="434" t="s">
        <v>3743</v>
      </c>
      <c r="S44" s="435"/>
      <c r="T44" s="435"/>
      <c r="U44" s="435"/>
    </row>
    <row r="45" spans="1:21" s="419" customFormat="1" ht="11.45" customHeight="1">
      <c r="A45" s="243"/>
      <c r="B45" s="243"/>
      <c r="C45" s="243"/>
      <c r="D45" s="241"/>
      <c r="E45" s="241"/>
      <c r="F45" s="243" t="s">
        <v>3800</v>
      </c>
      <c r="G45" s="243"/>
      <c r="H45" s="241"/>
      <c r="I45" s="241"/>
      <c r="J45" s="243" t="s">
        <v>3492</v>
      </c>
      <c r="K45" s="243"/>
      <c r="L45" s="243"/>
      <c r="M45" s="243"/>
      <c r="N45" s="243"/>
      <c r="O45" s="243"/>
      <c r="P45" s="241"/>
      <c r="Q45" s="434">
        <v>400</v>
      </c>
      <c r="R45" s="434" t="s">
        <v>3743</v>
      </c>
      <c r="S45" s="435"/>
      <c r="T45" s="435"/>
      <c r="U45" s="435"/>
    </row>
    <row r="46" spans="1:21" s="419" customFormat="1" ht="11.45" customHeight="1">
      <c r="A46" s="243"/>
      <c r="B46" s="243"/>
      <c r="C46" s="243"/>
      <c r="D46" s="241"/>
      <c r="E46" s="241"/>
      <c r="F46" s="243" t="s">
        <v>3797</v>
      </c>
      <c r="G46" s="243"/>
      <c r="H46" s="241"/>
      <c r="I46" s="241"/>
      <c r="J46" s="243" t="s">
        <v>3798</v>
      </c>
      <c r="K46" s="243"/>
      <c r="L46" s="243"/>
      <c r="M46" s="243"/>
      <c r="N46" s="243"/>
      <c r="O46" s="243"/>
      <c r="P46" s="241"/>
      <c r="Q46" s="434">
        <v>1500</v>
      </c>
      <c r="R46" s="434" t="s">
        <v>3743</v>
      </c>
      <c r="S46" s="435"/>
      <c r="T46" s="435"/>
      <c r="U46" s="435"/>
    </row>
    <row r="47" spans="1:21" s="419" customFormat="1" ht="11.45" customHeight="1">
      <c r="A47" s="243"/>
      <c r="B47" s="243" t="s">
        <v>344</v>
      </c>
      <c r="C47" s="243"/>
      <c r="D47" s="241"/>
      <c r="E47" s="241"/>
      <c r="F47" s="243"/>
      <c r="G47" s="243"/>
      <c r="H47" s="243"/>
      <c r="I47" s="241"/>
      <c r="J47" s="243" t="s">
        <v>3740</v>
      </c>
      <c r="K47" s="243"/>
      <c r="L47" s="243"/>
      <c r="M47" s="243"/>
      <c r="N47" s="243"/>
      <c r="O47" s="243"/>
      <c r="P47" s="241"/>
      <c r="Q47" s="1221">
        <v>1800000</v>
      </c>
      <c r="R47" s="1222"/>
      <c r="S47" s="435"/>
      <c r="T47" s="435"/>
      <c r="U47" s="435"/>
    </row>
    <row r="48" spans="1:21" s="419" customFormat="1" ht="11.45" customHeight="1">
      <c r="A48" s="243"/>
      <c r="B48" s="243"/>
      <c r="C48" s="243"/>
      <c r="D48" s="241"/>
      <c r="E48" s="241"/>
      <c r="F48" s="243" t="s">
        <v>3722</v>
      </c>
      <c r="G48" s="243"/>
      <c r="H48" s="243" t="s">
        <v>3673</v>
      </c>
      <c r="I48" s="241"/>
      <c r="J48" s="243" t="s">
        <v>3040</v>
      </c>
      <c r="K48" s="243"/>
      <c r="L48" s="243"/>
      <c r="M48" s="243"/>
      <c r="N48" s="243"/>
      <c r="O48" s="243"/>
      <c r="P48" s="241"/>
      <c r="Q48" s="1220">
        <v>0.15</v>
      </c>
      <c r="R48" s="1220"/>
      <c r="S48" s="435"/>
      <c r="T48" s="435"/>
      <c r="U48" s="435"/>
    </row>
    <row r="49" spans="1:21" s="419" customFormat="1" ht="11.45" customHeight="1">
      <c r="A49" s="243"/>
      <c r="B49" s="570"/>
      <c r="C49" s="243"/>
      <c r="D49" s="241"/>
      <c r="E49" s="241"/>
      <c r="F49" s="243"/>
      <c r="G49" s="243"/>
      <c r="H49" s="243" t="s">
        <v>3036</v>
      </c>
      <c r="I49" s="243" t="s">
        <v>3037</v>
      </c>
      <c r="J49" s="243" t="s">
        <v>3039</v>
      </c>
      <c r="K49" s="243"/>
      <c r="L49" s="243"/>
      <c r="M49" s="243"/>
      <c r="N49" s="243"/>
      <c r="O49" s="243"/>
      <c r="P49" s="241"/>
      <c r="Q49" s="1220">
        <v>0.15</v>
      </c>
      <c r="R49" s="1220"/>
      <c r="S49" s="435"/>
      <c r="T49" s="435"/>
      <c r="U49" s="435"/>
    </row>
    <row r="50" spans="1:21" s="419" customFormat="1" ht="11.45" customHeight="1">
      <c r="A50" s="243"/>
      <c r="B50" s="570"/>
      <c r="C50" s="243"/>
      <c r="D50" s="241"/>
      <c r="E50" s="241"/>
      <c r="F50" s="243"/>
      <c r="G50" s="243"/>
      <c r="H50" s="243"/>
      <c r="I50" s="243" t="s">
        <v>3038</v>
      </c>
      <c r="J50" s="243" t="s">
        <v>1019</v>
      </c>
      <c r="K50" s="243"/>
      <c r="L50" s="243"/>
      <c r="M50" s="243"/>
      <c r="N50" s="243"/>
      <c r="O50" s="243"/>
      <c r="P50" s="241"/>
      <c r="Q50" s="1220">
        <v>0.15</v>
      </c>
      <c r="R50" s="1220"/>
      <c r="S50" s="435"/>
      <c r="T50" s="435"/>
      <c r="U50" s="435"/>
    </row>
    <row r="51" spans="1:21" s="419" customFormat="1" ht="11.45" customHeight="1">
      <c r="A51" s="243"/>
      <c r="B51" s="570"/>
      <c r="C51" s="243"/>
      <c r="D51" s="241"/>
      <c r="E51" s="241"/>
      <c r="F51" s="243"/>
      <c r="G51" s="243"/>
      <c r="H51" s="243" t="s">
        <v>3035</v>
      </c>
      <c r="I51" s="241"/>
      <c r="J51" s="243" t="s">
        <v>1019</v>
      </c>
      <c r="K51" s="243"/>
      <c r="L51" s="243"/>
      <c r="M51" s="243"/>
      <c r="N51" s="243"/>
      <c r="O51" s="243"/>
      <c r="P51" s="241"/>
      <c r="Q51" s="1220">
        <v>0.15</v>
      </c>
      <c r="R51" s="1220"/>
      <c r="S51" s="435"/>
      <c r="T51" s="435"/>
      <c r="U51" s="435"/>
    </row>
    <row r="52" spans="1:21" s="419" customFormat="1" ht="11.45" customHeight="1">
      <c r="A52" s="243"/>
      <c r="B52" s="570"/>
      <c r="C52" s="243"/>
      <c r="D52" s="241"/>
      <c r="E52" s="241"/>
      <c r="F52" s="243"/>
      <c r="G52" s="243"/>
      <c r="H52" s="243"/>
      <c r="I52" s="243" t="s">
        <v>1020</v>
      </c>
      <c r="J52" s="243" t="s">
        <v>1021</v>
      </c>
      <c r="K52" s="243"/>
      <c r="L52" s="243"/>
      <c r="M52" s="243"/>
      <c r="N52" s="243"/>
      <c r="O52" s="243"/>
      <c r="P52" s="241"/>
      <c r="Q52" s="1220">
        <v>0.15</v>
      </c>
      <c r="R52" s="1220"/>
      <c r="S52" s="435"/>
      <c r="T52" s="435"/>
      <c r="U52" s="435"/>
    </row>
    <row r="53" spans="1:21" s="419" customFormat="1" ht="11.45" customHeight="1">
      <c r="A53" s="243"/>
      <c r="B53" s="570"/>
      <c r="C53" s="243"/>
      <c r="D53" s="241"/>
      <c r="E53" s="241"/>
      <c r="F53" s="243" t="s">
        <v>2089</v>
      </c>
      <c r="G53" s="243"/>
      <c r="H53" s="243"/>
      <c r="I53" s="241"/>
      <c r="J53" s="243" t="s">
        <v>2854</v>
      </c>
      <c r="K53" s="243"/>
      <c r="L53" s="243"/>
      <c r="M53" s="243"/>
      <c r="N53" s="243"/>
      <c r="O53" s="243"/>
      <c r="P53" s="241"/>
      <c r="Q53" s="1220">
        <v>0.15</v>
      </c>
      <c r="R53" s="1220"/>
      <c r="S53" s="435"/>
      <c r="T53" s="435"/>
      <c r="U53" s="435"/>
    </row>
    <row r="54" spans="1:21" s="419" customFormat="1" ht="11.45" customHeight="1">
      <c r="A54" s="243"/>
      <c r="B54" s="570"/>
      <c r="C54" s="243"/>
      <c r="D54" s="241"/>
      <c r="E54" s="241"/>
      <c r="G54" s="243"/>
      <c r="H54" s="243"/>
      <c r="I54" s="241"/>
      <c r="J54" s="243" t="s">
        <v>2855</v>
      </c>
      <c r="K54" s="243"/>
      <c r="L54" s="243"/>
      <c r="M54" s="243"/>
      <c r="N54" s="243"/>
      <c r="O54" s="243"/>
      <c r="P54" s="241"/>
      <c r="Q54" s="1220" t="s">
        <v>2856</v>
      </c>
      <c r="R54" s="1220"/>
      <c r="S54" s="435"/>
      <c r="T54" s="435"/>
      <c r="U54" s="435"/>
    </row>
    <row r="55" spans="1:21" s="419" customFormat="1" ht="11.45" customHeight="1">
      <c r="A55" s="243"/>
      <c r="B55" s="570"/>
      <c r="C55" s="243"/>
      <c r="D55" s="241"/>
      <c r="E55" s="241"/>
      <c r="F55" s="243" t="s">
        <v>2361</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2360</v>
      </c>
      <c r="G56" s="243"/>
      <c r="I56" s="241"/>
      <c r="J56" s="243"/>
      <c r="K56" s="243"/>
      <c r="L56" s="243"/>
      <c r="M56" s="243"/>
      <c r="N56" s="243"/>
      <c r="O56" s="243"/>
      <c r="P56" s="241"/>
      <c r="Q56" s="437">
        <v>0</v>
      </c>
      <c r="R56" s="437">
        <v>0.5</v>
      </c>
      <c r="S56" s="435"/>
      <c r="T56" s="435"/>
      <c r="U56" s="435"/>
    </row>
    <row r="57" spans="1:21" s="419" customFormat="1" ht="11.45" customHeight="1">
      <c r="A57" s="243"/>
      <c r="B57" s="243" t="s">
        <v>2090</v>
      </c>
      <c r="C57" s="243"/>
      <c r="D57" s="243"/>
      <c r="E57" s="243"/>
      <c r="F57" s="243"/>
      <c r="G57" s="243"/>
      <c r="H57" s="241"/>
      <c r="I57" s="241"/>
      <c r="J57" s="243" t="s">
        <v>2091</v>
      </c>
      <c r="K57" s="243"/>
      <c r="L57" s="243"/>
      <c r="M57" s="243"/>
      <c r="N57" s="243"/>
      <c r="O57" s="243"/>
      <c r="P57" s="241"/>
      <c r="Q57" s="438">
        <v>6</v>
      </c>
      <c r="R57" s="434" t="s">
        <v>3743</v>
      </c>
      <c r="S57" s="435"/>
      <c r="T57" s="435"/>
      <c r="U57" s="435"/>
    </row>
    <row r="58" spans="1:21" s="419" customFormat="1" ht="11.45" customHeight="1">
      <c r="A58" s="243"/>
      <c r="B58" s="243"/>
      <c r="C58" s="243"/>
      <c r="D58" s="243"/>
      <c r="E58" s="243"/>
      <c r="F58" s="243"/>
      <c r="G58" s="243"/>
      <c r="H58" s="241"/>
      <c r="I58" s="241"/>
      <c r="J58" s="243" t="s">
        <v>2092</v>
      </c>
      <c r="K58" s="243"/>
      <c r="L58" s="243"/>
      <c r="M58" s="243"/>
      <c r="N58" s="243"/>
      <c r="O58" s="243"/>
      <c r="P58" s="241"/>
      <c r="Q58" s="438">
        <v>6</v>
      </c>
      <c r="R58" s="434" t="s">
        <v>3743</v>
      </c>
      <c r="S58" s="435"/>
      <c r="T58" s="435"/>
      <c r="U58" s="435"/>
    </row>
    <row r="59" spans="1:21" s="419" customFormat="1" ht="11.45" customHeight="1">
      <c r="A59" s="243"/>
      <c r="B59" s="573" t="s">
        <v>2362</v>
      </c>
      <c r="C59" s="243"/>
      <c r="D59" s="241"/>
      <c r="E59" s="241"/>
      <c r="F59" s="243"/>
      <c r="G59" s="243"/>
      <c r="I59" s="241"/>
      <c r="J59" s="243" t="s">
        <v>2363</v>
      </c>
      <c r="K59" s="243"/>
      <c r="L59" s="243"/>
      <c r="M59" s="243"/>
      <c r="N59" s="243"/>
      <c r="O59" s="243"/>
      <c r="P59" s="241"/>
      <c r="Q59" s="438">
        <v>3</v>
      </c>
      <c r="R59" s="434" t="s">
        <v>3743</v>
      </c>
      <c r="S59" s="435"/>
      <c r="T59" s="435"/>
      <c r="U59" s="435"/>
    </row>
    <row r="60" spans="1:21" s="419" customFormat="1" ht="11.45" customHeight="1">
      <c r="A60" s="243"/>
      <c r="B60" s="246" t="s">
        <v>2093</v>
      </c>
      <c r="C60" s="243"/>
      <c r="D60" s="241"/>
      <c r="E60" s="243"/>
      <c r="F60" s="243"/>
      <c r="G60" s="243"/>
      <c r="H60" s="241"/>
      <c r="I60" s="241"/>
      <c r="J60" s="243" t="s">
        <v>2094</v>
      </c>
      <c r="K60" s="243"/>
      <c r="L60" s="243"/>
      <c r="M60" s="243"/>
      <c r="N60" s="243"/>
      <c r="O60" s="243"/>
      <c r="P60" s="241"/>
      <c r="Q60" s="1221">
        <v>3000</v>
      </c>
      <c r="R60" s="1222"/>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2095</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2904</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1654</v>
      </c>
      <c r="N64" s="441">
        <v>1.08</v>
      </c>
      <c r="O64" s="441">
        <v>1.1599999999999999</v>
      </c>
      <c r="P64" s="441">
        <v>1.24</v>
      </c>
      <c r="Q64" s="441">
        <v>1.32</v>
      </c>
    </row>
    <row r="65" spans="1:26" s="435" customFormat="1" ht="11.45" customHeight="1">
      <c r="A65" s="243"/>
      <c r="B65" s="243" t="s">
        <v>2096</v>
      </c>
      <c r="C65" s="243"/>
      <c r="D65" s="243"/>
      <c r="E65" s="243"/>
      <c r="F65" s="243"/>
      <c r="G65" s="243"/>
      <c r="H65" s="243"/>
      <c r="J65" s="243" t="s">
        <v>2097</v>
      </c>
      <c r="K65" s="243"/>
      <c r="L65" s="243"/>
      <c r="M65" s="243"/>
      <c r="N65" s="243"/>
      <c r="O65" s="243"/>
      <c r="Q65" s="1220">
        <v>0.02</v>
      </c>
      <c r="R65" s="1220"/>
    </row>
    <row r="66" spans="1:26" s="435" customFormat="1" ht="11.45" customHeight="1">
      <c r="A66" s="243"/>
      <c r="B66" s="243" t="s">
        <v>2098</v>
      </c>
      <c r="C66" s="243"/>
      <c r="D66" s="243"/>
      <c r="E66" s="243"/>
      <c r="F66" s="243"/>
      <c r="G66" s="243"/>
      <c r="H66" s="243"/>
      <c r="J66" s="243" t="s">
        <v>2097</v>
      </c>
      <c r="K66" s="243"/>
      <c r="L66" s="243"/>
      <c r="M66" s="243"/>
      <c r="N66" s="243"/>
      <c r="O66" s="243"/>
      <c r="Q66" s="1220">
        <v>7.0000000000000007E-2</v>
      </c>
      <c r="R66" s="1220"/>
    </row>
    <row r="67" spans="1:26" s="435" customFormat="1" ht="11.45" customHeight="1">
      <c r="A67" s="243"/>
      <c r="B67" s="243" t="s">
        <v>2099</v>
      </c>
      <c r="C67" s="243"/>
      <c r="D67" s="243"/>
      <c r="E67" s="243"/>
      <c r="F67" s="243"/>
      <c r="G67" s="243"/>
      <c r="H67" s="243"/>
      <c r="J67" s="243" t="s">
        <v>2097</v>
      </c>
      <c r="K67" s="243"/>
      <c r="L67" s="243"/>
      <c r="M67" s="243"/>
      <c r="N67" s="243"/>
      <c r="O67" s="243"/>
      <c r="Q67" s="1220">
        <v>7.0000000000000007E-2</v>
      </c>
      <c r="R67" s="1220"/>
    </row>
    <row r="68" spans="1:26" s="419" customFormat="1" ht="11.45" customHeight="1">
      <c r="A68" s="243"/>
      <c r="B68" s="243" t="s">
        <v>1651</v>
      </c>
      <c r="C68" s="243"/>
      <c r="D68" s="241"/>
      <c r="E68" s="241"/>
      <c r="F68" s="241"/>
      <c r="G68" s="243"/>
      <c r="H68" s="241"/>
      <c r="I68" s="241"/>
      <c r="J68" s="243" t="s">
        <v>2097</v>
      </c>
      <c r="K68" s="243"/>
      <c r="L68" s="243"/>
      <c r="M68" s="243"/>
      <c r="N68" s="243"/>
      <c r="O68" s="243"/>
      <c r="P68" s="241"/>
      <c r="Q68" s="1220">
        <v>0.03</v>
      </c>
      <c r="R68" s="1220"/>
      <c r="S68" s="435"/>
      <c r="T68" s="435"/>
      <c r="U68" s="435"/>
    </row>
    <row r="69" spans="1:26" s="419" customFormat="1" ht="11.45" customHeight="1">
      <c r="A69" s="243"/>
      <c r="B69" s="243" t="s">
        <v>1652</v>
      </c>
      <c r="C69" s="243"/>
      <c r="D69" s="241"/>
      <c r="E69" s="241"/>
      <c r="F69" s="241"/>
      <c r="G69" s="243"/>
      <c r="H69" s="241"/>
      <c r="I69" s="241"/>
      <c r="J69" s="243" t="s">
        <v>2097</v>
      </c>
      <c r="K69" s="243"/>
      <c r="L69" s="243"/>
      <c r="M69" s="243"/>
      <c r="N69" s="243"/>
      <c r="O69" s="243"/>
      <c r="P69" s="241"/>
      <c r="Q69" s="1220">
        <v>0.03</v>
      </c>
      <c r="R69" s="1220"/>
      <c r="S69" s="435"/>
      <c r="T69" s="435"/>
      <c r="U69" s="435"/>
    </row>
    <row r="70" spans="1:26" s="419" customFormat="1" ht="11.45" customHeight="1">
      <c r="A70" s="243"/>
      <c r="B70" s="243" t="s">
        <v>1653</v>
      </c>
      <c r="C70" s="243"/>
      <c r="D70" s="241"/>
      <c r="E70" s="241"/>
      <c r="F70" s="241"/>
      <c r="G70" s="243"/>
      <c r="H70" s="241"/>
      <c r="I70" s="241"/>
      <c r="J70" s="243" t="s">
        <v>2097</v>
      </c>
      <c r="K70" s="243"/>
      <c r="L70" s="243"/>
      <c r="M70" s="243"/>
      <c r="N70" s="243"/>
      <c r="O70" s="243"/>
      <c r="P70" s="241"/>
      <c r="Q70" s="1220">
        <v>0</v>
      </c>
      <c r="R70" s="1220"/>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2140</v>
      </c>
      <c r="B72" s="243"/>
      <c r="C72" s="243"/>
      <c r="D72" s="241"/>
      <c r="E72" s="241"/>
      <c r="F72" s="243" t="s">
        <v>1147</v>
      </c>
      <c r="G72" s="243"/>
      <c r="H72" s="241"/>
      <c r="I72" s="241"/>
      <c r="J72" s="243" t="s">
        <v>2143</v>
      </c>
      <c r="K72" s="243"/>
      <c r="L72" s="243"/>
      <c r="M72" s="243"/>
      <c r="N72" s="243"/>
      <c r="O72" s="243"/>
      <c r="P72" s="241"/>
      <c r="Q72" s="1220">
        <v>0.1</v>
      </c>
      <c r="R72" s="1220"/>
      <c r="S72" s="241"/>
      <c r="T72" s="241"/>
      <c r="U72" s="241"/>
      <c r="V72" s="426"/>
      <c r="W72" s="426"/>
      <c r="X72" s="244"/>
    </row>
    <row r="73" spans="1:26" s="419" customFormat="1" ht="11.45" customHeight="1">
      <c r="A73" s="424"/>
      <c r="B73" s="243"/>
      <c r="C73" s="243"/>
      <c r="D73" s="241"/>
      <c r="E73" s="241"/>
      <c r="F73" s="243" t="s">
        <v>1146</v>
      </c>
      <c r="G73" s="243"/>
      <c r="H73" s="241"/>
      <c r="I73" s="241"/>
      <c r="J73" s="243" t="s">
        <v>2143</v>
      </c>
      <c r="K73" s="243"/>
      <c r="L73" s="243"/>
      <c r="M73" s="243"/>
      <c r="N73" s="243"/>
      <c r="O73" s="243"/>
      <c r="P73" s="241"/>
      <c r="Q73" s="1220">
        <v>0.3</v>
      </c>
      <c r="R73" s="1220"/>
      <c r="S73" s="241"/>
      <c r="T73" s="241"/>
      <c r="U73" s="241"/>
      <c r="V73" s="426"/>
      <c r="W73" s="426"/>
      <c r="X73" s="244"/>
    </row>
    <row r="74" spans="1:26" s="419" customFormat="1" ht="11.45" customHeight="1">
      <c r="A74" s="243"/>
      <c r="B74" s="243"/>
      <c r="C74" s="243"/>
      <c r="D74" s="241"/>
      <c r="E74" s="241"/>
      <c r="F74" s="243" t="s">
        <v>577</v>
      </c>
      <c r="G74" s="243"/>
      <c r="H74" s="241"/>
      <c r="I74" s="241"/>
      <c r="J74" s="243" t="s">
        <v>2143</v>
      </c>
      <c r="K74" s="243"/>
      <c r="L74" s="243"/>
      <c r="M74" s="243"/>
      <c r="N74" s="243"/>
      <c r="O74" s="243"/>
      <c r="P74" s="241"/>
      <c r="Q74" s="1220">
        <v>0.25</v>
      </c>
      <c r="R74" s="1220"/>
      <c r="S74" s="427"/>
      <c r="T74" s="427"/>
      <c r="U74" s="241"/>
      <c r="V74" s="428"/>
      <c r="W74" s="428"/>
      <c r="X74" s="428"/>
    </row>
    <row r="75" spans="1:26" s="419" customFormat="1" ht="11.45" customHeight="1">
      <c r="A75" s="424"/>
      <c r="B75" s="243"/>
      <c r="C75" s="243"/>
      <c r="D75" s="241"/>
      <c r="E75" s="241"/>
      <c r="F75" s="243" t="s">
        <v>2502</v>
      </c>
      <c r="G75" s="243"/>
      <c r="H75" s="241"/>
      <c r="I75" s="241"/>
      <c r="J75" s="243" t="s">
        <v>2094</v>
      </c>
      <c r="K75" s="243"/>
      <c r="L75" s="243"/>
      <c r="M75" s="243"/>
      <c r="N75" s="243"/>
      <c r="O75" s="243"/>
      <c r="P75" s="241"/>
      <c r="Q75" s="1221">
        <v>1000000</v>
      </c>
      <c r="R75" s="1222"/>
      <c r="S75" s="241"/>
      <c r="T75" s="241"/>
      <c r="U75" s="241"/>
      <c r="V75" s="426"/>
      <c r="W75" s="426"/>
      <c r="X75" s="244"/>
    </row>
    <row r="76" spans="1:26" ht="11.25" customHeight="1">
      <c r="F76" s="243" t="s">
        <v>2141</v>
      </c>
      <c r="J76" s="243" t="s">
        <v>2094</v>
      </c>
      <c r="Q76" s="1221">
        <v>1000000</v>
      </c>
      <c r="R76" s="1222"/>
    </row>
    <row r="77" spans="1:26" s="419" customFormat="1" ht="11.45" customHeight="1">
      <c r="A77" s="243"/>
      <c r="B77" s="243"/>
      <c r="C77" s="243"/>
      <c r="D77" s="241"/>
      <c r="E77" s="241"/>
      <c r="F77" s="243" t="s">
        <v>2142</v>
      </c>
      <c r="G77" s="243"/>
      <c r="H77" s="241"/>
      <c r="I77" s="241"/>
      <c r="J77" s="243" t="s">
        <v>2144</v>
      </c>
      <c r="K77" s="243"/>
      <c r="L77" s="243"/>
      <c r="M77" s="243"/>
      <c r="N77" s="243"/>
      <c r="O77" s="243"/>
      <c r="P77" s="241"/>
      <c r="Q77" s="1220">
        <v>0.15</v>
      </c>
      <c r="R77" s="1220"/>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985</v>
      </c>
      <c r="K82" s="567"/>
      <c r="L82" s="400"/>
    </row>
    <row r="83" spans="3:12" ht="13.5">
      <c r="C83" s="563" t="s">
        <v>1365</v>
      </c>
      <c r="D83" s="566" t="s">
        <v>1116</v>
      </c>
      <c r="J83" s="568" t="s">
        <v>988</v>
      </c>
      <c r="K83" s="568" t="s">
        <v>986</v>
      </c>
      <c r="L83" s="569" t="s">
        <v>987</v>
      </c>
    </row>
    <row r="84" spans="3:12" ht="10.5" customHeight="1">
      <c r="C84" s="564" t="s">
        <v>2113</v>
      </c>
      <c r="D84" s="736">
        <v>49400</v>
      </c>
      <c r="J84" s="624">
        <v>0</v>
      </c>
      <c r="K84" s="624">
        <v>0.7</v>
      </c>
      <c r="L84" s="624">
        <v>1</v>
      </c>
    </row>
    <row r="85" spans="3:12" ht="10.5" customHeight="1">
      <c r="C85" s="564" t="s">
        <v>1117</v>
      </c>
      <c r="D85" s="736">
        <v>59400</v>
      </c>
      <c r="J85" s="624">
        <v>1</v>
      </c>
      <c r="K85" s="624">
        <v>0.75</v>
      </c>
      <c r="L85" s="624">
        <v>1.5</v>
      </c>
    </row>
    <row r="86" spans="3:12" ht="10.5" customHeight="1">
      <c r="C86" s="564" t="s">
        <v>86</v>
      </c>
      <c r="D86" s="736">
        <v>69300</v>
      </c>
      <c r="J86" s="624">
        <v>2</v>
      </c>
      <c r="K86" s="624">
        <v>0.9</v>
      </c>
      <c r="L86" s="624">
        <v>3</v>
      </c>
    </row>
    <row r="87" spans="3:12" ht="10.5" customHeight="1">
      <c r="C87" s="564" t="s">
        <v>87</v>
      </c>
      <c r="D87" s="736">
        <v>57900</v>
      </c>
      <c r="J87" s="624">
        <v>3</v>
      </c>
      <c r="K87" s="624">
        <v>1.04</v>
      </c>
      <c r="L87" s="624">
        <v>4.5</v>
      </c>
    </row>
    <row r="88" spans="3:12" ht="10.5" customHeight="1">
      <c r="C88" s="564" t="s">
        <v>1518</v>
      </c>
      <c r="D88" s="736">
        <v>60200</v>
      </c>
      <c r="J88" s="624">
        <v>4</v>
      </c>
      <c r="K88" s="624">
        <v>1.1599999999999999</v>
      </c>
      <c r="L88" s="624">
        <v>6</v>
      </c>
    </row>
    <row r="89" spans="3:12" ht="10.5" customHeight="1">
      <c r="C89" s="564" t="s">
        <v>1118</v>
      </c>
      <c r="D89" s="736">
        <v>64200</v>
      </c>
      <c r="J89" s="624">
        <v>5</v>
      </c>
      <c r="K89" s="624">
        <v>1.28</v>
      </c>
      <c r="L89" s="624">
        <v>7.5</v>
      </c>
    </row>
    <row r="90" spans="3:12" ht="10.5" customHeight="1">
      <c r="C90" s="564" t="s">
        <v>3483</v>
      </c>
      <c r="D90" s="736">
        <v>57800</v>
      </c>
    </row>
    <row r="91" spans="3:12" ht="10.5" customHeight="1">
      <c r="C91" s="564" t="s">
        <v>130</v>
      </c>
      <c r="D91" s="736">
        <v>52300</v>
      </c>
    </row>
    <row r="92" spans="3:12" ht="10.5" customHeight="1">
      <c r="C92" s="564" t="s">
        <v>433</v>
      </c>
      <c r="D92" s="736">
        <v>50800</v>
      </c>
    </row>
    <row r="93" spans="3:12" ht="10.5" customHeight="1">
      <c r="C93" s="565" t="s">
        <v>1317</v>
      </c>
      <c r="D93" s="736">
        <v>62000</v>
      </c>
    </row>
    <row r="94" spans="3:12" ht="10.5" customHeight="1">
      <c r="C94" s="565" t="s">
        <v>88</v>
      </c>
      <c r="D94" s="736">
        <v>47400</v>
      </c>
    </row>
    <row r="95" spans="3:12" ht="10.5" customHeight="1">
      <c r="C95" s="565" t="s">
        <v>253</v>
      </c>
      <c r="D95" s="736">
        <v>47700</v>
      </c>
    </row>
    <row r="96" spans="3:12" ht="10.5" customHeight="1">
      <c r="C96" s="564" t="s">
        <v>89</v>
      </c>
      <c r="D96" s="736">
        <v>43200</v>
      </c>
    </row>
    <row r="97" spans="3:4" ht="10.5" customHeight="1">
      <c r="C97" s="565" t="s">
        <v>3406</v>
      </c>
      <c r="D97" s="736">
        <v>49100</v>
      </c>
    </row>
    <row r="98" spans="3:4" ht="10.5" customHeight="1">
      <c r="C98" s="564" t="s">
        <v>1392</v>
      </c>
      <c r="D98" s="736">
        <v>54700</v>
      </c>
    </row>
    <row r="99" spans="3:4" ht="10.5" customHeight="1">
      <c r="C99" s="565" t="s">
        <v>91</v>
      </c>
      <c r="D99" s="736">
        <v>49500</v>
      </c>
    </row>
    <row r="100" spans="3:4" ht="10.5" customHeight="1">
      <c r="C100" s="565" t="s">
        <v>3933</v>
      </c>
      <c r="D100" s="736">
        <v>64600</v>
      </c>
    </row>
    <row r="101" spans="3:4" ht="10.5" customHeight="1">
      <c r="C101" s="565" t="s">
        <v>1133</v>
      </c>
      <c r="D101" s="736">
        <v>47700</v>
      </c>
    </row>
    <row r="102" spans="3:4" ht="10.5" customHeight="1">
      <c r="C102" s="564" t="s">
        <v>3642</v>
      </c>
      <c r="D102" s="736">
        <v>52800</v>
      </c>
    </row>
    <row r="103" spans="3:4" ht="10.5" customHeight="1">
      <c r="C103" s="564" t="s">
        <v>1398</v>
      </c>
      <c r="D103" s="736">
        <v>60800</v>
      </c>
    </row>
    <row r="104" spans="3:4" ht="10.5" customHeight="1">
      <c r="C104" s="564" t="s">
        <v>3700</v>
      </c>
      <c r="D104" s="736">
        <v>50900</v>
      </c>
    </row>
    <row r="105" spans="3:4" ht="10.5" customHeight="1">
      <c r="C105" s="564" t="s">
        <v>3713</v>
      </c>
      <c r="D105" s="736">
        <v>71400</v>
      </c>
    </row>
    <row r="106" spans="3:4" ht="10.5" customHeight="1">
      <c r="C106" s="565" t="s">
        <v>1308</v>
      </c>
      <c r="D106" s="736">
        <v>45100</v>
      </c>
    </row>
    <row r="107" spans="3:4" ht="10.5" customHeight="1">
      <c r="C107" s="565" t="s">
        <v>2109</v>
      </c>
      <c r="D107" s="736">
        <v>37000</v>
      </c>
    </row>
    <row r="108" spans="3:4" ht="10.5" customHeight="1">
      <c r="C108" s="565" t="s">
        <v>2111</v>
      </c>
      <c r="D108" s="736">
        <v>45700</v>
      </c>
    </row>
    <row r="109" spans="3:4" ht="10.5" customHeight="1">
      <c r="C109" s="564" t="s">
        <v>125</v>
      </c>
      <c r="D109" s="736">
        <v>50300</v>
      </c>
    </row>
    <row r="110" spans="3:4" ht="10.5" customHeight="1">
      <c r="C110" s="565" t="s">
        <v>1384</v>
      </c>
      <c r="D110" s="736">
        <v>49000</v>
      </c>
    </row>
    <row r="111" spans="3:4" ht="10.5" customHeight="1">
      <c r="C111" s="565" t="s">
        <v>254</v>
      </c>
      <c r="D111" s="736">
        <v>37000</v>
      </c>
    </row>
    <row r="112" spans="3:4" ht="10.5" customHeight="1">
      <c r="C112" s="565" t="s">
        <v>1390</v>
      </c>
      <c r="D112" s="736">
        <v>44300</v>
      </c>
    </row>
    <row r="113" spans="3:4" ht="10.5" customHeight="1">
      <c r="C113" s="564" t="s">
        <v>1394</v>
      </c>
      <c r="D113" s="736">
        <v>53000</v>
      </c>
    </row>
    <row r="114" spans="3:4" ht="10.5" customHeight="1">
      <c r="C114" s="564" t="s">
        <v>1400</v>
      </c>
      <c r="D114" s="736">
        <v>56700</v>
      </c>
    </row>
    <row r="115" spans="3:4" ht="10.5" customHeight="1">
      <c r="C115" s="565" t="s">
        <v>1405</v>
      </c>
      <c r="D115" s="736">
        <v>43800</v>
      </c>
    </row>
    <row r="116" spans="3:4" ht="10.5" customHeight="1">
      <c r="C116" s="564" t="s">
        <v>2764</v>
      </c>
      <c r="D116" s="736">
        <v>61700</v>
      </c>
    </row>
    <row r="117" spans="3:4" ht="10.5" customHeight="1">
      <c r="C117" s="565" t="s">
        <v>2766</v>
      </c>
      <c r="D117" s="736">
        <v>41300</v>
      </c>
    </row>
    <row r="118" spans="3:4" ht="10.5" customHeight="1">
      <c r="C118" s="565" t="s">
        <v>127</v>
      </c>
      <c r="D118" s="736">
        <v>48900</v>
      </c>
    </row>
    <row r="119" spans="3:4" ht="10.5" customHeight="1">
      <c r="C119" s="565" t="s">
        <v>132</v>
      </c>
      <c r="D119" s="736">
        <v>41100</v>
      </c>
    </row>
    <row r="120" spans="3:4" ht="10.5" customHeight="1">
      <c r="C120" s="565" t="s">
        <v>3154</v>
      </c>
      <c r="D120" s="736">
        <v>44800</v>
      </c>
    </row>
    <row r="121" spans="3:4" ht="10.5" customHeight="1">
      <c r="C121" s="565" t="s">
        <v>3157</v>
      </c>
      <c r="D121" s="736">
        <v>42200</v>
      </c>
    </row>
    <row r="122" spans="3:4" ht="10.5" customHeight="1">
      <c r="C122" s="565" t="s">
        <v>3160</v>
      </c>
      <c r="D122" s="736">
        <v>42900</v>
      </c>
    </row>
    <row r="123" spans="3:4" ht="10.5" customHeight="1">
      <c r="C123" s="565" t="s">
        <v>3825</v>
      </c>
      <c r="D123" s="736">
        <v>40900</v>
      </c>
    </row>
    <row r="124" spans="3:4" ht="10.5" customHeight="1">
      <c r="C124" s="565" t="s">
        <v>3828</v>
      </c>
      <c r="D124" s="736">
        <v>41600</v>
      </c>
    </row>
    <row r="125" spans="3:4" ht="10.5" customHeight="1">
      <c r="C125" s="565" t="s">
        <v>2031</v>
      </c>
      <c r="D125" s="736">
        <v>40900</v>
      </c>
    </row>
    <row r="126" spans="3:4" ht="10.5" customHeight="1">
      <c r="C126" s="565" t="s">
        <v>2035</v>
      </c>
      <c r="D126" s="736">
        <v>47400</v>
      </c>
    </row>
    <row r="127" spans="3:4" ht="10.5" customHeight="1">
      <c r="C127" s="565" t="s">
        <v>3012</v>
      </c>
      <c r="D127" s="736">
        <v>46800</v>
      </c>
    </row>
    <row r="128" spans="3:4" ht="10.5" customHeight="1">
      <c r="C128" s="565" t="s">
        <v>3014</v>
      </c>
      <c r="D128" s="736">
        <v>40300</v>
      </c>
    </row>
    <row r="129" spans="3:4" ht="10.5" customHeight="1">
      <c r="C129" s="565" t="s">
        <v>184</v>
      </c>
      <c r="D129" s="736">
        <v>41800</v>
      </c>
    </row>
    <row r="130" spans="3:4" ht="10.5" customHeight="1">
      <c r="C130" s="565" t="s">
        <v>188</v>
      </c>
      <c r="D130" s="736">
        <v>40100</v>
      </c>
    </row>
    <row r="131" spans="3:4" ht="10.5" customHeight="1">
      <c r="C131" s="565" t="s">
        <v>3615</v>
      </c>
      <c r="D131" s="736">
        <v>39300</v>
      </c>
    </row>
    <row r="132" spans="3:4" ht="10.5" customHeight="1">
      <c r="C132" s="565" t="s">
        <v>886</v>
      </c>
      <c r="D132" s="736">
        <v>44800</v>
      </c>
    </row>
    <row r="133" spans="3:4" ht="10.5" customHeight="1">
      <c r="C133" s="565" t="s">
        <v>2560</v>
      </c>
      <c r="D133" s="736">
        <v>46300</v>
      </c>
    </row>
    <row r="134" spans="3:4" ht="10.5" customHeight="1">
      <c r="C134" s="564" t="s">
        <v>2565</v>
      </c>
      <c r="D134" s="736">
        <v>46200</v>
      </c>
    </row>
    <row r="135" spans="3:4" ht="10.5" customHeight="1">
      <c r="C135" s="565" t="s">
        <v>2567</v>
      </c>
      <c r="D135" s="736">
        <v>44500</v>
      </c>
    </row>
    <row r="136" spans="3:4" ht="10.5" customHeight="1">
      <c r="C136" s="564" t="s">
        <v>2569</v>
      </c>
      <c r="D136" s="736">
        <v>43400</v>
      </c>
    </row>
    <row r="137" spans="3:4" ht="10.5" customHeight="1">
      <c r="C137" s="565" t="s">
        <v>2572</v>
      </c>
      <c r="D137" s="736">
        <v>52400</v>
      </c>
    </row>
    <row r="138" spans="3:4" ht="10.5" customHeight="1">
      <c r="C138" s="565" t="s">
        <v>2574</v>
      </c>
      <c r="D138" s="736">
        <v>45700</v>
      </c>
    </row>
    <row r="139" spans="3:4" ht="10.5" customHeight="1">
      <c r="C139" s="565" t="s">
        <v>2576</v>
      </c>
      <c r="D139" s="736">
        <v>48000</v>
      </c>
    </row>
    <row r="140" spans="3:4" ht="10.5" customHeight="1">
      <c r="C140" s="565" t="s">
        <v>1638</v>
      </c>
      <c r="D140" s="736">
        <v>50900</v>
      </c>
    </row>
    <row r="141" spans="3:4" ht="10.5" customHeight="1">
      <c r="C141" s="565" t="s">
        <v>411</v>
      </c>
      <c r="D141" s="736">
        <v>33800</v>
      </c>
    </row>
    <row r="142" spans="3:4" ht="10.5" customHeight="1">
      <c r="C142" s="565" t="s">
        <v>415</v>
      </c>
      <c r="D142" s="736">
        <v>50600</v>
      </c>
    </row>
    <row r="143" spans="3:4" ht="10.5" customHeight="1">
      <c r="C143" s="565" t="s">
        <v>420</v>
      </c>
      <c r="D143" s="736">
        <v>56600</v>
      </c>
    </row>
    <row r="144" spans="3:4" ht="10.5" customHeight="1">
      <c r="C144" s="565" t="s">
        <v>422</v>
      </c>
      <c r="D144" s="736">
        <v>59300</v>
      </c>
    </row>
    <row r="145" spans="3:4" ht="10.5" customHeight="1">
      <c r="C145" s="565" t="s">
        <v>425</v>
      </c>
      <c r="D145" s="736">
        <v>39000</v>
      </c>
    </row>
    <row r="146" spans="3:4" ht="10.5" customHeight="1">
      <c r="C146" s="565" t="s">
        <v>427</v>
      </c>
      <c r="D146" s="736">
        <v>39000</v>
      </c>
    </row>
    <row r="147" spans="3:4" ht="10.5" customHeight="1">
      <c r="C147" s="565" t="s">
        <v>429</v>
      </c>
      <c r="D147" s="736">
        <v>37000</v>
      </c>
    </row>
    <row r="148" spans="3:4" ht="10.5" customHeight="1">
      <c r="C148" s="565" t="s">
        <v>431</v>
      </c>
      <c r="D148" s="736">
        <v>33300</v>
      </c>
    </row>
    <row r="149" spans="3:4" ht="10.5" customHeight="1">
      <c r="C149" s="565" t="s">
        <v>3400</v>
      </c>
      <c r="D149" s="736">
        <v>51300</v>
      </c>
    </row>
    <row r="150" spans="3:4" ht="10.5" customHeight="1">
      <c r="C150" s="565" t="s">
        <v>3404</v>
      </c>
      <c r="D150" s="736">
        <v>43700</v>
      </c>
    </row>
    <row r="151" spans="3:4" ht="10.5" customHeight="1">
      <c r="C151" s="564" t="s">
        <v>2014</v>
      </c>
      <c r="D151" s="736">
        <v>53100</v>
      </c>
    </row>
    <row r="152" spans="3:4" ht="10.5" customHeight="1">
      <c r="C152" s="565" t="s">
        <v>2015</v>
      </c>
      <c r="D152" s="736">
        <v>39200</v>
      </c>
    </row>
    <row r="153" spans="3:4" ht="10.5" customHeight="1">
      <c r="C153" s="565" t="s">
        <v>1874</v>
      </c>
      <c r="D153" s="736">
        <v>45300</v>
      </c>
    </row>
    <row r="154" spans="3:4" ht="10.5" customHeight="1">
      <c r="C154" s="565" t="s">
        <v>1876</v>
      </c>
      <c r="D154" s="736">
        <v>48300</v>
      </c>
    </row>
    <row r="155" spans="3:4" ht="10.5" customHeight="1">
      <c r="C155" s="565" t="s">
        <v>2022</v>
      </c>
      <c r="D155" s="736">
        <v>48100</v>
      </c>
    </row>
    <row r="156" spans="3:4" ht="10.5" customHeight="1">
      <c r="C156" s="564" t="s">
        <v>1131</v>
      </c>
      <c r="D156" s="736">
        <v>57500</v>
      </c>
    </row>
    <row r="157" spans="3:4" ht="10.5" customHeight="1">
      <c r="C157" s="565" t="s">
        <v>1179</v>
      </c>
      <c r="D157" s="736">
        <v>59600</v>
      </c>
    </row>
    <row r="158" spans="3:4" ht="10.5" customHeight="1">
      <c r="C158" s="565" t="s">
        <v>1182</v>
      </c>
      <c r="D158" s="736">
        <v>49400</v>
      </c>
    </row>
    <row r="159" spans="3:4" ht="10.5" customHeight="1">
      <c r="C159" s="565" t="s">
        <v>1185</v>
      </c>
      <c r="D159" s="736">
        <v>48600</v>
      </c>
    </row>
    <row r="160" spans="3:4" ht="10.5" customHeight="1">
      <c r="C160" s="564" t="s">
        <v>1187</v>
      </c>
      <c r="D160" s="736">
        <v>47200</v>
      </c>
    </row>
    <row r="161" spans="3:4" ht="10.5" customHeight="1">
      <c r="C161" s="564" t="s">
        <v>1189</v>
      </c>
      <c r="D161" s="736">
        <v>52700</v>
      </c>
    </row>
    <row r="162" spans="3:4" ht="10.5" customHeight="1">
      <c r="C162" s="565" t="s">
        <v>1191</v>
      </c>
      <c r="D162" s="736">
        <v>40900</v>
      </c>
    </row>
    <row r="163" spans="3:4" ht="10.5" customHeight="1">
      <c r="C163" s="565" t="s">
        <v>1193</v>
      </c>
      <c r="D163" s="736">
        <v>53300</v>
      </c>
    </row>
    <row r="164" spans="3:4" ht="10.5" customHeight="1">
      <c r="C164" s="565" t="s">
        <v>1195</v>
      </c>
      <c r="D164" s="736">
        <v>33900</v>
      </c>
    </row>
    <row r="165" spans="3:4" ht="10.5" customHeight="1">
      <c r="C165" s="565" t="s">
        <v>2538</v>
      </c>
      <c r="D165" s="736">
        <v>48700</v>
      </c>
    </row>
    <row r="166" spans="3:4" ht="10.5" customHeight="1">
      <c r="C166" s="565" t="s">
        <v>2540</v>
      </c>
      <c r="D166" s="736">
        <v>49700</v>
      </c>
    </row>
    <row r="167" spans="3:4" ht="10.5" customHeight="1">
      <c r="C167" s="564" t="s">
        <v>2542</v>
      </c>
      <c r="D167" s="736">
        <v>45800</v>
      </c>
    </row>
    <row r="168" spans="3:4" ht="10.5" customHeight="1">
      <c r="C168" s="564" t="s">
        <v>2545</v>
      </c>
      <c r="D168" s="736">
        <v>45300</v>
      </c>
    </row>
    <row r="169" spans="3:4" ht="10.5" customHeight="1">
      <c r="C169" s="565" t="s">
        <v>2547</v>
      </c>
      <c r="D169" s="736">
        <v>38700</v>
      </c>
    </row>
    <row r="170" spans="3:4" ht="10.5" customHeight="1">
      <c r="C170" s="565" t="s">
        <v>2549</v>
      </c>
      <c r="D170" s="736">
        <v>41400</v>
      </c>
    </row>
    <row r="171" spans="3:4" ht="10.5" customHeight="1">
      <c r="C171" s="565" t="s">
        <v>2551</v>
      </c>
      <c r="D171" s="736">
        <v>47300</v>
      </c>
    </row>
    <row r="172" spans="3:4" ht="10.5" customHeight="1">
      <c r="C172" s="565" t="s">
        <v>2553</v>
      </c>
      <c r="D172" s="736">
        <v>25600</v>
      </c>
    </row>
    <row r="173" spans="3:4" ht="10.5" customHeight="1">
      <c r="C173" s="565" t="s">
        <v>2555</v>
      </c>
      <c r="D173" s="736">
        <v>46300</v>
      </c>
    </row>
    <row r="174" spans="3:4" ht="10.5" customHeight="1">
      <c r="C174" s="565" t="s">
        <v>179</v>
      </c>
      <c r="D174" s="736">
        <v>37500</v>
      </c>
    </row>
    <row r="175" spans="3:4" ht="10.5" customHeight="1">
      <c r="C175" s="565" t="s">
        <v>181</v>
      </c>
      <c r="D175" s="736">
        <v>40800</v>
      </c>
    </row>
    <row r="176" spans="3:4" ht="10.5" customHeight="1">
      <c r="C176" s="564" t="s">
        <v>1992</v>
      </c>
      <c r="D176" s="736">
        <v>51900</v>
      </c>
    </row>
    <row r="177" spans="3:4" ht="10.5" customHeight="1">
      <c r="C177" s="564" t="s">
        <v>2219</v>
      </c>
      <c r="D177" s="736">
        <v>47700</v>
      </c>
    </row>
    <row r="178" spans="3:4" ht="10.5" customHeight="1">
      <c r="C178" s="564" t="s">
        <v>2221</v>
      </c>
      <c r="D178" s="736">
        <v>43800</v>
      </c>
    </row>
    <row r="179" spans="3:4" ht="10.5" customHeight="1">
      <c r="C179" s="564" t="s">
        <v>2223</v>
      </c>
      <c r="D179" s="736">
        <v>51900</v>
      </c>
    </row>
    <row r="180" spans="3:4" ht="10.5" customHeight="1">
      <c r="C180" s="564" t="s">
        <v>2225</v>
      </c>
      <c r="D180" s="736">
        <v>39000</v>
      </c>
    </row>
    <row r="181" spans="3:4" ht="10.5" customHeight="1">
      <c r="C181" s="565" t="s">
        <v>2227</v>
      </c>
      <c r="D181" s="736">
        <v>50800</v>
      </c>
    </row>
    <row r="182" spans="3:4" ht="10.5" customHeight="1">
      <c r="C182" s="564" t="s">
        <v>2229</v>
      </c>
      <c r="D182" s="736">
        <v>41500</v>
      </c>
    </row>
    <row r="183" spans="3:4" ht="10.5" customHeight="1">
      <c r="C183" s="564" t="s">
        <v>2232</v>
      </c>
      <c r="D183" s="736">
        <v>51400</v>
      </c>
    </row>
    <row r="184" spans="3:4" ht="10.5" customHeight="1">
      <c r="C184" s="565" t="s">
        <v>2333</v>
      </c>
      <c r="D184" s="736">
        <v>45500</v>
      </c>
    </row>
    <row r="185" spans="3:4" ht="10.5" customHeight="1">
      <c r="C185" s="564" t="s">
        <v>1618</v>
      </c>
      <c r="D185" s="736">
        <v>46600</v>
      </c>
    </row>
    <row r="186" spans="3:4" ht="10.5" customHeight="1">
      <c r="C186" s="564" t="s">
        <v>1620</v>
      </c>
      <c r="D186" s="736">
        <v>37000</v>
      </c>
    </row>
    <row r="187" spans="3:4" ht="10.5" customHeight="1">
      <c r="C187" s="564" t="s">
        <v>1622</v>
      </c>
      <c r="D187" s="736">
        <v>43300</v>
      </c>
    </row>
    <row r="188" spans="3:4" ht="10.5" customHeight="1">
      <c r="C188" s="564" t="s">
        <v>1624</v>
      </c>
      <c r="D188" s="736">
        <v>52400</v>
      </c>
    </row>
    <row r="189" spans="3:4" ht="10.5" customHeight="1">
      <c r="C189" s="564" t="s">
        <v>1626</v>
      </c>
      <c r="D189" s="736">
        <v>38300</v>
      </c>
    </row>
    <row r="190" spans="3:4" ht="10.5" customHeight="1">
      <c r="C190" s="564" t="s">
        <v>1628</v>
      </c>
      <c r="D190" s="736">
        <v>47700</v>
      </c>
    </row>
    <row r="191" spans="3:4" ht="10.5" customHeight="1">
      <c r="C191" s="564" t="s">
        <v>1630</v>
      </c>
      <c r="D191" s="736">
        <v>54600</v>
      </c>
    </row>
    <row r="192" spans="3:4" ht="10.5" customHeight="1">
      <c r="C192" s="564" t="s">
        <v>2884</v>
      </c>
      <c r="D192" s="736">
        <v>41700</v>
      </c>
    </row>
    <row r="193" spans="3:4" ht="10.5" customHeight="1">
      <c r="C193" s="564" t="s">
        <v>2886</v>
      </c>
      <c r="D193" s="736">
        <v>42600</v>
      </c>
    </row>
    <row r="194" spans="3:4" ht="10.5" customHeight="1">
      <c r="C194" s="564" t="s">
        <v>2888</v>
      </c>
      <c r="D194" s="736">
        <v>45800</v>
      </c>
    </row>
  </sheetData>
  <sheetProtection password="F65F" sheet="1" objects="1" scenarios="1"/>
  <mergeCells count="31">
    <mergeCell ref="Q31:R31"/>
    <mergeCell ref="Q43:R43"/>
    <mergeCell ref="Q41:R41"/>
    <mergeCell ref="Q29:R29"/>
    <mergeCell ref="Q42:R42"/>
    <mergeCell ref="A2:R2"/>
    <mergeCell ref="Q26:R26"/>
    <mergeCell ref="Q27:R27"/>
    <mergeCell ref="Q28:R28"/>
    <mergeCell ref="Q30:R30"/>
    <mergeCell ref="Q69:R69"/>
    <mergeCell ref="Q54:R54"/>
    <mergeCell ref="Q60:R60"/>
    <mergeCell ref="Q47:R47"/>
    <mergeCell ref="Q51:R51"/>
    <mergeCell ref="Q68:R68"/>
    <mergeCell ref="Q48:R48"/>
    <mergeCell ref="Q53:R53"/>
    <mergeCell ref="Q49:R49"/>
    <mergeCell ref="Q52:R52"/>
    <mergeCell ref="Q50:R50"/>
    <mergeCell ref="Q65:R65"/>
    <mergeCell ref="Q66:R66"/>
    <mergeCell ref="Q67:R67"/>
    <mergeCell ref="Q70:R70"/>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2" t="s">
        <v>1022</v>
      </c>
    </row>
    <row r="2" spans="1:6" ht="16.5">
      <c r="A2" s="1273" t="str">
        <f>'Part I-Project Information'!F22</f>
        <v>Freedom's Path I</v>
      </c>
    </row>
    <row r="3" spans="1:6" ht="16.5">
      <c r="A3" s="1273" t="str">
        <f>CONCATENATE('Part I-Project Information'!F24,", ", 'Part I-Project Information'!J25," County")</f>
        <v>Augusta, Richmond County</v>
      </c>
    </row>
    <row r="4" spans="1:6" ht="12" customHeight="1"/>
    <row r="5" spans="1:6" ht="111" customHeight="1">
      <c r="A5" s="1274" t="s">
        <v>4119</v>
      </c>
      <c r="B5" s="884" t="s">
        <v>4049</v>
      </c>
      <c r="C5" s="884"/>
      <c r="D5" s="884"/>
      <c r="E5" s="884"/>
      <c r="F5" s="884"/>
    </row>
    <row r="6" spans="1:6" ht="6.6" customHeight="1">
      <c r="A6" s="1274"/>
      <c r="B6" s="884"/>
      <c r="C6" s="884"/>
      <c r="D6" s="884"/>
      <c r="E6" s="884"/>
      <c r="F6" s="884"/>
    </row>
    <row r="7" spans="1:6" ht="111" customHeight="1">
      <c r="A7" s="1274"/>
    </row>
    <row r="8" spans="1:6" ht="6.6" customHeight="1">
      <c r="A8" s="1274"/>
    </row>
    <row r="9" spans="1:6" ht="111" customHeight="1">
      <c r="A9" s="1274"/>
    </row>
    <row r="10" spans="1:6" ht="6.6" customHeight="1">
      <c r="A10" s="1274"/>
    </row>
    <row r="11" spans="1:6" ht="111"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891" t="str">
        <f>CONCATENATE("PART ONE - PROJECT INFORMATION"," - ",$O$4," ",$F$22,", ",'Part I-Project Information'!F24,", ",'Part I-Project Information'!J25," County")</f>
        <v>PART ONE - PROJECT INFORMATION - 2012-052 Freedom's Path I, Augusta, Richmond County</v>
      </c>
      <c r="B1" s="892"/>
      <c r="C1" s="892"/>
      <c r="D1" s="892"/>
      <c r="E1" s="892"/>
      <c r="F1" s="892"/>
      <c r="G1" s="892"/>
      <c r="H1" s="892"/>
      <c r="I1" s="892"/>
      <c r="J1" s="892"/>
      <c r="K1" s="892"/>
      <c r="L1" s="892"/>
      <c r="M1" s="892"/>
      <c r="N1" s="892"/>
      <c r="O1" s="892"/>
      <c r="P1" s="893"/>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2841</v>
      </c>
      <c r="B3" s="453"/>
      <c r="C3" s="453"/>
      <c r="D3" s="454"/>
      <c r="E3" s="403" t="s">
        <v>580</v>
      </c>
      <c r="L3" s="453"/>
      <c r="O3" s="894" t="s">
        <v>3809</v>
      </c>
      <c r="P3" s="894"/>
    </row>
    <row r="4" spans="1:16" s="452" customFormat="1" ht="12" customHeight="1" thickBot="1">
      <c r="A4" s="844"/>
      <c r="B4" s="455"/>
      <c r="C4" s="455"/>
      <c r="D4" s="456"/>
      <c r="E4" s="403" t="s">
        <v>581</v>
      </c>
      <c r="H4" s="838"/>
      <c r="I4" s="838"/>
      <c r="J4" s="838"/>
      <c r="O4" s="1276" t="s">
        <v>4135</v>
      </c>
      <c r="P4" s="1277"/>
    </row>
    <row r="5" spans="1:16" s="452" customFormat="1" ht="12" customHeight="1">
      <c r="A5" s="844"/>
      <c r="B5" s="455"/>
      <c r="C5" s="455"/>
      <c r="D5" s="455"/>
      <c r="E5" s="838"/>
      <c r="H5" s="838"/>
      <c r="I5" s="838"/>
      <c r="J5" s="838"/>
      <c r="K5" s="397"/>
      <c r="M5" s="838"/>
    </row>
    <row r="6" spans="1:16" s="452" customFormat="1" ht="13.15" customHeight="1">
      <c r="A6" s="455" t="s">
        <v>839</v>
      </c>
      <c r="C6" s="455" t="s">
        <v>2859</v>
      </c>
      <c r="D6" s="419"/>
      <c r="E6" s="457"/>
      <c r="F6" s="458" t="s">
        <v>3724</v>
      </c>
      <c r="J6" s="896">
        <f>'Part IV-Uses of Funds'!J165</f>
        <v>763500</v>
      </c>
      <c r="K6" s="897"/>
      <c r="O6" s="895" t="s">
        <v>3808</v>
      </c>
      <c r="P6" s="895"/>
    </row>
    <row r="7" spans="1:16" s="2" customFormat="1" ht="13.15" customHeight="1">
      <c r="A7" s="5"/>
      <c r="C7" s="5"/>
      <c r="D7" s="31"/>
      <c r="E7" s="552"/>
      <c r="F7" s="452" t="s">
        <v>3307</v>
      </c>
      <c r="J7" s="898">
        <f>'Part III A-Sources of Funds'!J5</f>
        <v>0</v>
      </c>
      <c r="K7" s="899"/>
      <c r="M7" s="452"/>
      <c r="N7" s="452"/>
      <c r="O7" s="1278" t="s">
        <v>4052</v>
      </c>
      <c r="P7" s="1279"/>
    </row>
    <row r="8" spans="1:16" s="452" customFormat="1" ht="7.15" customHeight="1">
      <c r="A8" s="455"/>
      <c r="C8" s="455"/>
      <c r="D8" s="419"/>
      <c r="E8" s="457"/>
      <c r="F8" s="457"/>
      <c r="I8" s="459"/>
      <c r="N8" s="460"/>
    </row>
    <row r="9" spans="1:16" s="452" customFormat="1" ht="13.15" customHeight="1">
      <c r="A9" s="459" t="s">
        <v>2774</v>
      </c>
      <c r="C9" s="455" t="s">
        <v>3931</v>
      </c>
      <c r="F9" s="1280" t="s">
        <v>4062</v>
      </c>
      <c r="G9" s="1281"/>
      <c r="H9" s="1282"/>
      <c r="I9" s="1283" t="s">
        <v>2775</v>
      </c>
      <c r="J9" s="1284"/>
      <c r="K9" s="1285"/>
      <c r="L9" s="1285"/>
      <c r="M9" s="1285"/>
      <c r="N9" s="1285"/>
      <c r="O9" s="1285"/>
      <c r="P9" s="1286"/>
    </row>
    <row r="10" spans="1:16" s="452" customFormat="1" ht="7.15" customHeight="1">
      <c r="I10" s="419"/>
      <c r="J10" s="419"/>
      <c r="K10" s="419"/>
      <c r="L10" s="419"/>
      <c r="M10" s="419"/>
      <c r="N10" s="419"/>
      <c r="O10" s="419"/>
      <c r="P10" s="419"/>
    </row>
    <row r="11" spans="1:16" s="452" customFormat="1" ht="13.15" customHeight="1">
      <c r="A11" s="459" t="s">
        <v>2776</v>
      </c>
      <c r="B11" s="457"/>
      <c r="C11" s="455" t="s">
        <v>3425</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3044</v>
      </c>
      <c r="F13" s="1284" t="s">
        <v>4071</v>
      </c>
      <c r="G13" s="1285"/>
      <c r="H13" s="1285"/>
      <c r="I13" s="1285"/>
      <c r="J13" s="1285"/>
      <c r="K13" s="1285"/>
      <c r="L13" s="1286"/>
      <c r="M13" s="826" t="s">
        <v>2305</v>
      </c>
      <c r="N13" s="1284" t="s">
        <v>4073</v>
      </c>
      <c r="O13" s="1285"/>
      <c r="P13" s="1286"/>
    </row>
    <row r="14" spans="1:16" s="452" customFormat="1" ht="13.15" customHeight="1">
      <c r="C14" s="458" t="s">
        <v>2306</v>
      </c>
      <c r="F14" s="1284" t="s">
        <v>4072</v>
      </c>
      <c r="G14" s="1285"/>
      <c r="H14" s="1285"/>
      <c r="I14" s="1285"/>
      <c r="J14" s="1285"/>
      <c r="K14" s="1285"/>
      <c r="L14" s="1286"/>
      <c r="M14" s="826" t="s">
        <v>3730</v>
      </c>
      <c r="O14" s="1287">
        <v>9419291270</v>
      </c>
      <c r="P14" s="1288"/>
    </row>
    <row r="15" spans="1:16" s="452" customFormat="1" ht="13.15" customHeight="1">
      <c r="C15" s="458" t="s">
        <v>842</v>
      </c>
      <c r="F15" s="1289" t="s">
        <v>4074</v>
      </c>
      <c r="G15" s="1290"/>
      <c r="H15" s="1291"/>
      <c r="M15" s="826" t="s">
        <v>2134</v>
      </c>
      <c r="O15" s="1292">
        <v>9419291271</v>
      </c>
      <c r="P15" s="1293"/>
    </row>
    <row r="16" spans="1:16" s="452" customFormat="1" ht="13.15" customHeight="1">
      <c r="C16" s="458" t="s">
        <v>2131</v>
      </c>
      <c r="F16" s="1294" t="s">
        <v>155</v>
      </c>
      <c r="I16" s="838" t="s">
        <v>2986</v>
      </c>
      <c r="J16" s="1295">
        <v>342310000</v>
      </c>
      <c r="K16" s="1296"/>
      <c r="M16" s="826" t="s">
        <v>2304</v>
      </c>
      <c r="O16" s="1292">
        <v>9412282185</v>
      </c>
      <c r="P16" s="1293"/>
    </row>
    <row r="17" spans="1:16" s="452" customFormat="1" ht="13.15" customHeight="1">
      <c r="B17" s="830"/>
      <c r="C17" s="458" t="s">
        <v>3729</v>
      </c>
      <c r="F17" s="1292">
        <v>9419291270</v>
      </c>
      <c r="G17" s="1297"/>
      <c r="H17" s="1293"/>
      <c r="I17" s="825" t="s">
        <v>3728</v>
      </c>
      <c r="J17" s="1298">
        <v>110</v>
      </c>
      <c r="K17" s="838" t="s">
        <v>2309</v>
      </c>
      <c r="L17" s="1284" t="s">
        <v>4075</v>
      </c>
      <c r="M17" s="1285"/>
      <c r="N17" s="1285"/>
      <c r="O17" s="1285"/>
      <c r="P17" s="1286"/>
    </row>
    <row r="18" spans="1:16" s="452" customFormat="1" ht="13.15" customHeight="1">
      <c r="A18" s="455"/>
      <c r="B18" s="457"/>
      <c r="C18" s="443" t="s">
        <v>885</v>
      </c>
      <c r="D18" s="457"/>
      <c r="G18" s="457"/>
      <c r="H18" s="457"/>
      <c r="I18" s="461"/>
    </row>
    <row r="19" spans="1:16" s="452" customFormat="1" ht="7.15" customHeight="1">
      <c r="A19" s="844"/>
      <c r="B19" s="844"/>
      <c r="C19" s="462"/>
      <c r="D19" s="830"/>
      <c r="E19" s="830"/>
      <c r="F19" s="830"/>
      <c r="H19" s="838"/>
      <c r="I19" s="830"/>
      <c r="J19" s="462"/>
      <c r="K19" s="830"/>
      <c r="P19" s="463"/>
    </row>
    <row r="20" spans="1:16" s="452" customFormat="1" ht="13.15" customHeight="1">
      <c r="A20" s="459" t="s">
        <v>2124</v>
      </c>
      <c r="B20" s="455"/>
      <c r="C20" s="455" t="s">
        <v>3426</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840</v>
      </c>
      <c r="D22" s="464"/>
      <c r="F22" s="1299" t="s">
        <v>4069</v>
      </c>
      <c r="G22" s="1300"/>
      <c r="H22" s="1300"/>
      <c r="I22" s="1300"/>
      <c r="J22" s="1300"/>
      <c r="K22" s="1300"/>
      <c r="L22" s="1301"/>
      <c r="M22" s="826" t="s">
        <v>4098</v>
      </c>
      <c r="O22" s="1284" t="s">
        <v>4061</v>
      </c>
      <c r="P22" s="1286"/>
    </row>
    <row r="23" spans="1:16" s="452" customFormat="1" ht="13.15" customHeight="1">
      <c r="A23" s="465"/>
      <c r="B23" s="455"/>
      <c r="C23" s="452" t="s">
        <v>841</v>
      </c>
      <c r="D23" s="466"/>
      <c r="F23" s="1284" t="s">
        <v>887</v>
      </c>
      <c r="G23" s="1285"/>
      <c r="H23" s="1285"/>
      <c r="I23" s="1285"/>
      <c r="J23" s="1285"/>
      <c r="K23" s="1285"/>
      <c r="L23" s="1286"/>
      <c r="M23" s="826" t="s">
        <v>2411</v>
      </c>
      <c r="O23" s="1284" t="s">
        <v>4061</v>
      </c>
      <c r="P23" s="1286"/>
    </row>
    <row r="24" spans="1:16" s="452" customFormat="1" ht="13.15" customHeight="1">
      <c r="A24" s="844"/>
      <c r="B24" s="455"/>
      <c r="C24" s="452" t="s">
        <v>842</v>
      </c>
      <c r="F24" s="1284" t="s">
        <v>1402</v>
      </c>
      <c r="G24" s="1285"/>
      <c r="H24" s="1286"/>
      <c r="I24" s="838" t="s">
        <v>447</v>
      </c>
      <c r="J24" s="1295">
        <v>319040000</v>
      </c>
      <c r="K24" s="1296"/>
      <c r="L24" s="543" t="str">
        <f>IF(AND(NOT(F22=""),NOT(F24="Select from list"),J24=""),"Enter Zip!","")</f>
        <v/>
      </c>
      <c r="M24" s="826" t="s">
        <v>3657</v>
      </c>
      <c r="O24" s="1284">
        <v>7</v>
      </c>
      <c r="P24" s="1286"/>
    </row>
    <row r="25" spans="1:16" s="452" customFormat="1" ht="13.15" customHeight="1">
      <c r="A25" s="844"/>
      <c r="B25" s="455"/>
      <c r="C25" s="890" t="s">
        <v>2410</v>
      </c>
      <c r="D25" s="890"/>
      <c r="F25" s="1302" t="s">
        <v>4060</v>
      </c>
      <c r="I25" s="497" t="s">
        <v>843</v>
      </c>
      <c r="J25" s="1303" t="str">
        <f>IF($F$24="","",VLOOKUP($F$24,$N$181:$O$784,2,FALSE))</f>
        <v>Richmond</v>
      </c>
      <c r="K25" s="1304"/>
      <c r="M25" s="468" t="s">
        <v>3672</v>
      </c>
      <c r="O25" s="1284">
        <v>12</v>
      </c>
      <c r="P25" s="1305"/>
    </row>
    <row r="26" spans="1:16" s="452" customFormat="1" ht="13.15" customHeight="1">
      <c r="A26" s="844"/>
      <c r="B26" s="455"/>
      <c r="C26" s="452" t="s">
        <v>3523</v>
      </c>
      <c r="F26" s="1306" t="s">
        <v>4061</v>
      </c>
      <c r="H26" s="460" t="s">
        <v>1164</v>
      </c>
      <c r="I26" s="685" t="str">
        <f>VLOOKUP($J$25,$C$181:$F$340,4)</f>
        <v>MSA</v>
      </c>
      <c r="J26" s="1307" t="str">
        <f>IF($F$24="","",VLOOKUP($J$25,$C$181:$H$340,3,FALSE))</f>
        <v>Augusta-Richmond Co.</v>
      </c>
      <c r="K26" s="1308"/>
      <c r="L26" s="1309"/>
      <c r="M26" s="826" t="s">
        <v>591</v>
      </c>
      <c r="N26" s="1310" t="s">
        <v>4061</v>
      </c>
      <c r="O26" s="460" t="s">
        <v>592</v>
      </c>
      <c r="P26" s="1310" t="s">
        <v>4061</v>
      </c>
    </row>
    <row r="27" spans="1:16" s="452" customFormat="1" ht="3" customHeight="1">
      <c r="A27" s="844"/>
      <c r="B27" s="455"/>
      <c r="C27" s="455"/>
      <c r="I27" s="458"/>
      <c r="J27" s="830"/>
      <c r="L27" s="842"/>
      <c r="M27" s="842"/>
      <c r="N27" s="842"/>
      <c r="O27" s="842"/>
      <c r="P27" s="842"/>
    </row>
    <row r="28" spans="1:16" s="452" customFormat="1" ht="13.15" customHeight="1">
      <c r="A28" s="844"/>
      <c r="B28" s="455"/>
      <c r="F28" s="906" t="s">
        <v>2365</v>
      </c>
      <c r="G28" s="906"/>
      <c r="H28" s="895" t="s">
        <v>2770</v>
      </c>
      <c r="I28" s="895"/>
      <c r="J28" s="895" t="s">
        <v>2771</v>
      </c>
      <c r="K28" s="895"/>
      <c r="L28" s="462"/>
    </row>
    <row r="29" spans="1:16" s="452" customFormat="1" ht="13.15" customHeight="1">
      <c r="A29" s="844"/>
      <c r="B29" s="455"/>
      <c r="C29" s="452" t="s">
        <v>844</v>
      </c>
      <c r="D29" s="455"/>
      <c r="F29" s="1311">
        <v>10</v>
      </c>
      <c r="G29" s="1312"/>
      <c r="H29" s="1311">
        <v>22</v>
      </c>
      <c r="I29" s="1312"/>
      <c r="J29" s="1311">
        <v>120</v>
      </c>
      <c r="K29" s="1312"/>
    </row>
    <row r="30" spans="1:16" s="452" customFormat="1" ht="13.15" customHeight="1">
      <c r="A30" s="844"/>
      <c r="B30" s="455"/>
      <c r="C30" s="458" t="s">
        <v>2772</v>
      </c>
      <c r="F30" s="1311">
        <v>12</v>
      </c>
      <c r="G30" s="1312"/>
      <c r="H30" s="1311"/>
      <c r="I30" s="1312"/>
      <c r="J30" s="1311"/>
      <c r="K30" s="1312"/>
    </row>
    <row r="31" spans="1:16" s="452" customFormat="1" ht="3" customHeight="1">
      <c r="A31" s="844"/>
      <c r="B31" s="455"/>
      <c r="I31" s="842"/>
      <c r="J31" s="842"/>
      <c r="K31" s="842"/>
      <c r="M31" s="830"/>
      <c r="N31" s="830"/>
      <c r="O31" s="830"/>
      <c r="P31" s="830"/>
    </row>
    <row r="32" spans="1:16" s="452" customFormat="1" ht="13.15" customHeight="1">
      <c r="A32" s="844"/>
      <c r="B32" s="844"/>
      <c r="C32" s="455" t="s">
        <v>862</v>
      </c>
      <c r="F32" s="1313" t="s">
        <v>4064</v>
      </c>
      <c r="G32" s="1314"/>
      <c r="H32" s="1314"/>
      <c r="I32" s="1314"/>
      <c r="J32" s="1314"/>
      <c r="K32" s="1315"/>
      <c r="L32" s="469"/>
      <c r="M32" s="469"/>
      <c r="N32" s="469"/>
    </row>
    <row r="33" spans="1:19" s="452" customFormat="1" ht="13.15" customHeight="1">
      <c r="A33" s="844"/>
      <c r="B33" s="844"/>
      <c r="C33" s="452" t="s">
        <v>863</v>
      </c>
      <c r="F33" s="1316" t="s">
        <v>4065</v>
      </c>
      <c r="G33" s="1317"/>
      <c r="H33" s="1317"/>
      <c r="I33" s="1317"/>
      <c r="J33" s="1318"/>
      <c r="K33" s="470" t="s">
        <v>2305</v>
      </c>
      <c r="L33" s="1313" t="s">
        <v>4066</v>
      </c>
      <c r="M33" s="1314"/>
      <c r="N33" s="1315"/>
    </row>
    <row r="34" spans="1:19" s="452" customFormat="1" ht="13.15" customHeight="1">
      <c r="A34" s="844"/>
      <c r="B34" s="844"/>
      <c r="C34" s="452" t="s">
        <v>2306</v>
      </c>
      <c r="F34" s="1313" t="s">
        <v>4067</v>
      </c>
      <c r="G34" s="1314"/>
      <c r="H34" s="1314"/>
      <c r="I34" s="1314"/>
      <c r="J34" s="1315"/>
      <c r="K34" s="471" t="s">
        <v>842</v>
      </c>
      <c r="L34" s="1284" t="s">
        <v>1402</v>
      </c>
      <c r="M34" s="1285"/>
      <c r="N34" s="1286"/>
    </row>
    <row r="35" spans="1:19" s="452" customFormat="1" ht="13.15" customHeight="1">
      <c r="A35" s="844"/>
      <c r="B35" s="844"/>
      <c r="C35" s="826" t="s">
        <v>2986</v>
      </c>
      <c r="F35" s="1319">
        <v>319010000</v>
      </c>
      <c r="G35" s="1320"/>
      <c r="H35" s="825" t="s">
        <v>2307</v>
      </c>
      <c r="I35" s="1321">
        <v>7068211831</v>
      </c>
      <c r="J35" s="1322"/>
      <c r="K35" s="1323"/>
      <c r="L35" s="825" t="s">
        <v>2134</v>
      </c>
      <c r="M35" s="1321">
        <v>7068311835</v>
      </c>
      <c r="N35" s="1323"/>
    </row>
    <row r="36" spans="1:19" s="452" customFormat="1" ht="6.75" customHeight="1">
      <c r="A36" s="844"/>
      <c r="B36" s="844"/>
      <c r="C36" s="472"/>
      <c r="D36" s="473"/>
      <c r="E36" s="473"/>
      <c r="F36" s="838"/>
      <c r="G36" s="838"/>
      <c r="H36" s="838"/>
      <c r="I36" s="838"/>
      <c r="J36" s="473"/>
      <c r="K36" s="838"/>
      <c r="L36" s="838"/>
      <c r="N36" s="830"/>
      <c r="O36" s="830"/>
      <c r="P36" s="463"/>
    </row>
    <row r="37" spans="1:19" s="452" customFormat="1" ht="12" customHeight="1">
      <c r="A37" s="459" t="s">
        <v>2126</v>
      </c>
      <c r="C37" s="455" t="s">
        <v>3427</v>
      </c>
      <c r="F37" s="474"/>
      <c r="I37" s="458"/>
      <c r="J37" s="686" t="s">
        <v>3196</v>
      </c>
      <c r="K37" s="591"/>
      <c r="L37" s="591"/>
      <c r="M37" s="591"/>
      <c r="N37" s="591"/>
      <c r="O37" s="591"/>
      <c r="P37" s="592"/>
    </row>
    <row r="38" spans="1:19" s="452" customFormat="1" ht="3" customHeight="1">
      <c r="A38" s="844"/>
      <c r="B38" s="455"/>
      <c r="C38" s="455"/>
      <c r="I38" s="458"/>
      <c r="J38" s="593"/>
      <c r="K38" s="830"/>
      <c r="L38" s="830"/>
      <c r="M38" s="830"/>
      <c r="N38" s="830"/>
      <c r="O38" s="830"/>
      <c r="P38" s="594"/>
    </row>
    <row r="39" spans="1:19" s="452" customFormat="1" ht="12.75">
      <c r="A39" s="844"/>
      <c r="B39" s="844" t="s">
        <v>2308</v>
      </c>
      <c r="C39" s="455" t="s">
        <v>3674</v>
      </c>
      <c r="F39" s="1298" t="s">
        <v>4061</v>
      </c>
      <c r="J39" s="593" t="s">
        <v>1372</v>
      </c>
      <c r="K39" s="830"/>
      <c r="L39" s="905" t="s">
        <v>3299</v>
      </c>
      <c r="M39" s="905"/>
      <c r="N39" s="905"/>
      <c r="O39" s="905"/>
      <c r="P39" s="594"/>
    </row>
    <row r="40" spans="1:19" s="452" customFormat="1" ht="3" customHeight="1">
      <c r="A40" s="844"/>
      <c r="J40" s="593"/>
      <c r="K40" s="842"/>
      <c r="L40" s="830"/>
      <c r="M40" s="842"/>
      <c r="N40" s="842"/>
      <c r="O40" s="842"/>
      <c r="P40" s="595"/>
    </row>
    <row r="41" spans="1:19" s="452" customFormat="1" ht="13.15" customHeight="1">
      <c r="A41" s="844"/>
      <c r="B41" s="844" t="s">
        <v>2311</v>
      </c>
      <c r="C41" s="455" t="s">
        <v>2634</v>
      </c>
      <c r="J41" s="596" t="s">
        <v>3302</v>
      </c>
      <c r="K41" s="597"/>
      <c r="L41" s="903" t="s">
        <v>1371</v>
      </c>
      <c r="M41" s="903"/>
      <c r="N41" s="903"/>
      <c r="O41" s="903"/>
      <c r="P41" s="904"/>
      <c r="Q41" s="838"/>
    </row>
    <row r="42" spans="1:19" ht="13.15" customHeight="1">
      <c r="B42" s="844"/>
      <c r="C42" s="452" t="s">
        <v>3673</v>
      </c>
      <c r="D42" s="452"/>
      <c r="E42" s="452"/>
      <c r="F42" s="476">
        <f>'Part VI-Revenues &amp; Expenses'!$M$74</f>
        <v>0</v>
      </c>
      <c r="J42" s="400"/>
      <c r="L42" s="452"/>
      <c r="Q42" s="838"/>
    </row>
    <row r="43" spans="1:19" s="452" customFormat="1" ht="13.15" customHeight="1">
      <c r="A43" s="844"/>
      <c r="B43" s="844"/>
      <c r="C43" s="458" t="s">
        <v>2385</v>
      </c>
      <c r="D43" s="830"/>
      <c r="F43" s="476">
        <f>'Part VI-Revenues &amp; Expenses'!$M$81</f>
        <v>70</v>
      </c>
      <c r="Q43" s="838"/>
    </row>
    <row r="44" spans="1:19" s="452" customFormat="1" ht="13.15" customHeight="1">
      <c r="A44" s="844"/>
      <c r="B44" s="844"/>
      <c r="C44" s="458" t="s">
        <v>444</v>
      </c>
      <c r="D44" s="830"/>
      <c r="F44" s="476">
        <f>'Part VI-Revenues &amp; Expenses'!$M$77</f>
        <v>0</v>
      </c>
      <c r="G44" s="452" t="s">
        <v>446</v>
      </c>
      <c r="L44" s="1324" t="s">
        <v>888</v>
      </c>
      <c r="M44" s="475"/>
      <c r="N44" s="475"/>
      <c r="O44" s="475"/>
      <c r="P44" s="475"/>
      <c r="Q44" s="838"/>
    </row>
    <row r="45" spans="1:19" s="452" customFormat="1" ht="13.15" customHeight="1">
      <c r="A45" s="844"/>
      <c r="B45" s="844"/>
      <c r="C45" s="477" t="s">
        <v>445</v>
      </c>
      <c r="F45" s="476">
        <f>'Part VI-Revenues &amp; Expenses'!$M$80</f>
        <v>70</v>
      </c>
      <c r="L45" s="475"/>
    </row>
    <row r="46" spans="1:19" s="452" customFormat="1" ht="13.15" customHeight="1">
      <c r="A46" s="844"/>
      <c r="B46" s="844"/>
      <c r="C46" s="477" t="s">
        <v>2386</v>
      </c>
      <c r="F46" s="476">
        <f>'Part VI-Revenues &amp; Expenses'!$M$82</f>
        <v>70</v>
      </c>
      <c r="P46" s="830"/>
    </row>
    <row r="47" spans="1:19" s="452" customFormat="1" ht="3.6" customHeight="1">
      <c r="A47" s="844"/>
      <c r="P47" s="830"/>
    </row>
    <row r="48" spans="1:19" s="452" customFormat="1" ht="13.15" customHeight="1">
      <c r="A48" s="844"/>
      <c r="B48" s="465" t="s">
        <v>2783</v>
      </c>
      <c r="C48" s="464" t="s">
        <v>3650</v>
      </c>
      <c r="D48" s="830"/>
      <c r="I48" s="901" t="s">
        <v>1498</v>
      </c>
      <c r="J48" s="465" t="s">
        <v>2482</v>
      </c>
      <c r="K48" s="478" t="s">
        <v>3045</v>
      </c>
      <c r="M48" s="830"/>
      <c r="N48" s="830"/>
      <c r="O48" s="830"/>
      <c r="P48" s="838"/>
      <c r="Q48" s="838"/>
      <c r="R48" s="838"/>
      <c r="S48" s="830"/>
    </row>
    <row r="49" spans="1:16" s="452" customFormat="1" ht="13.15" customHeight="1">
      <c r="A49" s="844"/>
      <c r="B49" s="827"/>
      <c r="C49" s="462" t="s">
        <v>3651</v>
      </c>
      <c r="D49" s="830"/>
      <c r="E49" s="830"/>
      <c r="H49" s="479">
        <f>SUM(H50:H51)</f>
        <v>70</v>
      </c>
      <c r="I49" s="902"/>
      <c r="J49" s="844"/>
      <c r="K49" s="462" t="s">
        <v>3046</v>
      </c>
      <c r="M49" s="830"/>
      <c r="N49" s="830"/>
      <c r="O49" s="830"/>
      <c r="P49" s="479">
        <f>'Part VI-Revenues &amp; Expenses'!$M$96</f>
        <v>42500</v>
      </c>
    </row>
    <row r="50" spans="1:16" s="452" customFormat="1" ht="13.15" customHeight="1">
      <c r="A50" s="844"/>
      <c r="B50" s="475"/>
      <c r="D50" s="480" t="s">
        <v>456</v>
      </c>
      <c r="E50" s="480"/>
      <c r="H50" s="479">
        <f>'Part VI-Revenues &amp; Expenses'!$M$57</f>
        <v>70</v>
      </c>
      <c r="I50" s="479">
        <f>'Part VI-Revenues &amp; Expenses'!$M$65</f>
        <v>70</v>
      </c>
      <c r="K50" s="462" t="s">
        <v>232</v>
      </c>
      <c r="M50" s="830"/>
      <c r="N50" s="830"/>
      <c r="O50" s="830"/>
      <c r="P50" s="479">
        <f>'Part VI-Revenues &amp; Expenses'!$M$97</f>
        <v>0</v>
      </c>
    </row>
    <row r="51" spans="1:16" s="452" customFormat="1" ht="13.15" customHeight="1">
      <c r="A51" s="844"/>
      <c r="D51" s="480" t="s">
        <v>2157</v>
      </c>
      <c r="E51" s="480"/>
      <c r="H51" s="479">
        <f>'Part VI-Revenues &amp; Expenses'!$M$56</f>
        <v>0</v>
      </c>
      <c r="I51" s="479">
        <f>'Part VI-Revenues &amp; Expenses'!$M$64</f>
        <v>0</v>
      </c>
      <c r="K51" s="462" t="s">
        <v>3047</v>
      </c>
      <c r="M51" s="830"/>
      <c r="N51" s="830"/>
      <c r="O51" s="830"/>
      <c r="P51" s="479">
        <f>+P49+P50</f>
        <v>42500</v>
      </c>
    </row>
    <row r="52" spans="1:16" s="452" customFormat="1" ht="13.15" customHeight="1">
      <c r="A52" s="844"/>
      <c r="C52" s="462" t="s">
        <v>233</v>
      </c>
      <c r="D52" s="830"/>
      <c r="E52" s="830"/>
      <c r="H52" s="479">
        <f>'Part VI-Revenues &amp; Expenses'!$M$59</f>
        <v>0</v>
      </c>
      <c r="J52" s="844"/>
      <c r="K52" s="462" t="s">
        <v>1501</v>
      </c>
      <c r="M52" s="830"/>
      <c r="N52" s="830"/>
      <c r="O52" s="830"/>
      <c r="P52" s="479">
        <f>'Part VI-Revenues &amp; Expenses'!$M$99</f>
        <v>0</v>
      </c>
    </row>
    <row r="53" spans="1:16" s="452" customFormat="1" ht="13.15" customHeight="1">
      <c r="A53" s="844"/>
      <c r="C53" s="462" t="s">
        <v>2900</v>
      </c>
      <c r="D53" s="830"/>
      <c r="E53" s="830"/>
      <c r="H53" s="479">
        <f>+H49+H52</f>
        <v>70</v>
      </c>
      <c r="J53" s="844"/>
      <c r="K53" s="462" t="s">
        <v>1500</v>
      </c>
      <c r="M53" s="830"/>
      <c r="N53" s="830"/>
      <c r="O53" s="830"/>
      <c r="P53" s="479">
        <f>+P51+P52</f>
        <v>42500</v>
      </c>
    </row>
    <row r="54" spans="1:16" s="452" customFormat="1" ht="13.15" customHeight="1">
      <c r="A54" s="844"/>
      <c r="C54" s="462" t="s">
        <v>2901</v>
      </c>
      <c r="D54" s="830"/>
      <c r="E54" s="830"/>
      <c r="H54" s="479">
        <f>'Part VI-Revenues &amp; Expenses'!$M$61</f>
        <v>0</v>
      </c>
      <c r="J54" s="844"/>
    </row>
    <row r="55" spans="1:16" s="452" customFormat="1" ht="13.15" customHeight="1">
      <c r="A55" s="844"/>
      <c r="C55" s="462" t="s">
        <v>2125</v>
      </c>
      <c r="D55" s="830"/>
      <c r="E55" s="830"/>
      <c r="H55" s="479">
        <f>+H53+H54</f>
        <v>70</v>
      </c>
      <c r="J55" s="830"/>
    </row>
    <row r="56" spans="1:16" s="452" customFormat="1" ht="3" customHeight="1">
      <c r="A56" s="844"/>
      <c r="I56" s="838"/>
      <c r="L56" s="838"/>
      <c r="M56" s="838"/>
      <c r="N56" s="830"/>
      <c r="P56" s="463"/>
    </row>
    <row r="57" spans="1:16" s="452" customFormat="1" ht="13.15" customHeight="1">
      <c r="A57" s="844"/>
      <c r="B57" s="844" t="s">
        <v>3745</v>
      </c>
      <c r="C57" s="464" t="s">
        <v>3675</v>
      </c>
      <c r="D57" s="480" t="s">
        <v>2322</v>
      </c>
      <c r="G57" s="830"/>
      <c r="H57" s="1325">
        <v>2</v>
      </c>
      <c r="K57" s="462" t="s">
        <v>1215</v>
      </c>
      <c r="O57" s="830"/>
      <c r="P57" s="1325">
        <v>25500</v>
      </c>
    </row>
    <row r="58" spans="1:16" s="452" customFormat="1" ht="13.15" customHeight="1">
      <c r="A58" s="844"/>
      <c r="B58" s="844"/>
      <c r="D58" s="827" t="s">
        <v>2323</v>
      </c>
      <c r="H58" s="1325">
        <v>0</v>
      </c>
      <c r="I58" s="830"/>
      <c r="K58" s="462" t="s">
        <v>231</v>
      </c>
      <c r="O58" s="830"/>
      <c r="P58" s="479">
        <f>+P53+P57</f>
        <v>68000</v>
      </c>
    </row>
    <row r="59" spans="1:16" s="452" customFormat="1" ht="13.15" customHeight="1">
      <c r="A59" s="844"/>
      <c r="B59" s="844"/>
      <c r="D59" s="827" t="s">
        <v>2324</v>
      </c>
      <c r="H59" s="479">
        <f>+H57+H58</f>
        <v>2</v>
      </c>
      <c r="I59" s="830"/>
    </row>
    <row r="60" spans="1:16" s="452" customFormat="1" ht="3" customHeight="1">
      <c r="A60" s="844"/>
      <c r="B60" s="844"/>
      <c r="C60" s="830"/>
      <c r="D60" s="830"/>
      <c r="E60" s="830"/>
      <c r="F60" s="830"/>
      <c r="G60" s="838"/>
      <c r="I60" s="462"/>
      <c r="J60" s="830"/>
      <c r="P60" s="463"/>
    </row>
    <row r="61" spans="1:16" s="452" customFormat="1" ht="13.15" customHeight="1">
      <c r="A61" s="844"/>
      <c r="B61" s="844" t="s">
        <v>3746</v>
      </c>
      <c r="C61" s="464" t="s">
        <v>2635</v>
      </c>
      <c r="D61" s="830"/>
      <c r="E61" s="830"/>
      <c r="F61" s="830"/>
      <c r="G61" s="830"/>
      <c r="H61" s="1325">
        <v>114</v>
      </c>
    </row>
    <row r="62" spans="1:16" s="452" customFormat="1" ht="9" customHeight="1">
      <c r="A62" s="844"/>
      <c r="B62" s="844"/>
      <c r="C62" s="462"/>
      <c r="D62" s="830"/>
      <c r="E62" s="830"/>
      <c r="F62" s="830"/>
      <c r="G62" s="838"/>
      <c r="H62" s="830"/>
      <c r="I62" s="462"/>
      <c r="J62" s="462"/>
      <c r="K62" s="830"/>
      <c r="P62" s="463"/>
    </row>
    <row r="63" spans="1:16" s="452" customFormat="1" ht="13.15" customHeight="1">
      <c r="A63" s="844" t="s">
        <v>731</v>
      </c>
      <c r="C63" s="481" t="s">
        <v>3230</v>
      </c>
      <c r="D63" s="481"/>
      <c r="E63" s="481"/>
      <c r="F63" s="830"/>
      <c r="G63" s="838"/>
      <c r="K63" s="830"/>
      <c r="P63" s="463"/>
    </row>
    <row r="64" spans="1:16" s="452" customFormat="1" ht="3" customHeight="1">
      <c r="A64" s="844"/>
      <c r="C64" s="829"/>
      <c r="D64" s="829"/>
      <c r="E64" s="829"/>
      <c r="F64" s="830"/>
      <c r="G64" s="838"/>
      <c r="K64" s="830"/>
      <c r="P64" s="463"/>
    </row>
    <row r="65" spans="1:16" s="452" customFormat="1" ht="13.15" customHeight="1">
      <c r="A65" s="844"/>
      <c r="B65" s="844" t="s">
        <v>2308</v>
      </c>
      <c r="C65" s="397" t="s">
        <v>4048</v>
      </c>
      <c r="D65" s="829"/>
      <c r="E65" s="829"/>
      <c r="F65" s="830"/>
      <c r="G65" s="838"/>
      <c r="H65" s="1326" t="s">
        <v>4068</v>
      </c>
      <c r="I65" s="1327"/>
      <c r="K65" s="890" t="s">
        <v>2103</v>
      </c>
      <c r="L65" s="890"/>
      <c r="N65" s="1284"/>
      <c r="O65" s="1285"/>
      <c r="P65" s="1286"/>
    </row>
    <row r="66" spans="1:16" s="452" customFormat="1" ht="3" customHeight="1">
      <c r="A66" s="844"/>
      <c r="B66" s="844"/>
      <c r="D66" s="827"/>
      <c r="E66" s="827"/>
      <c r="F66" s="827"/>
      <c r="G66" s="827"/>
      <c r="I66" s="838"/>
      <c r="K66" s="826"/>
      <c r="L66" s="826"/>
      <c r="M66" s="838"/>
      <c r="N66" s="830"/>
      <c r="P66" s="463"/>
    </row>
    <row r="67" spans="1:16" s="452" customFormat="1" ht="13.15" customHeight="1">
      <c r="A67" s="844"/>
      <c r="B67" s="844" t="s">
        <v>2311</v>
      </c>
      <c r="C67" s="464" t="s">
        <v>1490</v>
      </c>
      <c r="D67" s="830"/>
      <c r="E67" s="480"/>
      <c r="G67" s="482" t="s">
        <v>977</v>
      </c>
      <c r="H67" s="1325">
        <v>6</v>
      </c>
      <c r="K67" s="890" t="s">
        <v>721</v>
      </c>
      <c r="L67" s="890"/>
      <c r="P67" s="483">
        <f>IF('Part VI-Revenues &amp; Expenses'!$M$62=0,0,$H67/'Part VI-Revenues &amp; Expenses'!$M$62)</f>
        <v>8.5714285714285715E-2</v>
      </c>
    </row>
    <row r="68" spans="1:16" s="452" customFormat="1" ht="3" customHeight="1">
      <c r="A68" s="844"/>
      <c r="B68" s="844"/>
      <c r="D68" s="827"/>
      <c r="E68" s="827"/>
      <c r="F68" s="827"/>
      <c r="G68" s="827"/>
      <c r="I68" s="838"/>
      <c r="K68" s="826"/>
      <c r="L68" s="826"/>
      <c r="M68" s="838"/>
      <c r="P68" s="838"/>
    </row>
    <row r="69" spans="1:16" s="452" customFormat="1" ht="13.15" customHeight="1">
      <c r="A69" s="844"/>
      <c r="B69" s="844" t="s">
        <v>2783</v>
      </c>
      <c r="C69" s="464" t="s">
        <v>322</v>
      </c>
      <c r="D69" s="480"/>
      <c r="E69" s="480"/>
      <c r="G69" s="482" t="s">
        <v>977</v>
      </c>
      <c r="H69" s="1325">
        <v>4</v>
      </c>
      <c r="K69" s="890" t="s">
        <v>721</v>
      </c>
      <c r="L69" s="890"/>
      <c r="P69" s="483">
        <f>IF('Part VI-Revenues &amp; Expenses'!$M$62=0,0,$H69/'Part VI-Revenues &amp; Expenses'!$M$62)</f>
        <v>5.7142857142857141E-2</v>
      </c>
    </row>
    <row r="70" spans="1:16" s="452" customFormat="1" ht="3" customHeight="1">
      <c r="A70" s="844"/>
      <c r="B70" s="844"/>
      <c r="D70" s="827"/>
      <c r="E70" s="827"/>
      <c r="F70" s="827"/>
      <c r="G70" s="827"/>
      <c r="I70" s="838"/>
      <c r="K70" s="826"/>
      <c r="L70" s="826"/>
      <c r="M70" s="838"/>
      <c r="P70" s="838"/>
    </row>
    <row r="71" spans="1:16" s="452" customFormat="1" ht="13.15" customHeight="1">
      <c r="A71" s="844"/>
      <c r="B71" s="844" t="s">
        <v>2482</v>
      </c>
      <c r="C71" s="464" t="s">
        <v>3304</v>
      </c>
      <c r="D71" s="480"/>
      <c r="E71" s="480"/>
      <c r="G71" s="482" t="s">
        <v>3305</v>
      </c>
      <c r="H71" s="1325">
        <v>7</v>
      </c>
      <c r="K71" s="890" t="s">
        <v>721</v>
      </c>
      <c r="L71" s="890"/>
      <c r="P71" s="483">
        <f>IF('Part VI-Revenues &amp; Expenses'!$M$62=0,0,$H71/'Part VI-Revenues &amp; Expenses'!$M$62)</f>
        <v>0.1</v>
      </c>
    </row>
    <row r="72" spans="1:16" s="452" customFormat="1" ht="9" customHeight="1">
      <c r="A72" s="844"/>
      <c r="B72" s="844"/>
      <c r="D72" s="827"/>
      <c r="E72" s="827"/>
      <c r="F72" s="827"/>
      <c r="G72" s="827"/>
      <c r="I72" s="838"/>
      <c r="J72" s="838"/>
      <c r="K72" s="838"/>
      <c r="L72" s="838"/>
      <c r="M72" s="838"/>
      <c r="N72" s="830"/>
      <c r="P72" s="463"/>
    </row>
    <row r="73" spans="1:16" s="452" customFormat="1" ht="13.15" customHeight="1">
      <c r="A73" s="484" t="s">
        <v>94</v>
      </c>
      <c r="B73" s="844"/>
      <c r="C73" s="829" t="s">
        <v>2861</v>
      </c>
      <c r="D73" s="827"/>
      <c r="E73" s="827"/>
      <c r="F73" s="827"/>
      <c r="G73" s="827"/>
      <c r="H73" s="827"/>
      <c r="I73" s="838"/>
      <c r="M73" s="838"/>
      <c r="N73" s="830"/>
      <c r="P73" s="463"/>
    </row>
    <row r="74" spans="1:16" s="452" customFormat="1" ht="3" customHeight="1">
      <c r="A74" s="844"/>
      <c r="B74" s="844"/>
      <c r="C74" s="829"/>
      <c r="D74" s="827"/>
      <c r="E74" s="827"/>
      <c r="F74" s="827"/>
      <c r="L74" s="838"/>
      <c r="M74" s="838"/>
      <c r="N74" s="830"/>
      <c r="P74" s="463"/>
    </row>
    <row r="75" spans="1:16" s="452" customFormat="1" ht="13.15" customHeight="1">
      <c r="A75" s="844"/>
      <c r="B75" s="844" t="s">
        <v>2308</v>
      </c>
      <c r="C75" s="397" t="s">
        <v>2860</v>
      </c>
      <c r="D75" s="827"/>
      <c r="E75" s="827"/>
      <c r="F75" s="827"/>
      <c r="H75" s="1328" t="s">
        <v>178</v>
      </c>
      <c r="I75" s="1329"/>
      <c r="J75" s="1330"/>
      <c r="M75" s="838"/>
      <c r="N75" s="830"/>
      <c r="P75" s="463"/>
    </row>
    <row r="76" spans="1:16" s="452" customFormat="1" ht="3" customHeight="1">
      <c r="A76" s="844"/>
      <c r="B76" s="844"/>
      <c r="D76" s="827"/>
      <c r="E76" s="827"/>
      <c r="F76" s="827"/>
      <c r="G76" s="827"/>
      <c r="I76" s="838"/>
      <c r="J76" s="838"/>
      <c r="K76" s="838"/>
      <c r="L76" s="838"/>
      <c r="M76" s="838"/>
      <c r="N76" s="830"/>
      <c r="P76" s="463"/>
    </row>
    <row r="77" spans="1:16" s="452" customFormat="1" ht="13.15" customHeight="1">
      <c r="B77" s="844" t="s">
        <v>2311</v>
      </c>
      <c r="C77" s="455" t="s">
        <v>3496</v>
      </c>
      <c r="K77" s="458" t="s">
        <v>177</v>
      </c>
      <c r="N77" s="485"/>
      <c r="P77" s="1298" t="s">
        <v>4061</v>
      </c>
    </row>
    <row r="78" spans="1:16" s="452" customFormat="1" ht="9" customHeight="1">
      <c r="A78" s="844"/>
      <c r="B78" s="844"/>
      <c r="C78" s="455"/>
      <c r="D78" s="827"/>
      <c r="E78" s="827"/>
      <c r="F78" s="827"/>
      <c r="G78" s="827"/>
      <c r="I78" s="838"/>
      <c r="J78" s="838"/>
      <c r="K78" s="838"/>
      <c r="L78" s="838"/>
      <c r="M78" s="838"/>
      <c r="N78" s="830"/>
      <c r="P78" s="463"/>
    </row>
    <row r="79" spans="1:16" s="452" customFormat="1" ht="13.15" customHeight="1">
      <c r="A79" s="484" t="s">
        <v>388</v>
      </c>
      <c r="B79" s="844"/>
      <c r="C79" s="829" t="s">
        <v>3932</v>
      </c>
      <c r="D79" s="827"/>
      <c r="E79" s="827"/>
      <c r="F79" s="827"/>
      <c r="G79" s="827"/>
      <c r="H79" s="827"/>
      <c r="I79" s="838"/>
      <c r="M79" s="838"/>
      <c r="N79" s="830"/>
      <c r="P79" s="463"/>
    </row>
    <row r="80" spans="1:16" s="452" customFormat="1" ht="3" customHeight="1">
      <c r="A80" s="844"/>
      <c r="B80" s="844"/>
      <c r="D80" s="827"/>
      <c r="E80" s="827"/>
      <c r="F80" s="827"/>
      <c r="G80" s="827"/>
      <c r="I80" s="838"/>
      <c r="J80" s="838"/>
      <c r="K80" s="838"/>
      <c r="L80" s="838"/>
      <c r="M80" s="838"/>
      <c r="N80" s="830"/>
      <c r="P80" s="463"/>
    </row>
    <row r="81" spans="1:16" s="452" customFormat="1" ht="13.15" customHeight="1">
      <c r="B81" s="844"/>
      <c r="C81" s="455"/>
      <c r="E81" s="1298" t="s">
        <v>4060</v>
      </c>
      <c r="F81" s="480" t="s">
        <v>1147</v>
      </c>
      <c r="H81" s="1298" t="s">
        <v>4061</v>
      </c>
      <c r="I81" s="826" t="s">
        <v>1146</v>
      </c>
      <c r="K81" s="1298" t="s">
        <v>4061</v>
      </c>
      <c r="L81" s="452" t="s">
        <v>2274</v>
      </c>
    </row>
    <row r="82" spans="1:16" s="452" customFormat="1" ht="13.15" customHeight="1">
      <c r="A82" s="844"/>
      <c r="B82" s="844"/>
      <c r="D82" s="473"/>
      <c r="E82" s="1298" t="s">
        <v>4061</v>
      </c>
      <c r="F82" s="826" t="s">
        <v>577</v>
      </c>
      <c r="H82" s="1298" t="s">
        <v>4061</v>
      </c>
      <c r="I82" s="827" t="s">
        <v>2502</v>
      </c>
    </row>
    <row r="83" spans="1:16" s="452" customFormat="1" ht="9" customHeight="1">
      <c r="A83" s="844"/>
      <c r="B83" s="844"/>
      <c r="D83" s="473"/>
      <c r="E83" s="830"/>
      <c r="I83" s="473"/>
      <c r="J83" s="462"/>
      <c r="K83" s="830"/>
      <c r="P83" s="463"/>
    </row>
    <row r="84" spans="1:16" s="452" customFormat="1" ht="13.15" customHeight="1">
      <c r="A84" s="484" t="s">
        <v>2443</v>
      </c>
      <c r="B84" s="844"/>
      <c r="C84" s="478" t="s">
        <v>3228</v>
      </c>
      <c r="D84" s="830"/>
      <c r="E84" s="830"/>
      <c r="F84" s="830"/>
      <c r="G84" s="830"/>
      <c r="H84" s="830"/>
      <c r="I84" s="473"/>
      <c r="J84" s="462"/>
      <c r="K84" s="830"/>
      <c r="P84" s="463"/>
    </row>
    <row r="85" spans="1:16" s="452" customFormat="1" ht="3" customHeight="1">
      <c r="A85" s="484"/>
      <c r="B85" s="844"/>
      <c r="C85" s="478"/>
      <c r="D85" s="830"/>
      <c r="E85" s="830"/>
      <c r="F85" s="830"/>
      <c r="G85" s="830"/>
      <c r="H85" s="830"/>
      <c r="I85" s="473"/>
      <c r="J85" s="462"/>
      <c r="K85" s="830"/>
    </row>
    <row r="86" spans="1:16" s="452" customFormat="1" ht="13.15" customHeight="1">
      <c r="A86" s="844"/>
      <c r="B86" s="844"/>
      <c r="C86" s="462" t="s">
        <v>754</v>
      </c>
      <c r="D86" s="830"/>
      <c r="E86" s="1284"/>
      <c r="F86" s="1285"/>
      <c r="G86" s="1285"/>
      <c r="H86" s="1285"/>
      <c r="I86" s="1285"/>
      <c r="J86" s="1285"/>
      <c r="K86" s="1285"/>
      <c r="L86" s="1286"/>
      <c r="M86" s="900" t="s">
        <v>755</v>
      </c>
      <c r="N86" s="900"/>
      <c r="O86" s="1331"/>
      <c r="P86" s="1332"/>
    </row>
    <row r="87" spans="1:16" s="452" customFormat="1" ht="13.15" customHeight="1">
      <c r="C87" s="458" t="s">
        <v>1070</v>
      </c>
      <c r="D87" s="466"/>
      <c r="E87" s="1284"/>
      <c r="F87" s="1285"/>
      <c r="G87" s="1285"/>
      <c r="H87" s="1285"/>
      <c r="I87" s="1285"/>
      <c r="J87" s="1285"/>
      <c r="K87" s="1285"/>
      <c r="L87" s="1286"/>
      <c r="M87" s="900" t="s">
        <v>989</v>
      </c>
      <c r="N87" s="900"/>
      <c r="O87" s="1299"/>
      <c r="P87" s="1301"/>
    </row>
    <row r="88" spans="1:16" s="452" customFormat="1" ht="13.15" customHeight="1">
      <c r="C88" s="458" t="s">
        <v>842</v>
      </c>
      <c r="E88" s="1284"/>
      <c r="F88" s="1333"/>
      <c r="G88" s="1334"/>
      <c r="H88" s="825" t="s">
        <v>2131</v>
      </c>
      <c r="I88" s="1298"/>
      <c r="J88" s="486" t="s">
        <v>2986</v>
      </c>
      <c r="K88" s="1295"/>
      <c r="L88" s="1334"/>
      <c r="M88" s="419"/>
      <c r="N88" s="419"/>
      <c r="O88" s="419"/>
      <c r="P88" s="419"/>
    </row>
    <row r="89" spans="1:16" s="452" customFormat="1" ht="13.15" customHeight="1">
      <c r="C89" s="452" t="s">
        <v>4100</v>
      </c>
      <c r="E89" s="1284"/>
      <c r="F89" s="1333"/>
      <c r="G89" s="1334"/>
      <c r="H89" s="838" t="s">
        <v>2305</v>
      </c>
      <c r="I89" s="1284"/>
      <c r="J89" s="1333"/>
      <c r="K89" s="1334"/>
      <c r="L89" s="840" t="s">
        <v>2309</v>
      </c>
      <c r="M89" s="1284"/>
      <c r="N89" s="1333"/>
      <c r="O89" s="1333"/>
      <c r="P89" s="1334"/>
    </row>
    <row r="90" spans="1:16" s="452" customFormat="1" ht="13.15" customHeight="1">
      <c r="C90" s="458" t="s">
        <v>4099</v>
      </c>
      <c r="E90" s="1292"/>
      <c r="F90" s="1297"/>
      <c r="G90" s="1293"/>
      <c r="H90" s="838" t="s">
        <v>2134</v>
      </c>
      <c r="I90" s="1321"/>
      <c r="J90" s="1334"/>
      <c r="K90" s="486" t="s">
        <v>2135</v>
      </c>
      <c r="L90" s="1321"/>
      <c r="M90" s="1334"/>
      <c r="N90" s="486" t="s">
        <v>2304</v>
      </c>
      <c r="O90" s="1321"/>
      <c r="P90" s="1334"/>
    </row>
    <row r="91" spans="1:16" s="452" customFormat="1" ht="3" customHeight="1">
      <c r="A91" s="844"/>
      <c r="B91" s="844"/>
      <c r="G91" s="473"/>
      <c r="H91" s="838"/>
      <c r="I91" s="838"/>
      <c r="M91" s="463"/>
    </row>
    <row r="92" spans="1:16" s="452" customFormat="1" ht="13.15" customHeight="1">
      <c r="A92" s="484" t="s">
        <v>2381</v>
      </c>
      <c r="B92" s="844"/>
      <c r="C92" s="829" t="s">
        <v>1994</v>
      </c>
      <c r="D92" s="473"/>
      <c r="E92" s="473"/>
      <c r="F92" s="838"/>
      <c r="G92" s="838"/>
      <c r="H92" s="838"/>
      <c r="I92" s="838"/>
      <c r="J92" s="473"/>
      <c r="K92" s="838"/>
      <c r="L92" s="838"/>
      <c r="N92" s="830"/>
      <c r="O92" s="830"/>
      <c r="P92" s="463"/>
    </row>
    <row r="93" spans="1:16" s="452" customFormat="1" ht="3.6" customHeight="1">
      <c r="A93" s="484"/>
      <c r="B93" s="844"/>
      <c r="C93" s="829"/>
      <c r="D93" s="473"/>
      <c r="E93" s="473"/>
      <c r="F93" s="838"/>
      <c r="G93" s="838"/>
      <c r="H93" s="838"/>
      <c r="I93" s="838"/>
      <c r="J93" s="473"/>
      <c r="K93" s="838"/>
      <c r="L93" s="838"/>
      <c r="N93" s="830"/>
      <c r="O93" s="830"/>
      <c r="P93" s="463"/>
    </row>
    <row r="94" spans="1:16" s="452" customFormat="1" ht="13.15" customHeight="1">
      <c r="C94" s="480" t="s">
        <v>2522</v>
      </c>
      <c r="D94" s="487"/>
      <c r="E94" s="487"/>
      <c r="F94" s="487"/>
      <c r="G94" s="487"/>
      <c r="H94" s="487"/>
      <c r="I94" s="487"/>
      <c r="J94" s="487"/>
      <c r="K94" s="487"/>
      <c r="L94" s="487"/>
      <c r="M94" s="487"/>
      <c r="N94" s="487"/>
      <c r="O94" s="487"/>
      <c r="P94" s="487"/>
    </row>
    <row r="95" spans="1:16" s="452" customFormat="1" ht="4.9000000000000004" customHeight="1">
      <c r="A95" s="844"/>
      <c r="B95" s="844"/>
      <c r="C95" s="488"/>
      <c r="D95" s="488"/>
      <c r="E95" s="488"/>
      <c r="F95" s="488"/>
      <c r="G95" s="488"/>
      <c r="H95" s="488"/>
      <c r="I95" s="488"/>
      <c r="J95" s="488"/>
      <c r="K95" s="488"/>
      <c r="L95" s="488"/>
      <c r="M95" s="488"/>
      <c r="N95" s="488"/>
      <c r="O95" s="488"/>
      <c r="P95" s="488"/>
    </row>
    <row r="96" spans="1:16" s="452" customFormat="1" ht="13.15" customHeight="1">
      <c r="A96" s="844"/>
      <c r="B96" s="844" t="s">
        <v>2308</v>
      </c>
      <c r="C96" s="829" t="s">
        <v>1491</v>
      </c>
      <c r="D96" s="827"/>
      <c r="E96" s="827"/>
      <c r="F96" s="838"/>
      <c r="G96" s="838"/>
      <c r="H96" s="1335">
        <v>2</v>
      </c>
      <c r="N96" s="830"/>
      <c r="O96" s="830"/>
    </row>
    <row r="97" spans="1:16" s="452" customFormat="1" ht="3.6" customHeight="1">
      <c r="A97" s="844"/>
      <c r="B97" s="844"/>
      <c r="C97" s="488"/>
      <c r="D97" s="488"/>
      <c r="E97" s="488"/>
      <c r="F97" s="488"/>
      <c r="G97" s="488"/>
      <c r="H97" s="488"/>
      <c r="J97" s="488"/>
      <c r="M97" s="488"/>
      <c r="N97" s="488"/>
      <c r="O97" s="488"/>
    </row>
    <row r="98" spans="1:16" s="452" customFormat="1" ht="13.15" customHeight="1">
      <c r="A98" s="844"/>
      <c r="B98" s="844" t="s">
        <v>2311</v>
      </c>
      <c r="C98" s="829" t="s">
        <v>2431</v>
      </c>
      <c r="D98" s="827"/>
      <c r="E98" s="827"/>
      <c r="F98" s="838"/>
      <c r="G98" s="838"/>
      <c r="H98" s="1336">
        <v>1057500</v>
      </c>
      <c r="J98" s="473"/>
      <c r="K98" s="826"/>
      <c r="N98" s="830"/>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15" customHeight="1">
      <c r="B100" s="844" t="s">
        <v>2783</v>
      </c>
      <c r="C100" s="829" t="s">
        <v>398</v>
      </c>
      <c r="D100" s="827"/>
      <c r="E100" s="827"/>
      <c r="F100" s="838"/>
      <c r="G100" s="838"/>
      <c r="H100" s="838"/>
      <c r="I100" s="838"/>
      <c r="J100" s="473"/>
      <c r="K100" s="838"/>
      <c r="L100" s="838"/>
      <c r="N100" s="830"/>
      <c r="O100" s="830"/>
    </row>
    <row r="101" spans="1:16" s="452" customFormat="1" ht="13.15" customHeight="1">
      <c r="B101" s="844"/>
      <c r="C101" s="827" t="s">
        <v>2503</v>
      </c>
      <c r="D101" s="827"/>
      <c r="F101" s="827" t="s">
        <v>1226</v>
      </c>
      <c r="G101" s="838"/>
      <c r="H101" s="838"/>
      <c r="I101" s="838"/>
      <c r="J101" s="827" t="s">
        <v>2503</v>
      </c>
      <c r="K101" s="827"/>
      <c r="M101" s="827" t="s">
        <v>1226</v>
      </c>
      <c r="N101" s="838"/>
      <c r="O101" s="838"/>
      <c r="P101" s="838"/>
    </row>
    <row r="102" spans="1:16" s="452" customFormat="1" ht="13.15" customHeight="1">
      <c r="A102" s="844"/>
      <c r="B102" s="844"/>
      <c r="C102" s="1337" t="s">
        <v>4071</v>
      </c>
      <c r="D102" s="1338"/>
      <c r="E102" s="1338"/>
      <c r="F102" s="1338" t="s">
        <v>4069</v>
      </c>
      <c r="G102" s="1338"/>
      <c r="H102" s="1338"/>
      <c r="I102" s="1339"/>
      <c r="J102" s="1337">
        <v>8</v>
      </c>
      <c r="K102" s="1338"/>
      <c r="L102" s="1338"/>
      <c r="M102" s="1338"/>
      <c r="N102" s="1338"/>
      <c r="O102" s="1338"/>
      <c r="P102" s="1339"/>
    </row>
    <row r="103" spans="1:16" s="452" customFormat="1" ht="13.15" customHeight="1">
      <c r="A103" s="844"/>
      <c r="B103" s="844"/>
      <c r="C103" s="1340" t="s">
        <v>4071</v>
      </c>
      <c r="D103" s="1341"/>
      <c r="E103" s="1341"/>
      <c r="F103" s="1341" t="s">
        <v>4063</v>
      </c>
      <c r="G103" s="1341"/>
      <c r="H103" s="1341"/>
      <c r="I103" s="1342"/>
      <c r="J103" s="1340">
        <v>9</v>
      </c>
      <c r="K103" s="1341"/>
      <c r="L103" s="1341"/>
      <c r="M103" s="1341"/>
      <c r="N103" s="1341"/>
      <c r="O103" s="1341"/>
      <c r="P103" s="1342"/>
    </row>
    <row r="104" spans="1:16" s="452" customFormat="1" ht="13.15" customHeight="1">
      <c r="A104" s="844"/>
      <c r="B104" s="844"/>
      <c r="C104" s="1340" t="s">
        <v>369</v>
      </c>
      <c r="D104" s="1341"/>
      <c r="E104" s="1341"/>
      <c r="F104" s="1341" t="s">
        <v>4069</v>
      </c>
      <c r="G104" s="1341"/>
      <c r="H104" s="1341"/>
      <c r="I104" s="1342"/>
      <c r="J104" s="1340">
        <v>10</v>
      </c>
      <c r="K104" s="1341"/>
      <c r="L104" s="1341"/>
      <c r="M104" s="1341"/>
      <c r="N104" s="1341"/>
      <c r="O104" s="1341"/>
      <c r="P104" s="1342"/>
    </row>
    <row r="105" spans="1:16" s="452" customFormat="1" ht="13.15" customHeight="1">
      <c r="A105" s="844"/>
      <c r="B105" s="844"/>
      <c r="C105" s="1340" t="s">
        <v>4070</v>
      </c>
      <c r="D105" s="1341"/>
      <c r="E105" s="1341"/>
      <c r="F105" s="1338" t="s">
        <v>4069</v>
      </c>
      <c r="G105" s="1338"/>
      <c r="H105" s="1338"/>
      <c r="I105" s="1339"/>
      <c r="J105" s="1340">
        <v>11</v>
      </c>
      <c r="K105" s="1341"/>
      <c r="L105" s="1341"/>
      <c r="M105" s="1341"/>
      <c r="N105" s="1341"/>
      <c r="O105" s="1341"/>
      <c r="P105" s="1342"/>
    </row>
    <row r="106" spans="1:16" s="452" customFormat="1" ht="13.15" customHeight="1">
      <c r="A106" s="844"/>
      <c r="B106" s="844"/>
      <c r="C106" s="1340" t="s">
        <v>4070</v>
      </c>
      <c r="D106" s="1341"/>
      <c r="E106" s="1341"/>
      <c r="F106" s="1341" t="s">
        <v>4063</v>
      </c>
      <c r="G106" s="1341"/>
      <c r="H106" s="1341"/>
      <c r="I106" s="1342"/>
      <c r="J106" s="1340">
        <v>12</v>
      </c>
      <c r="K106" s="1341"/>
      <c r="L106" s="1341"/>
      <c r="M106" s="1341"/>
      <c r="N106" s="1341"/>
      <c r="O106" s="1341"/>
      <c r="P106" s="1342"/>
    </row>
    <row r="107" spans="1:16" s="452" customFormat="1" ht="13.1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1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4.9000000000000004" customHeight="1">
      <c r="A109" s="844"/>
      <c r="B109" s="844"/>
      <c r="C109" s="488"/>
      <c r="D109" s="488"/>
      <c r="E109" s="488"/>
      <c r="F109" s="488"/>
      <c r="G109" s="488"/>
      <c r="H109" s="488"/>
      <c r="I109" s="488"/>
      <c r="J109" s="488"/>
      <c r="K109" s="488"/>
      <c r="L109" s="488"/>
      <c r="M109" s="488"/>
      <c r="N109" s="488"/>
      <c r="O109" s="488"/>
      <c r="P109" s="488"/>
    </row>
    <row r="110" spans="1:16" s="452" customFormat="1" ht="13.15" customHeight="1">
      <c r="A110" s="844"/>
      <c r="B110" s="844" t="s">
        <v>2482</v>
      </c>
      <c r="C110" s="907" t="s">
        <v>329</v>
      </c>
      <c r="D110" s="907"/>
      <c r="E110" s="907"/>
      <c r="F110" s="907"/>
      <c r="G110" s="907"/>
      <c r="H110" s="907"/>
      <c r="I110" s="907"/>
      <c r="J110" s="907"/>
      <c r="K110" s="907"/>
      <c r="L110" s="907"/>
      <c r="M110" s="907"/>
      <c r="N110" s="907"/>
      <c r="O110" s="907"/>
      <c r="P110" s="907"/>
    </row>
    <row r="111" spans="1:16" s="452" customFormat="1" ht="13.15" customHeight="1">
      <c r="A111" s="844"/>
      <c r="B111" s="844"/>
      <c r="C111" s="907"/>
      <c r="D111" s="907"/>
      <c r="E111" s="907"/>
      <c r="F111" s="907"/>
      <c r="G111" s="907"/>
      <c r="H111" s="907"/>
      <c r="I111" s="907"/>
      <c r="J111" s="907"/>
      <c r="K111" s="907"/>
      <c r="L111" s="907"/>
      <c r="M111" s="907"/>
      <c r="N111" s="907"/>
      <c r="O111" s="907"/>
      <c r="P111" s="907"/>
    </row>
    <row r="112" spans="1:16" s="452" customFormat="1" ht="13.15" customHeight="1">
      <c r="B112" s="844"/>
      <c r="C112" s="827" t="s">
        <v>2503</v>
      </c>
      <c r="D112" s="827"/>
      <c r="F112" s="827" t="s">
        <v>1226</v>
      </c>
      <c r="G112" s="838"/>
      <c r="H112" s="838"/>
      <c r="I112" s="838"/>
      <c r="J112" s="827" t="s">
        <v>2503</v>
      </c>
      <c r="K112" s="827"/>
      <c r="M112" s="827" t="s">
        <v>1226</v>
      </c>
      <c r="N112" s="838"/>
      <c r="O112" s="838"/>
      <c r="P112" s="838"/>
    </row>
    <row r="113" spans="1:16" s="452" customFormat="1" ht="13.1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1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1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1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1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1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1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7"/>
      <c r="D120" s="827"/>
      <c r="E120" s="827"/>
      <c r="F120" s="838"/>
      <c r="G120" s="838"/>
      <c r="H120" s="838"/>
      <c r="I120" s="838"/>
      <c r="J120" s="473"/>
      <c r="K120" s="838"/>
      <c r="L120" s="838"/>
      <c r="N120" s="830"/>
      <c r="O120" s="830"/>
      <c r="P120" s="463"/>
    </row>
    <row r="121" spans="1:16" s="452" customFormat="1" ht="13.15" customHeight="1">
      <c r="A121" s="484" t="s">
        <v>2382</v>
      </c>
      <c r="B121" s="844"/>
      <c r="C121" s="481" t="s">
        <v>2913</v>
      </c>
      <c r="D121" s="481"/>
      <c r="E121" s="481"/>
      <c r="F121" s="481"/>
      <c r="H121" s="1298" t="s">
        <v>4061</v>
      </c>
      <c r="M121" s="838"/>
      <c r="N121" s="830"/>
      <c r="O121" s="830"/>
      <c r="P121" s="463"/>
    </row>
    <row r="122" spans="1:16" s="452" customFormat="1" ht="3" customHeight="1">
      <c r="A122" s="484"/>
      <c r="B122" s="844"/>
      <c r="C122" s="829"/>
      <c r="D122" s="829"/>
      <c r="E122" s="829"/>
      <c r="F122" s="829"/>
      <c r="G122" s="838"/>
      <c r="M122" s="838"/>
      <c r="N122" s="830"/>
      <c r="O122" s="830"/>
    </row>
    <row r="123" spans="1:16" s="452" customFormat="1" ht="13.15" customHeight="1">
      <c r="A123" s="844"/>
      <c r="B123" s="844" t="s">
        <v>2308</v>
      </c>
      <c r="C123" s="459" t="s">
        <v>3717</v>
      </c>
      <c r="H123" s="1298" t="s">
        <v>4061</v>
      </c>
      <c r="M123" s="838"/>
      <c r="N123" s="830"/>
      <c r="O123" s="830"/>
      <c r="P123" s="463"/>
    </row>
    <row r="124" spans="1:16" s="452" customFormat="1" ht="13.15" customHeight="1">
      <c r="A124" s="844"/>
      <c r="B124" s="844"/>
      <c r="C124" s="827" t="s">
        <v>2915</v>
      </c>
      <c r="D124" s="827"/>
      <c r="E124" s="827"/>
      <c r="F124" s="838"/>
      <c r="H124" s="1346"/>
      <c r="N124" s="830"/>
      <c r="O124" s="830"/>
      <c r="P124" s="463"/>
    </row>
    <row r="125" spans="1:16" s="452" customFormat="1" ht="13.15" customHeight="1">
      <c r="A125" s="844"/>
      <c r="B125" s="844"/>
      <c r="C125" s="489" t="s">
        <v>3716</v>
      </c>
      <c r="D125" s="458"/>
      <c r="H125" s="1284"/>
      <c r="I125" s="1286"/>
      <c r="P125" s="463"/>
    </row>
    <row r="126" spans="1:16" s="452" customFormat="1" ht="13.15" customHeight="1">
      <c r="A126" s="844"/>
      <c r="B126" s="844"/>
      <c r="C126" s="827" t="s">
        <v>2916</v>
      </c>
      <c r="D126" s="827"/>
      <c r="E126" s="827"/>
      <c r="F126" s="838"/>
      <c r="H126" s="1346"/>
      <c r="K126" s="419" t="s">
        <v>3617</v>
      </c>
      <c r="O126" s="1284" t="s">
        <v>637</v>
      </c>
      <c r="P126" s="1286"/>
    </row>
    <row r="127" spans="1:16" s="452" customFormat="1" ht="13.15" customHeight="1">
      <c r="A127" s="844"/>
      <c r="B127" s="844"/>
      <c r="C127" s="827" t="s">
        <v>2914</v>
      </c>
      <c r="F127" s="838"/>
      <c r="H127" s="1335"/>
      <c r="K127" s="419" t="s">
        <v>3618</v>
      </c>
      <c r="O127" s="1284" t="s">
        <v>637</v>
      </c>
      <c r="P127" s="1286"/>
    </row>
    <row r="128" spans="1:16" s="452" customFormat="1" ht="13.15" customHeight="1">
      <c r="A128" s="844"/>
      <c r="B128" s="844"/>
      <c r="C128" s="827" t="s">
        <v>2536</v>
      </c>
      <c r="D128" s="827"/>
      <c r="E128" s="827"/>
      <c r="F128" s="838"/>
      <c r="H128" s="1331"/>
      <c r="I128" s="1332"/>
      <c r="N128" s="830"/>
      <c r="O128" s="830"/>
      <c r="P128" s="463"/>
    </row>
    <row r="129" spans="1:16" s="452" customFormat="1" ht="3" customHeight="1">
      <c r="A129" s="844"/>
      <c r="B129" s="844"/>
      <c r="C129" s="827"/>
      <c r="D129" s="827"/>
      <c r="E129" s="827"/>
      <c r="F129" s="838"/>
      <c r="N129" s="830"/>
      <c r="O129" s="830"/>
      <c r="P129" s="463"/>
    </row>
    <row r="130" spans="1:16" s="452" customFormat="1" ht="13.15" customHeight="1">
      <c r="A130" s="844"/>
      <c r="B130" s="844" t="s">
        <v>2311</v>
      </c>
      <c r="C130" s="829" t="s">
        <v>3164</v>
      </c>
      <c r="D130" s="827"/>
      <c r="E130" s="827"/>
      <c r="F130" s="838"/>
      <c r="H130" s="1335" t="s">
        <v>4061</v>
      </c>
      <c r="N130" s="830"/>
      <c r="O130" s="830"/>
      <c r="P130" s="463"/>
    </row>
    <row r="131" spans="1:16" s="452" customFormat="1" ht="3" customHeight="1">
      <c r="A131" s="844"/>
      <c r="B131" s="844"/>
      <c r="C131" s="827"/>
      <c r="D131" s="827"/>
      <c r="E131" s="827"/>
      <c r="F131" s="838"/>
      <c r="G131" s="838"/>
      <c r="M131" s="838"/>
      <c r="N131" s="830"/>
      <c r="O131" s="830"/>
      <c r="P131" s="463"/>
    </row>
    <row r="132" spans="1:16" s="452" customFormat="1" ht="13.15" customHeight="1">
      <c r="A132" s="844"/>
      <c r="B132" s="844" t="s">
        <v>2783</v>
      </c>
      <c r="C132" s="829" t="s">
        <v>870</v>
      </c>
      <c r="D132" s="827"/>
      <c r="E132" s="827"/>
      <c r="F132" s="838"/>
      <c r="G132" s="838"/>
      <c r="N132" s="830"/>
      <c r="O132" s="830"/>
      <c r="P132" s="463"/>
    </row>
    <row r="133" spans="1:16" s="452" customFormat="1" ht="13.15" customHeight="1">
      <c r="A133" s="844"/>
      <c r="B133" s="844"/>
      <c r="C133" s="827" t="s">
        <v>2636</v>
      </c>
      <c r="D133" s="827"/>
      <c r="E133" s="827"/>
      <c r="F133" s="838"/>
      <c r="G133" s="838"/>
      <c r="H133" s="1335" t="s">
        <v>4061</v>
      </c>
      <c r="K133" s="827" t="s">
        <v>3497</v>
      </c>
      <c r="L133" s="827"/>
      <c r="M133" s="838"/>
      <c r="N133" s="838"/>
      <c r="O133" s="1335" t="s">
        <v>4061</v>
      </c>
      <c r="P133" s="463"/>
    </row>
    <row r="134" spans="1:16" s="452" customFormat="1" ht="13.15" customHeight="1">
      <c r="A134" s="844"/>
      <c r="B134" s="844"/>
      <c r="C134" s="827" t="s">
        <v>2637</v>
      </c>
      <c r="D134" s="827"/>
      <c r="E134" s="827"/>
      <c r="F134" s="838"/>
      <c r="G134" s="838"/>
      <c r="H134" s="1335" t="s">
        <v>4061</v>
      </c>
      <c r="J134" s="827"/>
      <c r="K134" s="827"/>
      <c r="L134" s="827"/>
      <c r="M134" s="838"/>
      <c r="N134" s="838"/>
      <c r="O134" s="838"/>
      <c r="P134" s="463"/>
    </row>
    <row r="135" spans="1:16" s="452" customFormat="1" ht="6" customHeight="1">
      <c r="A135" s="844"/>
      <c r="B135" s="844"/>
      <c r="C135" s="827"/>
      <c r="D135" s="827"/>
      <c r="E135" s="827"/>
      <c r="F135" s="838"/>
      <c r="G135" s="838"/>
      <c r="H135" s="838"/>
      <c r="I135" s="838"/>
      <c r="J135" s="473"/>
      <c r="K135" s="838"/>
      <c r="L135" s="838"/>
      <c r="N135" s="830"/>
      <c r="O135" s="830"/>
      <c r="P135" s="463"/>
    </row>
    <row r="136" spans="1:16" s="452" customFormat="1" ht="13.15" customHeight="1">
      <c r="A136" s="484" t="s">
        <v>2383</v>
      </c>
      <c r="B136" s="844"/>
      <c r="C136" s="481" t="s">
        <v>3229</v>
      </c>
      <c r="D136" s="481"/>
      <c r="E136" s="481"/>
      <c r="F136" s="481"/>
      <c r="G136" s="838"/>
      <c r="H136" s="838"/>
      <c r="I136" s="838"/>
      <c r="J136" s="473"/>
      <c r="K136" s="838"/>
      <c r="L136" s="838"/>
      <c r="N136" s="830"/>
      <c r="O136" s="830"/>
      <c r="P136" s="463"/>
    </row>
    <row r="137" spans="1:16" s="452" customFormat="1" ht="1.9" customHeight="1">
      <c r="A137" s="484"/>
      <c r="B137" s="844"/>
      <c r="C137" s="829"/>
      <c r="D137" s="829"/>
      <c r="E137" s="829"/>
      <c r="F137" s="829"/>
      <c r="G137" s="838"/>
      <c r="H137" s="838"/>
      <c r="I137" s="838"/>
      <c r="J137" s="473"/>
      <c r="K137" s="838"/>
      <c r="L137" s="838"/>
      <c r="N137" s="830"/>
      <c r="O137" s="830"/>
    </row>
    <row r="138" spans="1:16" s="452" customFormat="1" ht="13.15" customHeight="1">
      <c r="A138" s="844"/>
      <c r="B138" s="844" t="s">
        <v>2308</v>
      </c>
      <c r="C138" s="472" t="s">
        <v>2158</v>
      </c>
      <c r="F138" s="838"/>
      <c r="G138" s="838"/>
      <c r="H138" s="838"/>
      <c r="I138" s="838"/>
      <c r="J138" s="473"/>
      <c r="K138" s="838"/>
      <c r="L138" s="838"/>
      <c r="N138" s="830"/>
      <c r="O138" s="830"/>
      <c r="P138" s="463"/>
    </row>
    <row r="139" spans="1:16" s="452" customFormat="1" ht="12.6" customHeight="1">
      <c r="A139" s="844"/>
      <c r="B139" s="844"/>
      <c r="C139" s="480" t="s">
        <v>3489</v>
      </c>
      <c r="D139" s="473"/>
      <c r="E139" s="473"/>
      <c r="F139" s="838"/>
      <c r="G139" s="838"/>
      <c r="H139" s="838"/>
      <c r="I139" s="838"/>
      <c r="K139" s="1335" t="s">
        <v>4061</v>
      </c>
      <c r="N139" s="830"/>
      <c r="O139" s="830"/>
      <c r="P139" s="463"/>
    </row>
    <row r="140" spans="1:16" s="452" customFormat="1" ht="12.6" customHeight="1">
      <c r="A140" s="844"/>
      <c r="B140" s="844"/>
      <c r="C140" s="452" t="s">
        <v>838</v>
      </c>
      <c r="K140" s="1325"/>
      <c r="L140" s="458" t="s">
        <v>2127</v>
      </c>
      <c r="P140" s="490">
        <f>IF('Part VI-Revenues &amp; Expenses'!$M$60=0,0,$K140/'Part VI-Revenues &amp; Expenses'!$M$60)</f>
        <v>0</v>
      </c>
    </row>
    <row r="141" spans="1:16" s="452" customFormat="1" ht="12.6" customHeight="1">
      <c r="A141" s="844"/>
      <c r="B141" s="844"/>
      <c r="C141" s="452" t="s">
        <v>2537</v>
      </c>
      <c r="K141" s="1325"/>
      <c r="L141" s="458" t="s">
        <v>2127</v>
      </c>
      <c r="P141" s="490">
        <f>IF('Part VI-Revenues &amp; Expenses'!$M$60=0,0,$K141/'Part VI-Revenues &amp; Expenses'!$M$60)</f>
        <v>0</v>
      </c>
    </row>
    <row r="142" spans="1:16" s="452" customFormat="1" ht="12.6" customHeight="1">
      <c r="A142" s="844"/>
      <c r="B142" s="844"/>
      <c r="C142" s="452" t="s">
        <v>2128</v>
      </c>
      <c r="E142" s="1284"/>
      <c r="F142" s="1285"/>
      <c r="G142" s="1285"/>
      <c r="H142" s="1285"/>
      <c r="I142" s="1285"/>
      <c r="J142" s="1285"/>
      <c r="K142" s="1286"/>
      <c r="L142" s="491" t="s">
        <v>2129</v>
      </c>
      <c r="M142" s="1284"/>
      <c r="N142" s="1285"/>
      <c r="O142" s="1285"/>
      <c r="P142" s="1286"/>
    </row>
    <row r="143" spans="1:16" s="452" customFormat="1" ht="12.6" customHeight="1">
      <c r="A143" s="844"/>
      <c r="B143" s="844"/>
      <c r="C143" s="458" t="s">
        <v>2130</v>
      </c>
      <c r="D143" s="466"/>
      <c r="E143" s="1284"/>
      <c r="F143" s="1285"/>
      <c r="G143" s="1285"/>
      <c r="H143" s="1285"/>
      <c r="I143" s="1285"/>
      <c r="J143" s="1285"/>
      <c r="K143" s="1347"/>
      <c r="L143" s="826" t="s">
        <v>2132</v>
      </c>
      <c r="M143" s="1299"/>
      <c r="N143" s="1300"/>
      <c r="O143" s="1300"/>
      <c r="P143" s="1301"/>
    </row>
    <row r="144" spans="1:16" s="452" customFormat="1" ht="12.6" customHeight="1">
      <c r="A144" s="844"/>
      <c r="B144" s="844"/>
      <c r="C144" s="458" t="s">
        <v>842</v>
      </c>
      <c r="E144" s="1284"/>
      <c r="F144" s="1285"/>
      <c r="G144" s="1285"/>
      <c r="H144" s="1286"/>
      <c r="I144" s="486" t="s">
        <v>2986</v>
      </c>
      <c r="J144" s="1295"/>
      <c r="K144" s="1296"/>
      <c r="L144" s="491" t="s">
        <v>2135</v>
      </c>
      <c r="M144" s="1292"/>
      <c r="N144" s="1297"/>
      <c r="O144" s="1293"/>
    </row>
    <row r="145" spans="1:16" s="452" customFormat="1" ht="12.6" customHeight="1">
      <c r="A145" s="844"/>
      <c r="B145" s="844"/>
      <c r="C145" s="458" t="s">
        <v>2133</v>
      </c>
      <c r="E145" s="1292"/>
      <c r="F145" s="1297"/>
      <c r="G145" s="1293"/>
      <c r="H145" s="492" t="s">
        <v>2134</v>
      </c>
      <c r="I145" s="1292"/>
      <c r="J145" s="1297"/>
      <c r="K145" s="1293"/>
      <c r="L145" s="493" t="s">
        <v>2304</v>
      </c>
      <c r="M145" s="1292"/>
      <c r="N145" s="1297"/>
      <c r="O145" s="1293"/>
    </row>
    <row r="146" spans="1:16" s="452" customFormat="1" ht="1.9" customHeight="1">
      <c r="A146" s="844"/>
      <c r="B146" s="844"/>
      <c r="C146" s="458"/>
      <c r="E146" s="494"/>
      <c r="F146" s="494"/>
      <c r="G146" s="494"/>
      <c r="H146" s="838"/>
      <c r="I146" s="494"/>
      <c r="J146" s="494"/>
      <c r="K146" s="838"/>
      <c r="L146" s="494"/>
      <c r="M146" s="494"/>
      <c r="N146" s="838"/>
      <c r="O146" s="494"/>
      <c r="P146" s="494"/>
    </row>
    <row r="147" spans="1:16" s="452" customFormat="1" ht="12.6" customHeight="1">
      <c r="A147" s="844"/>
      <c r="B147" s="844" t="s">
        <v>2311</v>
      </c>
      <c r="C147" s="829" t="s">
        <v>1710</v>
      </c>
      <c r="D147" s="829"/>
      <c r="E147" s="829"/>
      <c r="F147" s="829"/>
      <c r="G147" s="829"/>
      <c r="I147" s="1335" t="s">
        <v>4061</v>
      </c>
      <c r="J147" s="911" t="s">
        <v>0</v>
      </c>
      <c r="K147" s="912"/>
      <c r="L147" s="1335"/>
      <c r="M147" s="908" t="s">
        <v>3072</v>
      </c>
      <c r="N147" s="909"/>
      <c r="O147" s="910"/>
      <c r="P147" s="1346"/>
    </row>
    <row r="148" spans="1:16" s="452" customFormat="1" ht="1.9" customHeight="1">
      <c r="A148" s="844"/>
      <c r="B148" s="844"/>
      <c r="C148" s="829"/>
      <c r="D148" s="829"/>
      <c r="E148" s="455"/>
      <c r="F148" s="829"/>
      <c r="G148" s="829"/>
      <c r="J148" s="462"/>
      <c r="K148" s="495"/>
      <c r="M148" s="830"/>
      <c r="O148" s="838"/>
      <c r="P148" s="463"/>
    </row>
    <row r="149" spans="1:16" s="452" customFormat="1" ht="12.6" customHeight="1">
      <c r="A149" s="844"/>
      <c r="B149" s="844" t="s">
        <v>2783</v>
      </c>
      <c r="C149" s="829" t="s">
        <v>2087</v>
      </c>
      <c r="D149" s="829"/>
      <c r="E149" s="829"/>
      <c r="F149" s="829"/>
      <c r="G149" s="829"/>
      <c r="H149" s="1335" t="s">
        <v>4061</v>
      </c>
      <c r="L149" s="419"/>
      <c r="M149" s="419"/>
      <c r="P149" s="463"/>
    </row>
    <row r="150" spans="1:16" s="452" customFormat="1" ht="1.9" customHeight="1">
      <c r="A150" s="844"/>
      <c r="B150" s="844"/>
      <c r="C150" s="458"/>
      <c r="E150" s="494"/>
      <c r="F150" s="494"/>
      <c r="G150" s="494"/>
      <c r="H150" s="494"/>
      <c r="J150" s="494"/>
      <c r="K150" s="838"/>
      <c r="L150" s="494"/>
      <c r="M150" s="494"/>
      <c r="N150" s="838"/>
      <c r="O150" s="494"/>
      <c r="P150" s="494"/>
    </row>
    <row r="151" spans="1:16" s="452" customFormat="1" ht="12.6" customHeight="1">
      <c r="A151" s="844"/>
      <c r="B151" s="844" t="s">
        <v>2482</v>
      </c>
      <c r="C151" s="889" t="s">
        <v>2303</v>
      </c>
      <c r="D151" s="889"/>
      <c r="E151" s="889"/>
      <c r="F151" s="889"/>
      <c r="G151" s="829"/>
      <c r="H151" s="1335" t="s">
        <v>4061</v>
      </c>
    </row>
    <row r="152" spans="1:16" s="452" customFormat="1" ht="12.6" customHeight="1">
      <c r="B152" s="844"/>
      <c r="C152" s="888" t="s">
        <v>3428</v>
      </c>
      <c r="D152" s="888"/>
      <c r="E152" s="829"/>
      <c r="F152" s="829"/>
      <c r="G152" s="829"/>
      <c r="H152" s="1348"/>
    </row>
    <row r="153" spans="1:16" s="452" customFormat="1" ht="12.6" customHeight="1">
      <c r="A153" s="844"/>
      <c r="B153" s="844"/>
      <c r="C153" s="890" t="s">
        <v>978</v>
      </c>
      <c r="D153" s="890"/>
      <c r="E153" s="455"/>
      <c r="F153" s="829"/>
      <c r="G153" s="829"/>
      <c r="H153" s="1348"/>
      <c r="K153" s="462"/>
      <c r="P153" s="463"/>
    </row>
    <row r="154" spans="1:16" s="452" customFormat="1" ht="12.6" customHeight="1">
      <c r="B154" s="844"/>
      <c r="C154" s="890" t="s">
        <v>2123</v>
      </c>
      <c r="D154" s="890"/>
      <c r="E154" s="455"/>
      <c r="F154" s="829"/>
      <c r="G154" s="829"/>
      <c r="H154" s="496" t="str">
        <f>IF(H152="","",H153/H152)</f>
        <v/>
      </c>
      <c r="K154" s="462"/>
      <c r="M154" s="830"/>
      <c r="P154" s="463"/>
    </row>
    <row r="155" spans="1:16" s="452" customFormat="1" ht="1.9" customHeight="1">
      <c r="A155" s="844"/>
      <c r="B155" s="844"/>
      <c r="C155" s="829"/>
      <c r="D155" s="829"/>
      <c r="E155" s="455"/>
      <c r="F155" s="829"/>
      <c r="G155" s="829"/>
      <c r="H155" s="495"/>
      <c r="J155" s="462"/>
      <c r="K155" s="473"/>
      <c r="M155" s="830"/>
      <c r="O155" s="838"/>
      <c r="P155" s="463"/>
    </row>
    <row r="156" spans="1:16" s="452" customFormat="1" ht="13.15" customHeight="1">
      <c r="A156" s="844"/>
      <c r="B156" s="844" t="s">
        <v>3745</v>
      </c>
      <c r="C156" s="397" t="s">
        <v>1711</v>
      </c>
      <c r="D156" s="827"/>
      <c r="E156" s="827"/>
      <c r="F156" s="827"/>
      <c r="G156" s="827"/>
      <c r="H156" s="838"/>
      <c r="J156" s="462"/>
      <c r="K156" s="473"/>
      <c r="M156" s="830"/>
      <c r="O156" s="838"/>
      <c r="P156" s="463"/>
    </row>
    <row r="157" spans="1:16" s="452" customFormat="1" ht="12.6" customHeight="1">
      <c r="A157" s="844"/>
      <c r="B157" s="844"/>
      <c r="C157" s="830" t="s">
        <v>2961</v>
      </c>
      <c r="D157" s="464"/>
      <c r="E157" s="830"/>
      <c r="F157" s="830"/>
      <c r="H157" s="1335" t="s">
        <v>4061</v>
      </c>
      <c r="L157" s="830" t="s">
        <v>3991</v>
      </c>
      <c r="P157" s="1335" t="s">
        <v>4061</v>
      </c>
    </row>
    <row r="158" spans="1:16" s="452" customFormat="1" ht="12.6" customHeight="1">
      <c r="A158" s="844"/>
      <c r="B158" s="844"/>
      <c r="C158" s="830" t="s">
        <v>2963</v>
      </c>
      <c r="H158" s="1335" t="s">
        <v>4061</v>
      </c>
      <c r="L158" s="830" t="s">
        <v>1713</v>
      </c>
      <c r="P158" s="1335" t="s">
        <v>4061</v>
      </c>
    </row>
    <row r="159" spans="1:16" s="452" customFormat="1" ht="12.6" customHeight="1">
      <c r="A159" s="844"/>
      <c r="C159" s="830" t="s">
        <v>3306</v>
      </c>
      <c r="D159" s="498"/>
      <c r="H159" s="1335" t="s">
        <v>4061</v>
      </c>
      <c r="L159" s="830" t="s">
        <v>1878</v>
      </c>
      <c r="P159" s="1335" t="s">
        <v>4061</v>
      </c>
    </row>
    <row r="160" spans="1:16" s="452" customFormat="1" ht="12.6" customHeight="1">
      <c r="A160" s="844"/>
      <c r="B160" s="844"/>
      <c r="C160" s="830" t="s">
        <v>1712</v>
      </c>
      <c r="D160" s="464"/>
      <c r="E160" s="830"/>
      <c r="F160" s="830"/>
      <c r="H160" s="1335" t="s">
        <v>4061</v>
      </c>
      <c r="K160" s="464"/>
      <c r="L160" s="452" t="s">
        <v>3992</v>
      </c>
      <c r="M160" s="830"/>
      <c r="P160" s="1335" t="s">
        <v>4061</v>
      </c>
    </row>
    <row r="161" spans="1:21" s="452" customFormat="1" ht="12.6" customHeight="1">
      <c r="A161" s="844"/>
      <c r="B161" s="455"/>
      <c r="C161" s="830" t="s">
        <v>3500</v>
      </c>
      <c r="D161" s="464"/>
      <c r="H161" s="1335" t="s">
        <v>4061</v>
      </c>
      <c r="L161" s="830" t="s">
        <v>4038</v>
      </c>
      <c r="M161" s="830"/>
      <c r="P161" s="1335" t="s">
        <v>4061</v>
      </c>
    </row>
    <row r="162" spans="1:21" s="452" customFormat="1" ht="12.6" customHeight="1">
      <c r="A162" s="844"/>
      <c r="B162" s="844"/>
      <c r="C162" s="830" t="s">
        <v>247</v>
      </c>
      <c r="D162" s="464"/>
      <c r="E162" s="830"/>
      <c r="F162" s="830"/>
      <c r="H162" s="1335" t="s">
        <v>4061</v>
      </c>
      <c r="I162" s="497" t="s">
        <v>3250</v>
      </c>
      <c r="O162" s="1349"/>
      <c r="P162" s="1350"/>
    </row>
    <row r="163" spans="1:21" s="452" customFormat="1" ht="12.6" customHeight="1">
      <c r="A163" s="844"/>
      <c r="B163" s="844"/>
      <c r="C163" s="830" t="s">
        <v>4040</v>
      </c>
      <c r="E163" s="1326"/>
      <c r="F163" s="1351"/>
      <c r="G163" s="1327"/>
      <c r="H163" s="1335"/>
    </row>
    <row r="164" spans="1:21" s="452" customFormat="1" ht="1.9" customHeight="1">
      <c r="A164" s="844"/>
      <c r="B164" s="844"/>
      <c r="P164" s="462"/>
    </row>
    <row r="165" spans="1:21" s="452" customFormat="1" ht="13.15" customHeight="1">
      <c r="B165" s="844" t="s">
        <v>3746</v>
      </c>
      <c r="C165" s="459" t="s">
        <v>2773</v>
      </c>
    </row>
    <row r="166" spans="1:21" s="452" customFormat="1" ht="12.6" customHeight="1">
      <c r="A166" s="844"/>
      <c r="B166" s="844"/>
      <c r="C166" s="458" t="s">
        <v>864</v>
      </c>
      <c r="D166" s="827"/>
      <c r="E166" s="827"/>
      <c r="F166" s="838"/>
      <c r="G166" s="838"/>
      <c r="H166" s="1331"/>
      <c r="I166" s="1332"/>
      <c r="N166" s="830"/>
      <c r="O166" s="830"/>
      <c r="P166" s="463"/>
    </row>
    <row r="167" spans="1:21" s="452" customFormat="1" ht="12.6" customHeight="1">
      <c r="A167" s="844"/>
      <c r="B167" s="844"/>
      <c r="C167" s="458" t="s">
        <v>2276</v>
      </c>
      <c r="D167" s="827"/>
      <c r="E167" s="827"/>
      <c r="F167" s="838"/>
      <c r="G167" s="838"/>
      <c r="H167" s="1331">
        <v>41639</v>
      </c>
      <c r="I167" s="1332"/>
      <c r="N167" s="830"/>
      <c r="O167" s="830"/>
      <c r="P167" s="463"/>
    </row>
    <row r="168" spans="1:21" s="452" customFormat="1" ht="12.6" customHeight="1">
      <c r="A168" s="844"/>
      <c r="B168" s="844"/>
      <c r="C168" s="458" t="s">
        <v>3673</v>
      </c>
      <c r="D168" s="827"/>
      <c r="E168" s="827"/>
      <c r="F168" s="838"/>
      <c r="G168" s="838"/>
      <c r="H168" s="1331"/>
      <c r="I168" s="1332"/>
      <c r="N168" s="830"/>
      <c r="O168" s="830"/>
      <c r="P168" s="463"/>
    </row>
    <row r="169" spans="1:21" s="452" customFormat="1" ht="1.9" customHeight="1">
      <c r="B169" s="455"/>
      <c r="C169" s="830"/>
      <c r="H169" s="830"/>
      <c r="L169" s="475"/>
      <c r="M169" s="475"/>
      <c r="N169" s="475"/>
      <c r="O169" s="475"/>
      <c r="P169" s="460"/>
    </row>
    <row r="170" spans="1:21" ht="12" customHeight="1">
      <c r="A170" s="484" t="s">
        <v>3735</v>
      </c>
      <c r="C170" s="484" t="s">
        <v>781</v>
      </c>
      <c r="K170" s="484" t="s">
        <v>3623</v>
      </c>
      <c r="L170" s="484" t="s">
        <v>1591</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4049</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2131</v>
      </c>
      <c r="C180" s="761" t="s">
        <v>1303</v>
      </c>
      <c r="D180" s="761" t="s">
        <v>1304</v>
      </c>
      <c r="E180" s="761" t="s">
        <v>1305</v>
      </c>
      <c r="F180" s="761" t="s">
        <v>1245</v>
      </c>
      <c r="G180" s="761" t="s">
        <v>2440</v>
      </c>
      <c r="H180" s="762" t="s">
        <v>1253</v>
      </c>
      <c r="I180" s="682"/>
      <c r="J180" s="611" t="s">
        <v>2890</v>
      </c>
      <c r="K180" s="611"/>
      <c r="L180" s="612"/>
      <c r="M180" s="613"/>
      <c r="N180" s="613" t="s">
        <v>842</v>
      </c>
      <c r="O180" s="614" t="s">
        <v>843</v>
      </c>
      <c r="P180" s="613" t="s">
        <v>2510</v>
      </c>
      <c r="Q180" s="599"/>
      <c r="S180" s="599"/>
      <c r="T180" s="615" t="s">
        <v>553</v>
      </c>
      <c r="U180" s="614" t="s">
        <v>843</v>
      </c>
      <c r="V180" s="599"/>
      <c r="W180" s="599"/>
      <c r="X180" s="599"/>
      <c r="Y180" s="599"/>
      <c r="Z180" s="599"/>
      <c r="AA180" s="599"/>
    </row>
    <row r="181" spans="2:27" ht="12" customHeight="1">
      <c r="B181" s="763" t="s">
        <v>146</v>
      </c>
      <c r="C181" s="763" t="s">
        <v>1306</v>
      </c>
      <c r="D181" s="763" t="s">
        <v>1307</v>
      </c>
      <c r="E181" s="764" t="s">
        <v>1308</v>
      </c>
      <c r="F181" s="764" t="s">
        <v>1165</v>
      </c>
      <c r="G181" s="765" t="s">
        <v>1254</v>
      </c>
      <c r="H181" s="766" t="s">
        <v>2438</v>
      </c>
      <c r="I181" s="683"/>
      <c r="J181" s="616" t="s">
        <v>3484</v>
      </c>
      <c r="K181" s="617"/>
      <c r="L181" s="612"/>
      <c r="M181" s="613"/>
      <c r="N181" s="618" t="s">
        <v>2891</v>
      </c>
      <c r="O181" s="618" t="s">
        <v>3886</v>
      </c>
      <c r="P181" s="500" t="s">
        <v>1715</v>
      </c>
      <c r="Q181" s="599"/>
      <c r="S181" s="599"/>
      <c r="T181" s="618" t="s">
        <v>1328</v>
      </c>
      <c r="U181" s="618" t="s">
        <v>1194</v>
      </c>
      <c r="V181" s="599"/>
      <c r="W181" s="599"/>
      <c r="X181" s="599"/>
      <c r="Y181" s="599"/>
      <c r="Z181" s="599"/>
      <c r="AA181" s="599"/>
    </row>
    <row r="182" spans="2:27" ht="12" customHeight="1">
      <c r="B182" s="763" t="s">
        <v>147</v>
      </c>
      <c r="C182" s="763" t="s">
        <v>2108</v>
      </c>
      <c r="D182" s="763" t="s">
        <v>1307</v>
      </c>
      <c r="E182" s="764" t="s">
        <v>2109</v>
      </c>
      <c r="F182" s="764" t="s">
        <v>1165</v>
      </c>
      <c r="G182" s="765" t="s">
        <v>1255</v>
      </c>
      <c r="H182" s="766" t="s">
        <v>2438</v>
      </c>
      <c r="I182" s="683"/>
      <c r="J182" s="616" t="s">
        <v>3486</v>
      </c>
      <c r="K182" s="617"/>
      <c r="L182" s="612"/>
      <c r="M182" s="613"/>
      <c r="N182" s="618" t="s">
        <v>3485</v>
      </c>
      <c r="O182" s="618" t="s">
        <v>3158</v>
      </c>
      <c r="P182" s="500" t="s">
        <v>1716</v>
      </c>
      <c r="Q182" s="599"/>
      <c r="S182" s="599"/>
      <c r="T182" s="618" t="s">
        <v>750</v>
      </c>
      <c r="U182" s="618" t="s">
        <v>129</v>
      </c>
      <c r="V182" s="599"/>
      <c r="W182" s="599"/>
      <c r="X182" s="599"/>
      <c r="Y182" s="599"/>
      <c r="Z182" s="599"/>
      <c r="AA182" s="599"/>
    </row>
    <row r="183" spans="2:27" ht="12" customHeight="1">
      <c r="B183" s="763" t="s">
        <v>148</v>
      </c>
      <c r="C183" s="763" t="s">
        <v>2110</v>
      </c>
      <c r="D183" s="763" t="s">
        <v>1307</v>
      </c>
      <c r="E183" s="764" t="s">
        <v>2111</v>
      </c>
      <c r="F183" s="764" t="s">
        <v>1165</v>
      </c>
      <c r="G183" s="765" t="s">
        <v>1256</v>
      </c>
      <c r="H183" s="766" t="s">
        <v>2438</v>
      </c>
      <c r="I183" s="683"/>
      <c r="J183" s="616" t="s">
        <v>602</v>
      </c>
      <c r="K183" s="617"/>
      <c r="L183" s="612"/>
      <c r="M183" s="613"/>
      <c r="N183" s="618" t="s">
        <v>3004</v>
      </c>
      <c r="O183" s="618" t="s">
        <v>1386</v>
      </c>
      <c r="P183" s="500" t="s">
        <v>1717</v>
      </c>
      <c r="Q183" s="599"/>
      <c r="S183" s="599"/>
      <c r="T183" s="618" t="s">
        <v>917</v>
      </c>
      <c r="U183" s="618" t="s">
        <v>1190</v>
      </c>
      <c r="V183" s="599"/>
      <c r="W183" s="599"/>
      <c r="X183" s="599"/>
      <c r="Y183" s="599"/>
      <c r="Z183" s="599"/>
      <c r="AA183" s="599"/>
    </row>
    <row r="184" spans="2:27" ht="12" customHeight="1">
      <c r="B184" s="763" t="s">
        <v>149</v>
      </c>
      <c r="C184" s="763" t="s">
        <v>2112</v>
      </c>
      <c r="D184" s="763" t="s">
        <v>1307</v>
      </c>
      <c r="E184" s="767" t="s">
        <v>2113</v>
      </c>
      <c r="F184" s="767" t="s">
        <v>1166</v>
      </c>
      <c r="G184" s="765" t="s">
        <v>1257</v>
      </c>
      <c r="H184" s="766" t="s">
        <v>2439</v>
      </c>
      <c r="I184" s="684"/>
      <c r="J184" s="616" t="s">
        <v>3965</v>
      </c>
      <c r="K184" s="617"/>
      <c r="L184" s="612"/>
      <c r="M184" s="613"/>
      <c r="N184" s="618" t="s">
        <v>603</v>
      </c>
      <c r="O184" s="618" t="s">
        <v>3827</v>
      </c>
      <c r="P184" s="500" t="s">
        <v>1718</v>
      </c>
      <c r="Q184" s="599"/>
      <c r="S184" s="599"/>
      <c r="T184" s="618" t="s">
        <v>1707</v>
      </c>
      <c r="U184" s="618" t="s">
        <v>3826</v>
      </c>
      <c r="V184" s="599"/>
      <c r="W184" s="599"/>
      <c r="X184" s="599"/>
      <c r="Y184" s="599"/>
      <c r="Z184" s="599"/>
      <c r="AA184" s="599"/>
    </row>
    <row r="185" spans="2:27" ht="12" customHeight="1">
      <c r="B185" s="763" t="s">
        <v>150</v>
      </c>
      <c r="C185" s="763" t="s">
        <v>2114</v>
      </c>
      <c r="D185" s="763" t="s">
        <v>1407</v>
      </c>
      <c r="E185" s="767" t="s">
        <v>125</v>
      </c>
      <c r="F185" s="767" t="s">
        <v>1165</v>
      </c>
      <c r="G185" s="765" t="s">
        <v>1258</v>
      </c>
      <c r="H185" s="766" t="s">
        <v>2438</v>
      </c>
      <c r="I185" s="684"/>
      <c r="J185" s="616" t="s">
        <v>3967</v>
      </c>
      <c r="K185" s="617"/>
      <c r="L185" s="612"/>
      <c r="M185" s="613"/>
      <c r="N185" s="618" t="s">
        <v>3966</v>
      </c>
      <c r="O185" s="618" t="s">
        <v>430</v>
      </c>
      <c r="P185" s="500" t="s">
        <v>1719</v>
      </c>
      <c r="Q185" s="599"/>
      <c r="S185" s="599"/>
      <c r="T185" s="618" t="s">
        <v>2147</v>
      </c>
      <c r="U185" s="618" t="s">
        <v>1625</v>
      </c>
      <c r="V185" s="599"/>
      <c r="W185" s="599"/>
      <c r="X185" s="599"/>
      <c r="Y185" s="599"/>
      <c r="Z185" s="599"/>
      <c r="AA185" s="599"/>
    </row>
    <row r="186" spans="2:27" ht="12" customHeight="1">
      <c r="B186" s="763" t="s">
        <v>151</v>
      </c>
      <c r="C186" s="763" t="s">
        <v>1382</v>
      </c>
      <c r="D186" s="763" t="s">
        <v>1383</v>
      </c>
      <c r="E186" s="764" t="s">
        <v>1384</v>
      </c>
      <c r="F186" s="764" t="s">
        <v>1165</v>
      </c>
      <c r="G186" s="765" t="s">
        <v>2159</v>
      </c>
      <c r="H186" s="766" t="s">
        <v>2438</v>
      </c>
      <c r="I186" s="683"/>
      <c r="J186" s="616" t="s">
        <v>3969</v>
      </c>
      <c r="K186" s="617"/>
      <c r="L186" s="612"/>
      <c r="M186" s="613"/>
      <c r="N186" s="618" t="s">
        <v>3968</v>
      </c>
      <c r="O186" s="618" t="s">
        <v>2021</v>
      </c>
      <c r="P186" s="500" t="s">
        <v>1720</v>
      </c>
      <c r="Q186" s="599"/>
      <c r="S186" s="599"/>
      <c r="T186" s="618" t="s">
        <v>2492</v>
      </c>
      <c r="U186" s="618" t="s">
        <v>1621</v>
      </c>
      <c r="V186" s="599"/>
      <c r="W186" s="599"/>
      <c r="X186" s="599"/>
      <c r="Y186" s="599"/>
      <c r="Z186" s="599"/>
      <c r="AA186" s="599"/>
    </row>
    <row r="187" spans="2:27" ht="12" customHeight="1">
      <c r="B187" s="763" t="s">
        <v>152</v>
      </c>
      <c r="C187" s="763" t="s">
        <v>1385</v>
      </c>
      <c r="D187" s="763" t="s">
        <v>1407</v>
      </c>
      <c r="E187" s="767" t="s">
        <v>86</v>
      </c>
      <c r="F187" s="767" t="s">
        <v>1166</v>
      </c>
      <c r="G187" s="765" t="s">
        <v>1120</v>
      </c>
      <c r="H187" s="766" t="s">
        <v>2439</v>
      </c>
      <c r="I187" s="684"/>
      <c r="J187" s="616" t="s">
        <v>3971</v>
      </c>
      <c r="K187" s="617"/>
      <c r="L187" s="612"/>
      <c r="M187" s="613"/>
      <c r="N187" s="618" t="s">
        <v>3970</v>
      </c>
      <c r="O187" s="618" t="s">
        <v>1627</v>
      </c>
      <c r="P187" s="500" t="s">
        <v>1721</v>
      </c>
      <c r="Q187" s="599"/>
      <c r="S187" s="599"/>
      <c r="T187" s="618" t="s">
        <v>395</v>
      </c>
      <c r="U187" s="618" t="s">
        <v>1625</v>
      </c>
      <c r="V187" s="599"/>
      <c r="W187" s="599"/>
      <c r="X187" s="599"/>
      <c r="Y187" s="599"/>
      <c r="Z187" s="599"/>
      <c r="AA187" s="599"/>
    </row>
    <row r="188" spans="2:27" ht="12" customHeight="1">
      <c r="B188" s="763" t="s">
        <v>153</v>
      </c>
      <c r="C188" s="763" t="s">
        <v>1386</v>
      </c>
      <c r="D188" s="763" t="s">
        <v>1383</v>
      </c>
      <c r="E188" s="767" t="s">
        <v>86</v>
      </c>
      <c r="F188" s="767" t="s">
        <v>1166</v>
      </c>
      <c r="G188" s="765" t="s">
        <v>1120</v>
      </c>
      <c r="H188" s="766" t="s">
        <v>2439</v>
      </c>
      <c r="I188" s="684"/>
      <c r="J188" s="616" t="s">
        <v>3973</v>
      </c>
      <c r="K188" s="617"/>
      <c r="L188" s="612"/>
      <c r="M188" s="613"/>
      <c r="N188" s="618" t="s">
        <v>3972</v>
      </c>
      <c r="O188" s="618" t="s">
        <v>1389</v>
      </c>
      <c r="P188" s="500" t="s">
        <v>1722</v>
      </c>
      <c r="Q188" s="1358"/>
      <c r="S188" s="599"/>
      <c r="T188" s="599"/>
      <c r="U188" s="599"/>
      <c r="V188" s="599"/>
      <c r="W188" s="599"/>
      <c r="X188" s="599"/>
      <c r="Y188" s="599"/>
      <c r="Z188" s="599"/>
      <c r="AA188" s="599"/>
    </row>
    <row r="189" spans="2:27" ht="12" customHeight="1">
      <c r="B189" s="763" t="s">
        <v>154</v>
      </c>
      <c r="C189" s="763" t="s">
        <v>1387</v>
      </c>
      <c r="D189" s="763" t="s">
        <v>1307</v>
      </c>
      <c r="E189" s="764" t="s">
        <v>1388</v>
      </c>
      <c r="F189" s="764" t="s">
        <v>1165</v>
      </c>
      <c r="G189" s="765" t="s">
        <v>1121</v>
      </c>
      <c r="H189" s="766" t="s">
        <v>2438</v>
      </c>
      <c r="I189" s="683"/>
      <c r="J189" s="616" t="s">
        <v>2287</v>
      </c>
      <c r="K189" s="619"/>
      <c r="L189" s="612"/>
      <c r="M189" s="613"/>
      <c r="N189" s="618" t="s">
        <v>2113</v>
      </c>
      <c r="O189" s="618" t="s">
        <v>3015</v>
      </c>
      <c r="P189" s="500" t="s">
        <v>1723</v>
      </c>
      <c r="Q189" s="1358"/>
      <c r="S189" s="599"/>
      <c r="T189" s="599"/>
      <c r="U189" s="599"/>
      <c r="V189" s="599"/>
      <c r="W189" s="599"/>
      <c r="X189" s="599"/>
      <c r="Y189" s="599"/>
      <c r="Z189" s="599"/>
      <c r="AA189" s="599"/>
    </row>
    <row r="190" spans="2:27" ht="12" customHeight="1">
      <c r="B190" s="763" t="s">
        <v>155</v>
      </c>
      <c r="C190" s="763" t="s">
        <v>1389</v>
      </c>
      <c r="D190" s="763" t="s">
        <v>1307</v>
      </c>
      <c r="E190" s="764" t="s">
        <v>1390</v>
      </c>
      <c r="F190" s="764" t="s">
        <v>1165</v>
      </c>
      <c r="G190" s="765" t="s">
        <v>1122</v>
      </c>
      <c r="H190" s="766" t="s">
        <v>2438</v>
      </c>
      <c r="I190" s="683"/>
      <c r="J190" s="616" t="s">
        <v>2017</v>
      </c>
      <c r="K190" s="619"/>
      <c r="L190" s="500"/>
      <c r="M190" s="613"/>
      <c r="N190" s="618" t="s">
        <v>2288</v>
      </c>
      <c r="O190" s="618" t="s">
        <v>561</v>
      </c>
      <c r="P190" s="500" t="s">
        <v>1724</v>
      </c>
      <c r="Q190" s="1358"/>
      <c r="S190" s="599"/>
      <c r="T190" s="599"/>
      <c r="U190" s="599"/>
      <c r="V190" s="599"/>
      <c r="W190" s="599"/>
      <c r="X190" s="599"/>
      <c r="Y190" s="599"/>
      <c r="Z190" s="599"/>
      <c r="AA190" s="599"/>
    </row>
    <row r="191" spans="2:27" ht="12" customHeight="1">
      <c r="B191" s="763" t="s">
        <v>156</v>
      </c>
      <c r="C191" s="763" t="s">
        <v>1391</v>
      </c>
      <c r="D191" s="763" t="s">
        <v>1407</v>
      </c>
      <c r="E191" s="767" t="s">
        <v>1392</v>
      </c>
      <c r="F191" s="767" t="s">
        <v>1166</v>
      </c>
      <c r="G191" s="765" t="s">
        <v>1123</v>
      </c>
      <c r="H191" s="766" t="s">
        <v>2439</v>
      </c>
      <c r="I191" s="684"/>
      <c r="J191" s="616" t="s">
        <v>2019</v>
      </c>
      <c r="K191" s="619"/>
      <c r="L191" s="612"/>
      <c r="M191" s="613"/>
      <c r="N191" s="618" t="s">
        <v>2018</v>
      </c>
      <c r="O191" s="618" t="s">
        <v>3402</v>
      </c>
      <c r="P191" s="500" t="s">
        <v>1725</v>
      </c>
      <c r="Q191" s="1358"/>
      <c r="S191" s="599"/>
      <c r="T191" s="599"/>
      <c r="U191" s="599"/>
      <c r="V191" s="599"/>
      <c r="W191" s="599"/>
      <c r="X191" s="599"/>
      <c r="Y191" s="599"/>
      <c r="Z191" s="599"/>
      <c r="AA191" s="599"/>
    </row>
    <row r="192" spans="2:27" ht="12" customHeight="1">
      <c r="B192" s="763" t="s">
        <v>157</v>
      </c>
      <c r="C192" s="763" t="s">
        <v>1393</v>
      </c>
      <c r="D192" s="763" t="s">
        <v>1307</v>
      </c>
      <c r="E192" s="767" t="s">
        <v>1394</v>
      </c>
      <c r="F192" s="767" t="s">
        <v>1165</v>
      </c>
      <c r="G192" s="765" t="s">
        <v>1124</v>
      </c>
      <c r="H192" s="766" t="s">
        <v>2438</v>
      </c>
      <c r="I192" s="684"/>
      <c r="J192" s="616" t="s">
        <v>583</v>
      </c>
      <c r="K192" s="617"/>
      <c r="L192" s="612"/>
      <c r="M192" s="613"/>
      <c r="N192" s="618" t="s">
        <v>2020</v>
      </c>
      <c r="O192" s="618" t="s">
        <v>2887</v>
      </c>
      <c r="P192" s="500" t="s">
        <v>1726</v>
      </c>
      <c r="Q192" s="1358"/>
      <c r="S192" s="599"/>
      <c r="T192" s="599"/>
      <c r="U192" s="599"/>
      <c r="V192" s="599"/>
      <c r="W192" s="599"/>
      <c r="X192" s="599"/>
      <c r="Y192" s="599"/>
      <c r="Z192" s="599"/>
      <c r="AA192" s="599"/>
    </row>
    <row r="193" spans="2:27" ht="12" customHeight="1">
      <c r="B193" s="763" t="s">
        <v>158</v>
      </c>
      <c r="C193" s="763" t="s">
        <v>1395</v>
      </c>
      <c r="D193" s="763" t="s">
        <v>1307</v>
      </c>
      <c r="E193" s="764" t="s">
        <v>1518</v>
      </c>
      <c r="F193" s="764" t="s">
        <v>1166</v>
      </c>
      <c r="G193" s="765" t="s">
        <v>1125</v>
      </c>
      <c r="H193" s="766" t="s">
        <v>2439</v>
      </c>
      <c r="I193" s="683"/>
      <c r="J193" s="616" t="s">
        <v>585</v>
      </c>
      <c r="K193" s="617"/>
      <c r="L193" s="612"/>
      <c r="M193" s="613"/>
      <c r="N193" s="618" t="s">
        <v>584</v>
      </c>
      <c r="O193" s="618" t="s">
        <v>2110</v>
      </c>
      <c r="P193" s="500" t="s">
        <v>1727</v>
      </c>
      <c r="Q193" s="1358"/>
      <c r="S193" s="599"/>
      <c r="T193" s="599"/>
      <c r="U193" s="599"/>
      <c r="V193" s="599"/>
      <c r="W193" s="599"/>
      <c r="X193" s="599"/>
      <c r="Y193" s="599"/>
      <c r="Z193" s="599"/>
      <c r="AA193" s="599"/>
    </row>
    <row r="194" spans="2:27" ht="12" customHeight="1">
      <c r="B194" s="763" t="s">
        <v>159</v>
      </c>
      <c r="C194" s="763" t="s">
        <v>1396</v>
      </c>
      <c r="D194" s="763" t="s">
        <v>1307</v>
      </c>
      <c r="E194" s="764" t="s">
        <v>3700</v>
      </c>
      <c r="F194" s="764" t="s">
        <v>1166</v>
      </c>
      <c r="G194" s="765" t="s">
        <v>1126</v>
      </c>
      <c r="H194" s="766" t="s">
        <v>2439</v>
      </c>
      <c r="I194" s="683"/>
      <c r="J194" s="616" t="s">
        <v>587</v>
      </c>
      <c r="K194" s="617"/>
      <c r="L194" s="612"/>
      <c r="M194" s="613"/>
      <c r="N194" s="618" t="s">
        <v>586</v>
      </c>
      <c r="O194" s="618" t="s">
        <v>1302</v>
      </c>
      <c r="P194" s="500" t="s">
        <v>1728</v>
      </c>
      <c r="Q194" s="1358"/>
      <c r="S194" s="599"/>
      <c r="T194" s="599"/>
      <c r="U194" s="599"/>
      <c r="V194" s="599"/>
      <c r="W194" s="599"/>
      <c r="X194" s="599"/>
      <c r="Y194" s="599"/>
      <c r="Z194" s="599"/>
      <c r="AA194" s="599"/>
    </row>
    <row r="195" spans="2:27" ht="12" customHeight="1">
      <c r="B195" s="763" t="s">
        <v>160</v>
      </c>
      <c r="C195" s="763" t="s">
        <v>1397</v>
      </c>
      <c r="D195" s="763" t="s">
        <v>1307</v>
      </c>
      <c r="E195" s="767" t="s">
        <v>1398</v>
      </c>
      <c r="F195" s="767" t="s">
        <v>1166</v>
      </c>
      <c r="G195" s="765" t="s">
        <v>3409</v>
      </c>
      <c r="H195" s="766" t="s">
        <v>2439</v>
      </c>
      <c r="I195" s="684"/>
      <c r="J195" s="616" t="s">
        <v>589</v>
      </c>
      <c r="K195" s="617"/>
      <c r="L195" s="612"/>
      <c r="M195" s="613"/>
      <c r="N195" s="618" t="s">
        <v>588</v>
      </c>
      <c r="O195" s="618" t="s">
        <v>2021</v>
      </c>
      <c r="P195" s="500" t="s">
        <v>1729</v>
      </c>
      <c r="Q195" s="1358"/>
      <c r="S195" s="599"/>
      <c r="T195" s="599"/>
      <c r="U195" s="599"/>
      <c r="V195" s="599"/>
      <c r="W195" s="599"/>
      <c r="X195" s="599"/>
      <c r="Y195" s="599"/>
      <c r="Z195" s="599"/>
      <c r="AA195" s="599"/>
    </row>
    <row r="196" spans="2:27" ht="12" customHeight="1">
      <c r="B196" s="763" t="s">
        <v>161</v>
      </c>
      <c r="C196" s="763" t="s">
        <v>1399</v>
      </c>
      <c r="D196" s="763" t="s">
        <v>1307</v>
      </c>
      <c r="E196" s="767" t="s">
        <v>1400</v>
      </c>
      <c r="F196" s="767" t="s">
        <v>1165</v>
      </c>
      <c r="G196" s="765" t="s">
        <v>1144</v>
      </c>
      <c r="H196" s="766" t="s">
        <v>2438</v>
      </c>
      <c r="I196" s="684"/>
      <c r="J196" s="616" t="s">
        <v>3635</v>
      </c>
      <c r="K196" s="617"/>
      <c r="L196" s="612"/>
      <c r="M196" s="613"/>
      <c r="N196" s="618" t="s">
        <v>590</v>
      </c>
      <c r="O196" s="618" t="s">
        <v>1637</v>
      </c>
      <c r="P196" s="500" t="s">
        <v>1730</v>
      </c>
      <c r="Q196" s="1358"/>
      <c r="S196" s="599"/>
      <c r="T196" s="599"/>
      <c r="U196" s="599"/>
      <c r="V196" s="599"/>
      <c r="W196" s="599"/>
      <c r="X196" s="599"/>
      <c r="Y196" s="599"/>
      <c r="Z196" s="599"/>
      <c r="AA196" s="599"/>
    </row>
    <row r="197" spans="2:27" ht="12" customHeight="1">
      <c r="B197" s="763" t="s">
        <v>162</v>
      </c>
      <c r="C197" s="763" t="s">
        <v>1401</v>
      </c>
      <c r="D197" s="763" t="s">
        <v>1407</v>
      </c>
      <c r="E197" s="767" t="s">
        <v>87</v>
      </c>
      <c r="F197" s="767" t="s">
        <v>1166</v>
      </c>
      <c r="G197" s="765" t="s">
        <v>1145</v>
      </c>
      <c r="H197" s="766" t="s">
        <v>2439</v>
      </c>
      <c r="I197" s="684"/>
      <c r="J197" s="616" t="s">
        <v>3637</v>
      </c>
      <c r="K197" s="617"/>
      <c r="L197" s="612"/>
      <c r="M197" s="613"/>
      <c r="N197" s="618" t="s">
        <v>3636</v>
      </c>
      <c r="O197" s="618" t="s">
        <v>3159</v>
      </c>
      <c r="P197" s="500" t="s">
        <v>1731</v>
      </c>
      <c r="Q197" s="1358"/>
      <c r="S197" s="599"/>
      <c r="T197" s="599"/>
      <c r="U197" s="599"/>
      <c r="V197" s="599"/>
      <c r="W197" s="599"/>
      <c r="X197" s="599"/>
      <c r="Y197" s="599"/>
      <c r="Z197" s="599"/>
      <c r="AA197" s="599"/>
    </row>
    <row r="198" spans="2:27" ht="12" customHeight="1">
      <c r="B198" s="763" t="s">
        <v>163</v>
      </c>
      <c r="C198" s="763" t="s">
        <v>1403</v>
      </c>
      <c r="D198" s="763" t="s">
        <v>1407</v>
      </c>
      <c r="E198" s="767" t="s">
        <v>1118</v>
      </c>
      <c r="F198" s="767" t="s">
        <v>1166</v>
      </c>
      <c r="G198" s="765" t="s">
        <v>3282</v>
      </c>
      <c r="H198" s="766" t="s">
        <v>2439</v>
      </c>
      <c r="I198" s="684"/>
      <c r="J198" s="616" t="s">
        <v>2388</v>
      </c>
      <c r="K198" s="617"/>
      <c r="L198" s="612"/>
      <c r="M198" s="613"/>
      <c r="N198" s="618" t="s">
        <v>330</v>
      </c>
      <c r="O198" s="618" t="s">
        <v>2548</v>
      </c>
      <c r="P198" s="500" t="s">
        <v>1732</v>
      </c>
      <c r="Q198" s="1358"/>
      <c r="S198" s="599"/>
      <c r="T198" s="599"/>
      <c r="U198" s="599"/>
      <c r="V198" s="599"/>
      <c r="W198" s="599"/>
      <c r="X198" s="599"/>
      <c r="Y198" s="599"/>
      <c r="Z198" s="599"/>
      <c r="AA198" s="599"/>
    </row>
    <row r="199" spans="2:27" ht="12" customHeight="1">
      <c r="B199" s="763" t="s">
        <v>164</v>
      </c>
      <c r="C199" s="763" t="s">
        <v>1404</v>
      </c>
      <c r="D199" s="763" t="s">
        <v>1307</v>
      </c>
      <c r="E199" s="764" t="s">
        <v>1405</v>
      </c>
      <c r="F199" s="764" t="s">
        <v>1165</v>
      </c>
      <c r="G199" s="765" t="s">
        <v>3283</v>
      </c>
      <c r="H199" s="766" t="s">
        <v>2438</v>
      </c>
      <c r="I199" s="683"/>
      <c r="J199" s="616" t="s">
        <v>2390</v>
      </c>
      <c r="K199" s="617"/>
      <c r="L199" s="612"/>
      <c r="M199" s="613"/>
      <c r="N199" s="618" t="s">
        <v>2389</v>
      </c>
      <c r="O199" s="618" t="s">
        <v>2548</v>
      </c>
      <c r="P199" s="500" t="s">
        <v>1733</v>
      </c>
      <c r="Q199" s="1358"/>
      <c r="S199" s="599"/>
      <c r="T199" s="599"/>
      <c r="U199" s="599"/>
      <c r="V199" s="599"/>
      <c r="W199" s="599"/>
      <c r="X199" s="599"/>
      <c r="Y199" s="599"/>
      <c r="Z199" s="599"/>
      <c r="AA199" s="599"/>
    </row>
    <row r="200" spans="2:27" ht="12" customHeight="1">
      <c r="B200" s="763" t="s">
        <v>165</v>
      </c>
      <c r="C200" s="763" t="s">
        <v>1406</v>
      </c>
      <c r="D200" s="763" t="s">
        <v>1307</v>
      </c>
      <c r="E200" s="767" t="s">
        <v>2764</v>
      </c>
      <c r="F200" s="767" t="s">
        <v>1165</v>
      </c>
      <c r="G200" s="765" t="s">
        <v>3284</v>
      </c>
      <c r="H200" s="766" t="s">
        <v>2438</v>
      </c>
      <c r="I200" s="684"/>
      <c r="J200" s="616" t="s">
        <v>3853</v>
      </c>
      <c r="K200" s="617"/>
      <c r="L200" s="612"/>
      <c r="M200" s="613"/>
      <c r="N200" s="618" t="s">
        <v>3854</v>
      </c>
      <c r="O200" s="618" t="s">
        <v>3831</v>
      </c>
      <c r="P200" s="500" t="s">
        <v>1734</v>
      </c>
      <c r="Q200" s="1358"/>
      <c r="S200" s="599"/>
      <c r="T200" s="599"/>
      <c r="U200" s="599"/>
      <c r="V200" s="599"/>
      <c r="W200" s="599"/>
      <c r="X200" s="599"/>
      <c r="Y200" s="599"/>
      <c r="Z200" s="599"/>
      <c r="AA200" s="599"/>
    </row>
    <row r="201" spans="2:27" ht="12" customHeight="1">
      <c r="B201" s="763" t="s">
        <v>166</v>
      </c>
      <c r="C201" s="763" t="s">
        <v>2765</v>
      </c>
      <c r="D201" s="763" t="s">
        <v>1307</v>
      </c>
      <c r="E201" s="764" t="s">
        <v>2766</v>
      </c>
      <c r="F201" s="764" t="s">
        <v>1165</v>
      </c>
      <c r="G201" s="765" t="s">
        <v>3715</v>
      </c>
      <c r="H201" s="766" t="s">
        <v>2438</v>
      </c>
      <c r="I201" s="683"/>
      <c r="J201" s="616" t="s">
        <v>3855</v>
      </c>
      <c r="K201" s="617"/>
      <c r="L201" s="612"/>
      <c r="M201" s="613"/>
      <c r="N201" s="618" t="s">
        <v>3856</v>
      </c>
      <c r="O201" s="618" t="s">
        <v>1184</v>
      </c>
      <c r="P201" s="500" t="s">
        <v>1735</v>
      </c>
      <c r="Q201" s="1358"/>
      <c r="S201" s="599"/>
      <c r="T201" s="599"/>
      <c r="U201" s="599"/>
      <c r="V201" s="599"/>
      <c r="W201" s="599"/>
      <c r="X201" s="599"/>
      <c r="Y201" s="599"/>
      <c r="Z201" s="599"/>
      <c r="AA201" s="599"/>
    </row>
    <row r="202" spans="2:27" ht="12" customHeight="1">
      <c r="B202" s="763" t="s">
        <v>167</v>
      </c>
      <c r="C202" s="763" t="s">
        <v>2767</v>
      </c>
      <c r="D202" s="763" t="s">
        <v>1407</v>
      </c>
      <c r="E202" s="767" t="s">
        <v>86</v>
      </c>
      <c r="F202" s="767" t="s">
        <v>1166</v>
      </c>
      <c r="G202" s="765" t="s">
        <v>1120</v>
      </c>
      <c r="H202" s="766" t="s">
        <v>2439</v>
      </c>
      <c r="I202" s="684"/>
      <c r="J202" s="616" t="s">
        <v>3857</v>
      </c>
      <c r="K202" s="617"/>
      <c r="L202" s="612"/>
      <c r="M202" s="613"/>
      <c r="N202" s="618" t="s">
        <v>3858</v>
      </c>
      <c r="O202" s="618" t="s">
        <v>421</v>
      </c>
      <c r="P202" s="500" t="s">
        <v>1736</v>
      </c>
      <c r="Q202" s="1358"/>
      <c r="S202" s="599"/>
      <c r="T202" s="599"/>
      <c r="U202" s="599"/>
      <c r="V202" s="599"/>
      <c r="W202" s="599"/>
      <c r="X202" s="599"/>
      <c r="Y202" s="599"/>
      <c r="Z202" s="599"/>
      <c r="AA202" s="599"/>
    </row>
    <row r="203" spans="2:27" ht="12" customHeight="1">
      <c r="B203" s="763" t="s">
        <v>168</v>
      </c>
      <c r="C203" s="763" t="s">
        <v>3482</v>
      </c>
      <c r="D203" s="763" t="s">
        <v>1383</v>
      </c>
      <c r="E203" s="767" t="s">
        <v>3483</v>
      </c>
      <c r="F203" s="767" t="s">
        <v>1166</v>
      </c>
      <c r="G203" s="765" t="s">
        <v>3684</v>
      </c>
      <c r="H203" s="766" t="s">
        <v>2439</v>
      </c>
      <c r="I203" s="684"/>
      <c r="J203" s="616" t="s">
        <v>3108</v>
      </c>
      <c r="K203" s="617"/>
      <c r="L203" s="612"/>
      <c r="M203" s="613"/>
      <c r="N203" s="618" t="s">
        <v>3109</v>
      </c>
      <c r="O203" s="618" t="s">
        <v>3156</v>
      </c>
      <c r="P203" s="500" t="s">
        <v>1737</v>
      </c>
      <c r="Q203" s="1358"/>
      <c r="S203" s="599"/>
      <c r="T203" s="599"/>
      <c r="U203" s="599"/>
      <c r="V203" s="599"/>
      <c r="W203" s="599"/>
      <c r="X203" s="599"/>
      <c r="Y203" s="599"/>
      <c r="Z203" s="599"/>
      <c r="AA203" s="599"/>
    </row>
    <row r="204" spans="2:27" ht="12" customHeight="1">
      <c r="B204" s="763" t="s">
        <v>169</v>
      </c>
      <c r="C204" s="763" t="s">
        <v>126</v>
      </c>
      <c r="D204" s="763" t="s">
        <v>1307</v>
      </c>
      <c r="E204" s="764" t="s">
        <v>127</v>
      </c>
      <c r="F204" s="764" t="s">
        <v>1165</v>
      </c>
      <c r="G204" s="765" t="s">
        <v>3685</v>
      </c>
      <c r="H204" s="766" t="s">
        <v>2438</v>
      </c>
      <c r="I204" s="683"/>
      <c r="J204" s="616" t="s">
        <v>3110</v>
      </c>
      <c r="K204" s="617"/>
      <c r="L204" s="612"/>
      <c r="M204" s="613"/>
      <c r="N204" s="618" t="s">
        <v>3111</v>
      </c>
      <c r="O204" s="618" t="s">
        <v>1404</v>
      </c>
      <c r="P204" s="500" t="s">
        <v>1738</v>
      </c>
      <c r="Q204" s="1358"/>
      <c r="S204" s="599"/>
      <c r="T204" s="599"/>
      <c r="U204" s="599"/>
      <c r="V204" s="599"/>
      <c r="W204" s="599"/>
      <c r="X204" s="599"/>
      <c r="Y204" s="599"/>
      <c r="Z204" s="599"/>
      <c r="AA204" s="599"/>
    </row>
    <row r="205" spans="2:27" ht="12" customHeight="1">
      <c r="B205" s="763" t="s">
        <v>170</v>
      </c>
      <c r="C205" s="763" t="s">
        <v>128</v>
      </c>
      <c r="D205" s="763" t="s">
        <v>1307</v>
      </c>
      <c r="E205" s="767" t="s">
        <v>1398</v>
      </c>
      <c r="F205" s="767" t="s">
        <v>1166</v>
      </c>
      <c r="G205" s="765" t="s">
        <v>3409</v>
      </c>
      <c r="H205" s="766" t="s">
        <v>2439</v>
      </c>
      <c r="I205" s="684"/>
      <c r="J205" s="616" t="s">
        <v>3112</v>
      </c>
      <c r="K205" s="617"/>
      <c r="L205" s="612"/>
      <c r="M205" s="613"/>
      <c r="N205" s="618" t="s">
        <v>3114</v>
      </c>
      <c r="O205" s="618" t="s">
        <v>1137</v>
      </c>
      <c r="P205" s="500" t="s">
        <v>1739</v>
      </c>
      <c r="Q205" s="1358"/>
      <c r="S205" s="599"/>
      <c r="T205" s="599"/>
      <c r="U205" s="599"/>
      <c r="V205" s="599"/>
      <c r="W205" s="599"/>
      <c r="X205" s="599"/>
      <c r="Y205" s="599"/>
      <c r="Z205" s="599"/>
      <c r="AA205" s="599"/>
    </row>
    <row r="206" spans="2:27" ht="12" customHeight="1">
      <c r="B206" s="763" t="s">
        <v>1414</v>
      </c>
      <c r="C206" s="763" t="s">
        <v>129</v>
      </c>
      <c r="D206" s="763" t="s">
        <v>1407</v>
      </c>
      <c r="E206" s="767" t="s">
        <v>130</v>
      </c>
      <c r="F206" s="767" t="s">
        <v>1166</v>
      </c>
      <c r="G206" s="765" t="s">
        <v>3686</v>
      </c>
      <c r="H206" s="766" t="s">
        <v>2439</v>
      </c>
      <c r="I206" s="684"/>
      <c r="J206" s="616" t="s">
        <v>3113</v>
      </c>
      <c r="K206" s="617"/>
      <c r="L206" s="612"/>
      <c r="M206" s="613"/>
      <c r="N206" s="618" t="s">
        <v>3116</v>
      </c>
      <c r="O206" s="618" t="s">
        <v>2228</v>
      </c>
      <c r="P206" s="500" t="s">
        <v>1740</v>
      </c>
      <c r="Q206" s="1358"/>
      <c r="S206" s="599"/>
      <c r="T206" s="599"/>
      <c r="U206" s="599"/>
      <c r="V206" s="599"/>
      <c r="W206" s="599"/>
      <c r="X206" s="599"/>
      <c r="Y206" s="599"/>
      <c r="Z206" s="599"/>
      <c r="AA206" s="599"/>
    </row>
    <row r="207" spans="2:27" ht="12" customHeight="1">
      <c r="B207" s="763" t="s">
        <v>1415</v>
      </c>
      <c r="C207" s="763" t="s">
        <v>131</v>
      </c>
      <c r="D207" s="763" t="s">
        <v>1383</v>
      </c>
      <c r="E207" s="764" t="s">
        <v>132</v>
      </c>
      <c r="F207" s="764" t="s">
        <v>1165</v>
      </c>
      <c r="G207" s="765" t="s">
        <v>3687</v>
      </c>
      <c r="H207" s="766" t="s">
        <v>2438</v>
      </c>
      <c r="I207" s="683"/>
      <c r="J207" s="616" t="s">
        <v>3115</v>
      </c>
      <c r="K207" s="617"/>
      <c r="L207" s="612"/>
      <c r="M207" s="613"/>
      <c r="N207" s="618" t="s">
        <v>135</v>
      </c>
      <c r="O207" s="618" t="s">
        <v>134</v>
      </c>
      <c r="P207" s="1359" t="s">
        <v>1006</v>
      </c>
      <c r="Q207" s="599"/>
      <c r="S207" s="599"/>
      <c r="T207" s="599"/>
      <c r="U207" s="599"/>
      <c r="V207" s="599"/>
      <c r="W207" s="599"/>
      <c r="X207" s="599"/>
      <c r="Y207" s="599"/>
      <c r="Z207" s="599"/>
      <c r="AA207" s="599"/>
    </row>
    <row r="208" spans="2:27" ht="12" customHeight="1">
      <c r="B208" s="763" t="s">
        <v>1416</v>
      </c>
      <c r="C208" s="763" t="s">
        <v>133</v>
      </c>
      <c r="D208" s="763" t="s">
        <v>1383</v>
      </c>
      <c r="E208" s="767" t="s">
        <v>86</v>
      </c>
      <c r="F208" s="767" t="s">
        <v>1166</v>
      </c>
      <c r="G208" s="765" t="s">
        <v>1120</v>
      </c>
      <c r="H208" s="766" t="s">
        <v>2439</v>
      </c>
      <c r="I208" s="684"/>
      <c r="J208" s="616" t="s">
        <v>2432</v>
      </c>
      <c r="K208" s="617"/>
      <c r="L208" s="612"/>
      <c r="M208" s="613"/>
      <c r="N208" s="618" t="s">
        <v>1301</v>
      </c>
      <c r="O208" s="618" t="s">
        <v>1302</v>
      </c>
      <c r="P208" s="500" t="s">
        <v>1741</v>
      </c>
      <c r="Q208" s="1358"/>
      <c r="S208" s="599"/>
      <c r="T208" s="599"/>
      <c r="U208" s="599"/>
      <c r="V208" s="599"/>
      <c r="W208" s="599"/>
      <c r="X208" s="599"/>
      <c r="Y208" s="599"/>
      <c r="Z208" s="599"/>
      <c r="AA208" s="599"/>
    </row>
    <row r="209" spans="2:27" ht="12" customHeight="1">
      <c r="B209" s="763" t="s">
        <v>1417</v>
      </c>
      <c r="C209" s="763" t="s">
        <v>134</v>
      </c>
      <c r="D209" s="763" t="s">
        <v>1407</v>
      </c>
      <c r="E209" s="764" t="s">
        <v>3934</v>
      </c>
      <c r="F209" s="764" t="s">
        <v>1166</v>
      </c>
      <c r="G209" s="765" t="s">
        <v>845</v>
      </c>
      <c r="H209" s="766" t="s">
        <v>2439</v>
      </c>
      <c r="I209" s="683"/>
      <c r="J209" s="616" t="s">
        <v>2433</v>
      </c>
      <c r="K209" s="617"/>
      <c r="L209" s="500"/>
      <c r="M209" s="613"/>
      <c r="N209" s="618" t="s">
        <v>957</v>
      </c>
      <c r="O209" s="618" t="s">
        <v>2034</v>
      </c>
      <c r="P209" s="500" t="s">
        <v>1742</v>
      </c>
      <c r="Q209" s="1358"/>
      <c r="S209" s="599"/>
      <c r="T209" s="599"/>
      <c r="U209" s="599"/>
      <c r="V209" s="599"/>
      <c r="W209" s="599"/>
      <c r="X209" s="599"/>
      <c r="Y209" s="599"/>
      <c r="Z209" s="599"/>
      <c r="AA209" s="599"/>
    </row>
    <row r="210" spans="2:27" ht="12" customHeight="1">
      <c r="B210" s="763" t="s">
        <v>1418</v>
      </c>
      <c r="C210" s="763" t="s">
        <v>3153</v>
      </c>
      <c r="D210" s="763" t="s">
        <v>1307</v>
      </c>
      <c r="E210" s="764" t="s">
        <v>3154</v>
      </c>
      <c r="F210" s="764" t="s">
        <v>1165</v>
      </c>
      <c r="G210" s="765" t="s">
        <v>846</v>
      </c>
      <c r="H210" s="766" t="s">
        <v>2438</v>
      </c>
      <c r="I210" s="683"/>
      <c r="J210" s="616" t="s">
        <v>956</v>
      </c>
      <c r="K210" s="619"/>
      <c r="L210" s="612"/>
      <c r="M210" s="613"/>
      <c r="N210" s="618" t="s">
        <v>3956</v>
      </c>
      <c r="O210" s="618" t="s">
        <v>1385</v>
      </c>
      <c r="P210" s="500" t="s">
        <v>1743</v>
      </c>
      <c r="Q210" s="1358"/>
      <c r="S210" s="599"/>
      <c r="T210" s="599"/>
      <c r="U210" s="599"/>
      <c r="V210" s="599"/>
      <c r="W210" s="599"/>
      <c r="X210" s="599"/>
      <c r="Y210" s="599"/>
      <c r="Z210" s="599"/>
      <c r="AA210" s="599"/>
    </row>
    <row r="211" spans="2:27" ht="12" customHeight="1">
      <c r="B211" s="763" t="s">
        <v>1419</v>
      </c>
      <c r="C211" s="763" t="s">
        <v>3155</v>
      </c>
      <c r="D211" s="763" t="s">
        <v>1407</v>
      </c>
      <c r="E211" s="767" t="s">
        <v>86</v>
      </c>
      <c r="F211" s="767" t="s">
        <v>1166</v>
      </c>
      <c r="G211" s="765" t="s">
        <v>1120</v>
      </c>
      <c r="H211" s="766" t="s">
        <v>2439</v>
      </c>
      <c r="I211" s="684"/>
      <c r="J211" s="616" t="s">
        <v>958</v>
      </c>
      <c r="K211" s="619"/>
      <c r="L211" s="612"/>
      <c r="M211" s="613"/>
      <c r="N211" s="618" t="s">
        <v>1402</v>
      </c>
      <c r="O211" s="618" t="s">
        <v>1196</v>
      </c>
      <c r="P211" s="1359" t="s">
        <v>1006</v>
      </c>
      <c r="Q211" s="599"/>
      <c r="S211" s="599"/>
      <c r="T211" s="599"/>
      <c r="U211" s="599"/>
      <c r="V211" s="599"/>
      <c r="W211" s="599"/>
      <c r="X211" s="599"/>
      <c r="Y211" s="599"/>
      <c r="Z211" s="599"/>
      <c r="AA211" s="599"/>
    </row>
    <row r="212" spans="2:27" ht="12" customHeight="1">
      <c r="B212" s="763" t="s">
        <v>1420</v>
      </c>
      <c r="C212" s="763" t="s">
        <v>3156</v>
      </c>
      <c r="D212" s="763" t="s">
        <v>1307</v>
      </c>
      <c r="E212" s="764" t="s">
        <v>3157</v>
      </c>
      <c r="F212" s="764" t="s">
        <v>1165</v>
      </c>
      <c r="G212" s="765" t="s">
        <v>847</v>
      </c>
      <c r="H212" s="766" t="s">
        <v>2438</v>
      </c>
      <c r="I212" s="683"/>
      <c r="J212" s="616" t="s">
        <v>3957</v>
      </c>
      <c r="K212" s="619"/>
      <c r="L212" s="612"/>
      <c r="M212" s="613"/>
      <c r="N212" s="618" t="s">
        <v>3959</v>
      </c>
      <c r="O212" s="618" t="s">
        <v>3158</v>
      </c>
      <c r="P212" s="500" t="s">
        <v>1744</v>
      </c>
      <c r="Q212" s="1358"/>
      <c r="S212" s="599"/>
      <c r="T212" s="599"/>
      <c r="U212" s="599"/>
      <c r="V212" s="599"/>
      <c r="W212" s="599"/>
      <c r="X212" s="599"/>
      <c r="Y212" s="599"/>
      <c r="Z212" s="599"/>
      <c r="AA212" s="599"/>
    </row>
    <row r="213" spans="2:27" ht="12" customHeight="1">
      <c r="B213" s="763" t="s">
        <v>1421</v>
      </c>
      <c r="C213" s="763" t="s">
        <v>3158</v>
      </c>
      <c r="D213" s="763" t="s">
        <v>1383</v>
      </c>
      <c r="E213" s="767" t="s">
        <v>86</v>
      </c>
      <c r="F213" s="767" t="s">
        <v>1166</v>
      </c>
      <c r="G213" s="765" t="s">
        <v>1120</v>
      </c>
      <c r="H213" s="766" t="s">
        <v>2439</v>
      </c>
      <c r="I213" s="684"/>
      <c r="J213" s="616" t="s">
        <v>3958</v>
      </c>
      <c r="K213" s="619"/>
      <c r="L213" s="612"/>
      <c r="M213" s="613"/>
      <c r="N213" s="618" t="s">
        <v>2325</v>
      </c>
      <c r="O213" s="618" t="s">
        <v>2544</v>
      </c>
      <c r="P213" s="500" t="s">
        <v>1745</v>
      </c>
      <c r="Q213" s="1358"/>
      <c r="S213" s="599"/>
      <c r="T213" s="599"/>
      <c r="U213" s="599"/>
      <c r="V213" s="599"/>
      <c r="W213" s="599"/>
      <c r="X213" s="599"/>
      <c r="Y213" s="599"/>
      <c r="Z213" s="599"/>
      <c r="AA213" s="599"/>
    </row>
    <row r="214" spans="2:27" ht="12" customHeight="1">
      <c r="B214" s="763" t="s">
        <v>1422</v>
      </c>
      <c r="C214" s="763" t="s">
        <v>3159</v>
      </c>
      <c r="D214" s="763" t="s">
        <v>1307</v>
      </c>
      <c r="E214" s="764" t="s">
        <v>3160</v>
      </c>
      <c r="F214" s="764" t="s">
        <v>1165</v>
      </c>
      <c r="G214" s="765" t="s">
        <v>848</v>
      </c>
      <c r="H214" s="766" t="s">
        <v>2438</v>
      </c>
      <c r="I214" s="683"/>
      <c r="J214" s="616" t="s">
        <v>3960</v>
      </c>
      <c r="K214" s="619"/>
      <c r="L214" s="612"/>
      <c r="M214" s="613"/>
      <c r="N214" s="618" t="s">
        <v>3961</v>
      </c>
      <c r="O214" s="618" t="s">
        <v>426</v>
      </c>
      <c r="P214" s="500" t="s">
        <v>1746</v>
      </c>
      <c r="Q214" s="1358"/>
      <c r="S214" s="599"/>
      <c r="T214" s="599"/>
      <c r="U214" s="599"/>
      <c r="V214" s="599"/>
      <c r="W214" s="599"/>
      <c r="X214" s="599"/>
      <c r="Y214" s="599"/>
      <c r="Z214" s="599"/>
      <c r="AA214" s="599"/>
    </row>
    <row r="215" spans="2:27" ht="12" customHeight="1">
      <c r="B215" s="763" t="s">
        <v>1423</v>
      </c>
      <c r="C215" s="763" t="s">
        <v>3161</v>
      </c>
      <c r="D215" s="763" t="s">
        <v>1307</v>
      </c>
      <c r="E215" s="764" t="s">
        <v>3825</v>
      </c>
      <c r="F215" s="764" t="s">
        <v>1165</v>
      </c>
      <c r="G215" s="765" t="s">
        <v>849</v>
      </c>
      <c r="H215" s="766" t="s">
        <v>2438</v>
      </c>
      <c r="I215" s="683"/>
      <c r="J215" s="616" t="s">
        <v>2473</v>
      </c>
      <c r="K215" s="619"/>
      <c r="L215" s="612"/>
      <c r="M215" s="613"/>
      <c r="N215" s="618" t="s">
        <v>2474</v>
      </c>
      <c r="O215" s="618" t="s">
        <v>853</v>
      </c>
      <c r="P215" s="500" t="s">
        <v>1747</v>
      </c>
      <c r="Q215" s="1358"/>
      <c r="S215" s="599"/>
      <c r="T215" s="599"/>
      <c r="U215" s="599"/>
      <c r="V215" s="599"/>
      <c r="W215" s="599"/>
      <c r="X215" s="599"/>
      <c r="Y215" s="599"/>
      <c r="Z215" s="599"/>
      <c r="AA215" s="599"/>
    </row>
    <row r="216" spans="2:27" ht="12" customHeight="1">
      <c r="B216" s="763" t="s">
        <v>1424</v>
      </c>
      <c r="C216" s="763" t="s">
        <v>3826</v>
      </c>
      <c r="D216" s="763" t="s">
        <v>1407</v>
      </c>
      <c r="E216" s="767" t="s">
        <v>87</v>
      </c>
      <c r="F216" s="767" t="s">
        <v>1166</v>
      </c>
      <c r="G216" s="765" t="s">
        <v>1145</v>
      </c>
      <c r="H216" s="766" t="s">
        <v>2439</v>
      </c>
      <c r="I216" s="684"/>
      <c r="J216" s="616" t="s">
        <v>2475</v>
      </c>
      <c r="K216" s="619"/>
      <c r="L216" s="612"/>
      <c r="M216" s="613"/>
      <c r="N216" s="618" t="s">
        <v>2476</v>
      </c>
      <c r="O216" s="618" t="s">
        <v>1875</v>
      </c>
      <c r="P216" s="500" t="s">
        <v>1748</v>
      </c>
      <c r="Q216" s="1358"/>
      <c r="S216" s="599"/>
      <c r="T216" s="599"/>
      <c r="U216" s="599"/>
      <c r="V216" s="599"/>
      <c r="W216" s="599"/>
      <c r="X216" s="599"/>
      <c r="Y216" s="599"/>
      <c r="Z216" s="599"/>
      <c r="AA216" s="599"/>
    </row>
    <row r="217" spans="2:27" ht="12" customHeight="1">
      <c r="B217" s="763" t="s">
        <v>1425</v>
      </c>
      <c r="C217" s="763" t="s">
        <v>3827</v>
      </c>
      <c r="D217" s="763" t="s">
        <v>1307</v>
      </c>
      <c r="E217" s="764" t="s">
        <v>3828</v>
      </c>
      <c r="F217" s="764" t="s">
        <v>1165</v>
      </c>
      <c r="G217" s="765" t="s">
        <v>850</v>
      </c>
      <c r="H217" s="766" t="s">
        <v>2438</v>
      </c>
      <c r="I217" s="683"/>
      <c r="J217" s="616" t="s">
        <v>2477</v>
      </c>
      <c r="K217" s="619"/>
      <c r="L217" s="612"/>
      <c r="M217" s="613"/>
      <c r="N217" s="618" t="s">
        <v>2478</v>
      </c>
      <c r="O217" s="618" t="s">
        <v>2034</v>
      </c>
      <c r="P217" s="500" t="s">
        <v>1749</v>
      </c>
      <c r="Q217" s="1358"/>
      <c r="S217" s="599"/>
      <c r="T217" s="599"/>
      <c r="U217" s="599"/>
      <c r="V217" s="599"/>
      <c r="W217" s="599"/>
      <c r="X217" s="599"/>
      <c r="Y217" s="599"/>
      <c r="Z217" s="599"/>
      <c r="AA217" s="599"/>
    </row>
    <row r="218" spans="2:27" ht="12" customHeight="1">
      <c r="B218" s="763" t="s">
        <v>1426</v>
      </c>
      <c r="C218" s="763" t="s">
        <v>3829</v>
      </c>
      <c r="D218" s="763" t="s">
        <v>1407</v>
      </c>
      <c r="E218" s="767" t="s">
        <v>86</v>
      </c>
      <c r="F218" s="767" t="s">
        <v>1166</v>
      </c>
      <c r="G218" s="765" t="s">
        <v>1120</v>
      </c>
      <c r="H218" s="766" t="s">
        <v>2439</v>
      </c>
      <c r="I218" s="684"/>
      <c r="J218" s="616" t="s">
        <v>2479</v>
      </c>
      <c r="K218" s="619"/>
      <c r="L218" s="612"/>
      <c r="M218" s="613"/>
      <c r="N218" s="618" t="s">
        <v>2114</v>
      </c>
      <c r="O218" s="618" t="s">
        <v>1637</v>
      </c>
      <c r="P218" s="500" t="s">
        <v>1750</v>
      </c>
      <c r="Q218" s="1358"/>
      <c r="S218" s="599"/>
      <c r="T218" s="599"/>
      <c r="U218" s="599"/>
      <c r="V218" s="599"/>
      <c r="W218" s="599"/>
      <c r="X218" s="599"/>
      <c r="Y218" s="599"/>
      <c r="Z218" s="599"/>
      <c r="AA218" s="599"/>
    </row>
    <row r="219" spans="2:27" ht="12" customHeight="1">
      <c r="B219" s="763" t="s">
        <v>1427</v>
      </c>
      <c r="C219" s="763" t="s">
        <v>3830</v>
      </c>
      <c r="D219" s="763" t="s">
        <v>1407</v>
      </c>
      <c r="E219" s="767" t="s">
        <v>1392</v>
      </c>
      <c r="F219" s="767" t="s">
        <v>1166</v>
      </c>
      <c r="G219" s="765" t="s">
        <v>1123</v>
      </c>
      <c r="H219" s="766" t="s">
        <v>2439</v>
      </c>
      <c r="I219" s="684"/>
      <c r="J219" s="616" t="s">
        <v>3847</v>
      </c>
      <c r="K219" s="619"/>
      <c r="L219" s="612"/>
      <c r="M219" s="613"/>
      <c r="N219" s="618" t="s">
        <v>3848</v>
      </c>
      <c r="O219" s="618" t="s">
        <v>133</v>
      </c>
      <c r="P219" s="500" t="s">
        <v>1751</v>
      </c>
      <c r="Q219" s="1358"/>
      <c r="S219" s="599"/>
      <c r="T219" s="599"/>
      <c r="U219" s="599"/>
      <c r="V219" s="599"/>
      <c r="W219" s="599"/>
      <c r="X219" s="599"/>
      <c r="Y219" s="599"/>
      <c r="Z219" s="599"/>
      <c r="AA219" s="599"/>
    </row>
    <row r="220" spans="2:27" ht="12" customHeight="1">
      <c r="B220" s="763" t="s">
        <v>1428</v>
      </c>
      <c r="C220" s="763" t="s">
        <v>3831</v>
      </c>
      <c r="D220" s="763" t="s">
        <v>1307</v>
      </c>
      <c r="E220" s="764" t="s">
        <v>2031</v>
      </c>
      <c r="F220" s="764" t="s">
        <v>1165</v>
      </c>
      <c r="G220" s="765" t="s">
        <v>851</v>
      </c>
      <c r="H220" s="766" t="s">
        <v>2438</v>
      </c>
      <c r="I220" s="683"/>
      <c r="J220" s="616" t="s">
        <v>1050</v>
      </c>
      <c r="K220" s="619"/>
      <c r="L220" s="612"/>
      <c r="M220" s="613"/>
      <c r="N220" s="618" t="s">
        <v>1051</v>
      </c>
      <c r="O220" s="618" t="s">
        <v>561</v>
      </c>
      <c r="P220" s="500" t="s">
        <v>1752</v>
      </c>
      <c r="Q220" s="1358"/>
      <c r="S220" s="599"/>
      <c r="T220" s="599"/>
      <c r="U220" s="599"/>
      <c r="V220" s="599"/>
      <c r="W220" s="599"/>
      <c r="X220" s="599"/>
      <c r="Y220" s="599"/>
      <c r="Z220" s="599"/>
      <c r="AA220" s="599"/>
    </row>
    <row r="221" spans="2:27" ht="12" customHeight="1">
      <c r="B221" s="763" t="s">
        <v>1429</v>
      </c>
      <c r="C221" s="763" t="s">
        <v>2032</v>
      </c>
      <c r="D221" s="763" t="s">
        <v>1383</v>
      </c>
      <c r="E221" s="767" t="s">
        <v>3483</v>
      </c>
      <c r="F221" s="767" t="s">
        <v>1166</v>
      </c>
      <c r="G221" s="765" t="s">
        <v>3684</v>
      </c>
      <c r="H221" s="766" t="s">
        <v>2439</v>
      </c>
      <c r="I221" s="684"/>
      <c r="J221" s="616" t="s">
        <v>2329</v>
      </c>
      <c r="K221" s="619"/>
      <c r="L221" s="612"/>
      <c r="M221" s="613"/>
      <c r="N221" s="618" t="s">
        <v>1386</v>
      </c>
      <c r="O221" s="618" t="s">
        <v>426</v>
      </c>
      <c r="P221" s="500" t="s">
        <v>1753</v>
      </c>
      <c r="Q221" s="1358"/>
      <c r="S221" s="599"/>
      <c r="T221" s="599"/>
      <c r="U221" s="599"/>
      <c r="V221" s="599"/>
      <c r="W221" s="599"/>
      <c r="X221" s="599"/>
      <c r="Y221" s="599"/>
      <c r="Z221" s="599"/>
      <c r="AA221" s="599"/>
    </row>
    <row r="222" spans="2:27" ht="12" customHeight="1">
      <c r="B222" s="763" t="s">
        <v>1430</v>
      </c>
      <c r="C222" s="763" t="s">
        <v>2033</v>
      </c>
      <c r="D222" s="763" t="s">
        <v>1383</v>
      </c>
      <c r="E222" s="767" t="s">
        <v>86</v>
      </c>
      <c r="F222" s="767" t="s">
        <v>1166</v>
      </c>
      <c r="G222" s="765" t="s">
        <v>1120</v>
      </c>
      <c r="H222" s="766" t="s">
        <v>2439</v>
      </c>
      <c r="I222" s="684"/>
      <c r="J222" s="616" t="s">
        <v>1522</v>
      </c>
      <c r="K222" s="619"/>
      <c r="L222" s="612"/>
      <c r="M222" s="613"/>
      <c r="N222" s="618" t="s">
        <v>1523</v>
      </c>
      <c r="O222" s="618" t="s">
        <v>1991</v>
      </c>
      <c r="P222" s="500" t="s">
        <v>1754</v>
      </c>
      <c r="Q222" s="1358"/>
      <c r="S222" s="599"/>
      <c r="T222" s="599"/>
      <c r="U222" s="599"/>
      <c r="V222" s="599"/>
      <c r="W222" s="599"/>
      <c r="X222" s="599"/>
      <c r="Y222" s="599"/>
      <c r="Z222" s="599"/>
      <c r="AA222" s="599"/>
    </row>
    <row r="223" spans="2:27" ht="12" customHeight="1">
      <c r="B223" s="763" t="s">
        <v>1431</v>
      </c>
      <c r="C223" s="763" t="s">
        <v>2034</v>
      </c>
      <c r="D223" s="763" t="s">
        <v>1307</v>
      </c>
      <c r="E223" s="764" t="s">
        <v>2035</v>
      </c>
      <c r="F223" s="764" t="s">
        <v>1165</v>
      </c>
      <c r="G223" s="765" t="s">
        <v>852</v>
      </c>
      <c r="H223" s="766" t="s">
        <v>2438</v>
      </c>
      <c r="I223" s="683"/>
      <c r="J223" s="616" t="s">
        <v>2995</v>
      </c>
      <c r="K223" s="619"/>
      <c r="L223" s="612"/>
      <c r="M223" s="613"/>
      <c r="N223" s="618" t="s">
        <v>2996</v>
      </c>
      <c r="O223" s="618" t="s">
        <v>1306</v>
      </c>
      <c r="P223" s="500" t="s">
        <v>1755</v>
      </c>
      <c r="Q223" s="1358"/>
      <c r="S223" s="599"/>
      <c r="T223" s="599"/>
      <c r="U223" s="599"/>
      <c r="V223" s="599"/>
      <c r="W223" s="599"/>
      <c r="X223" s="599"/>
      <c r="Y223" s="599"/>
      <c r="Z223" s="599"/>
      <c r="AA223" s="599"/>
    </row>
    <row r="224" spans="2:27" ht="12" customHeight="1">
      <c r="B224" s="763" t="s">
        <v>1432</v>
      </c>
      <c r="C224" s="763" t="s">
        <v>2036</v>
      </c>
      <c r="D224" s="763" t="s">
        <v>1407</v>
      </c>
      <c r="E224" s="767" t="s">
        <v>86</v>
      </c>
      <c r="F224" s="767" t="s">
        <v>1166</v>
      </c>
      <c r="G224" s="765" t="s">
        <v>1120</v>
      </c>
      <c r="H224" s="766" t="s">
        <v>2439</v>
      </c>
      <c r="I224" s="684"/>
      <c r="J224" s="616" t="s">
        <v>2997</v>
      </c>
      <c r="K224" s="619"/>
      <c r="L224" s="612"/>
      <c r="M224" s="613"/>
      <c r="N224" s="618" t="s">
        <v>2998</v>
      </c>
      <c r="O224" s="618" t="s">
        <v>3616</v>
      </c>
      <c r="P224" s="500" t="s">
        <v>1756</v>
      </c>
      <c r="Q224" s="1358"/>
      <c r="S224" s="599"/>
      <c r="T224" s="599"/>
      <c r="U224" s="599"/>
      <c r="V224" s="599"/>
      <c r="W224" s="599"/>
      <c r="X224" s="599"/>
      <c r="Y224" s="599"/>
      <c r="Z224" s="599"/>
      <c r="AA224" s="599"/>
    </row>
    <row r="225" spans="2:27" ht="12" customHeight="1">
      <c r="B225" s="763" t="s">
        <v>1433</v>
      </c>
      <c r="C225" s="763" t="s">
        <v>2037</v>
      </c>
      <c r="D225" s="763" t="s">
        <v>1307</v>
      </c>
      <c r="E225" s="764" t="s">
        <v>3012</v>
      </c>
      <c r="F225" s="764" t="s">
        <v>1165</v>
      </c>
      <c r="G225" s="765" t="s">
        <v>3894</v>
      </c>
      <c r="H225" s="766" t="s">
        <v>2438</v>
      </c>
      <c r="I225" s="683"/>
      <c r="J225" s="616" t="s">
        <v>3611</v>
      </c>
      <c r="K225" s="619"/>
      <c r="L225" s="612"/>
      <c r="M225" s="613"/>
      <c r="N225" s="500" t="s">
        <v>3123</v>
      </c>
      <c r="O225" s="500" t="s">
        <v>853</v>
      </c>
      <c r="P225" s="1360" t="s">
        <v>2509</v>
      </c>
      <c r="Q225" s="1358"/>
      <c r="R225" s="435"/>
      <c r="S225" s="500"/>
      <c r="T225" s="599"/>
      <c r="U225" s="599"/>
      <c r="V225" s="599"/>
      <c r="W225" s="599"/>
      <c r="X225" s="599"/>
      <c r="Y225" s="599"/>
      <c r="Z225" s="599"/>
      <c r="AA225" s="599"/>
    </row>
    <row r="226" spans="2:27" ht="12" customHeight="1">
      <c r="B226" s="763" t="s">
        <v>1434</v>
      </c>
      <c r="C226" s="763" t="s">
        <v>3013</v>
      </c>
      <c r="D226" s="763" t="s">
        <v>1307</v>
      </c>
      <c r="E226" s="764" t="s">
        <v>3014</v>
      </c>
      <c r="F226" s="764" t="s">
        <v>1165</v>
      </c>
      <c r="G226" s="765" t="s">
        <v>3895</v>
      </c>
      <c r="H226" s="766" t="s">
        <v>2438</v>
      </c>
      <c r="I226" s="683"/>
      <c r="J226" s="616" t="s">
        <v>3643</v>
      </c>
      <c r="K226" s="619"/>
      <c r="L226" s="612"/>
      <c r="M226" s="613"/>
      <c r="N226" s="618" t="s">
        <v>3612</v>
      </c>
      <c r="O226" s="618" t="s">
        <v>1636</v>
      </c>
      <c r="P226" s="500" t="s">
        <v>1757</v>
      </c>
      <c r="Q226" s="1358"/>
      <c r="R226" s="435"/>
      <c r="S226" s="500"/>
      <c r="T226" s="599"/>
      <c r="U226" s="599"/>
      <c r="V226" s="599"/>
      <c r="W226" s="599"/>
      <c r="X226" s="599"/>
      <c r="Y226" s="599"/>
      <c r="Z226" s="599"/>
      <c r="AA226" s="599"/>
    </row>
    <row r="227" spans="2:27" ht="12" customHeight="1">
      <c r="B227" s="763" t="s">
        <v>1435</v>
      </c>
      <c r="C227" s="763" t="s">
        <v>3015</v>
      </c>
      <c r="D227" s="763" t="s">
        <v>1307</v>
      </c>
      <c r="E227" s="767" t="s">
        <v>2113</v>
      </c>
      <c r="F227" s="767" t="s">
        <v>1166</v>
      </c>
      <c r="G227" s="765" t="s">
        <v>1257</v>
      </c>
      <c r="H227" s="766" t="s">
        <v>2439</v>
      </c>
      <c r="I227" s="684"/>
      <c r="J227" s="616" t="s">
        <v>2104</v>
      </c>
      <c r="K227" s="619"/>
      <c r="L227" s="612"/>
      <c r="M227" s="613"/>
      <c r="N227" s="618" t="s">
        <v>2079</v>
      </c>
      <c r="O227" s="618" t="s">
        <v>3161</v>
      </c>
      <c r="P227" s="500" t="s">
        <v>1758</v>
      </c>
      <c r="Q227" s="1358"/>
      <c r="R227" s="435"/>
      <c r="S227" s="500"/>
      <c r="T227" s="599"/>
      <c r="U227" s="599"/>
      <c r="V227" s="599"/>
      <c r="W227" s="599"/>
      <c r="X227" s="599"/>
      <c r="Y227" s="599"/>
      <c r="Z227" s="599"/>
      <c r="AA227" s="599"/>
    </row>
    <row r="228" spans="2:27" ht="12" customHeight="1">
      <c r="B228" s="763" t="s">
        <v>1436</v>
      </c>
      <c r="C228" s="763" t="s">
        <v>182</v>
      </c>
      <c r="D228" s="763" t="s">
        <v>1407</v>
      </c>
      <c r="E228" s="767" t="s">
        <v>86</v>
      </c>
      <c r="F228" s="767" t="s">
        <v>1166</v>
      </c>
      <c r="G228" s="765" t="s">
        <v>1120</v>
      </c>
      <c r="H228" s="766" t="s">
        <v>2439</v>
      </c>
      <c r="I228" s="684"/>
      <c r="J228" s="616" t="s">
        <v>2106</v>
      </c>
      <c r="K228" s="619"/>
      <c r="L228" s="612"/>
      <c r="M228" s="613"/>
      <c r="N228" s="618" t="s">
        <v>2105</v>
      </c>
      <c r="O228" s="618" t="s">
        <v>1385</v>
      </c>
      <c r="P228" s="500" t="s">
        <v>1759</v>
      </c>
      <c r="Q228" s="1358"/>
      <c r="R228" s="435"/>
      <c r="S228" s="500"/>
      <c r="T228" s="599"/>
      <c r="U228" s="599"/>
      <c r="V228" s="599"/>
      <c r="W228" s="599"/>
      <c r="X228" s="599"/>
      <c r="Y228" s="599"/>
      <c r="Z228" s="599"/>
      <c r="AA228" s="599"/>
    </row>
    <row r="229" spans="2:27" ht="12" customHeight="1">
      <c r="B229" s="763" t="s">
        <v>1437</v>
      </c>
      <c r="C229" s="763" t="s">
        <v>183</v>
      </c>
      <c r="D229" s="763" t="s">
        <v>1307</v>
      </c>
      <c r="E229" s="764" t="s">
        <v>184</v>
      </c>
      <c r="F229" s="764" t="s">
        <v>1165</v>
      </c>
      <c r="G229" s="765" t="s">
        <v>3896</v>
      </c>
      <c r="H229" s="766" t="s">
        <v>2438</v>
      </c>
      <c r="I229" s="683"/>
      <c r="J229" s="616" t="s">
        <v>2527</v>
      </c>
      <c r="K229" s="619"/>
      <c r="L229" s="612"/>
      <c r="M229" s="613"/>
      <c r="N229" s="618" t="s">
        <v>2107</v>
      </c>
      <c r="O229" s="618" t="s">
        <v>2335</v>
      </c>
      <c r="P229" s="500" t="s">
        <v>1760</v>
      </c>
      <c r="Q229" s="599"/>
      <c r="S229" s="599"/>
      <c r="T229" s="599"/>
      <c r="U229" s="599"/>
      <c r="V229" s="599"/>
      <c r="W229" s="599"/>
      <c r="X229" s="599"/>
      <c r="Y229" s="599"/>
      <c r="Z229" s="599"/>
      <c r="AA229" s="599"/>
    </row>
    <row r="230" spans="2:27" ht="12" customHeight="1">
      <c r="B230" s="763" t="s">
        <v>1438</v>
      </c>
      <c r="C230" s="763" t="s">
        <v>185</v>
      </c>
      <c r="D230" s="763" t="s">
        <v>1307</v>
      </c>
      <c r="E230" s="764" t="s">
        <v>3700</v>
      </c>
      <c r="F230" s="764" t="s">
        <v>1166</v>
      </c>
      <c r="G230" s="765" t="s">
        <v>1126</v>
      </c>
      <c r="H230" s="766" t="s">
        <v>2439</v>
      </c>
      <c r="I230" s="683"/>
      <c r="J230" s="616" t="s">
        <v>2528</v>
      </c>
      <c r="K230" s="619"/>
      <c r="L230" s="612"/>
      <c r="M230" s="613"/>
      <c r="N230" s="618" t="s">
        <v>1007</v>
      </c>
      <c r="O230" s="618" t="s">
        <v>1134</v>
      </c>
      <c r="P230" s="1359" t="s">
        <v>1006</v>
      </c>
      <c r="Q230" s="599"/>
      <c r="S230" s="599"/>
      <c r="T230" s="599"/>
      <c r="U230" s="599"/>
      <c r="V230" s="599"/>
      <c r="W230" s="599"/>
      <c r="X230" s="599"/>
      <c r="Y230" s="599"/>
      <c r="Z230" s="599"/>
      <c r="AA230" s="599"/>
    </row>
    <row r="231" spans="2:27" ht="12" customHeight="1">
      <c r="B231" s="763" t="s">
        <v>1439</v>
      </c>
      <c r="C231" s="763" t="s">
        <v>186</v>
      </c>
      <c r="D231" s="763" t="s">
        <v>1307</v>
      </c>
      <c r="E231" s="767" t="s">
        <v>1398</v>
      </c>
      <c r="F231" s="767" t="s">
        <v>1166</v>
      </c>
      <c r="G231" s="765" t="s">
        <v>3409</v>
      </c>
      <c r="H231" s="766" t="s">
        <v>2439</v>
      </c>
      <c r="I231" s="684"/>
      <c r="J231" s="616" t="s">
        <v>2939</v>
      </c>
      <c r="K231" s="617"/>
      <c r="L231" s="612"/>
      <c r="M231" s="613"/>
      <c r="N231" s="618" t="s">
        <v>2529</v>
      </c>
      <c r="O231" s="618" t="s">
        <v>1136</v>
      </c>
      <c r="P231" s="500" t="s">
        <v>1761</v>
      </c>
      <c r="Q231" s="1358"/>
      <c r="S231" s="599"/>
      <c r="T231" s="599"/>
      <c r="U231" s="599"/>
      <c r="V231" s="599"/>
      <c r="W231" s="599"/>
      <c r="X231" s="599"/>
      <c r="Y231" s="599"/>
      <c r="Z231" s="599"/>
      <c r="AA231" s="599"/>
    </row>
    <row r="232" spans="2:27" ht="12" customHeight="1">
      <c r="B232" s="768"/>
      <c r="C232" s="763" t="s">
        <v>187</v>
      </c>
      <c r="D232" s="763" t="s">
        <v>1407</v>
      </c>
      <c r="E232" s="764" t="s">
        <v>188</v>
      </c>
      <c r="F232" s="764" t="s">
        <v>1165</v>
      </c>
      <c r="G232" s="765" t="s">
        <v>1408</v>
      </c>
      <c r="H232" s="766" t="s">
        <v>2438</v>
      </c>
      <c r="I232" s="683"/>
      <c r="J232" s="616" t="s">
        <v>2941</v>
      </c>
      <c r="K232" s="617"/>
      <c r="L232" s="612"/>
      <c r="M232" s="613"/>
      <c r="N232" s="618" t="s">
        <v>2940</v>
      </c>
      <c r="O232" s="618" t="s">
        <v>1181</v>
      </c>
      <c r="P232" s="500" t="s">
        <v>1762</v>
      </c>
      <c r="Q232" s="1358"/>
      <c r="S232" s="599"/>
      <c r="T232" s="599"/>
      <c r="U232" s="599"/>
      <c r="V232" s="599"/>
      <c r="W232" s="599"/>
      <c r="X232" s="599"/>
      <c r="Y232" s="599"/>
      <c r="Z232" s="599"/>
      <c r="AA232" s="599"/>
    </row>
    <row r="233" spans="2:27" ht="12" customHeight="1">
      <c r="B233" s="768"/>
      <c r="C233" s="763" t="s">
        <v>3614</v>
      </c>
      <c r="D233" s="763" t="s">
        <v>1307</v>
      </c>
      <c r="E233" s="764" t="s">
        <v>3615</v>
      </c>
      <c r="F233" s="764" t="s">
        <v>1165</v>
      </c>
      <c r="G233" s="765" t="s">
        <v>1409</v>
      </c>
      <c r="H233" s="766" t="s">
        <v>2438</v>
      </c>
      <c r="I233" s="683"/>
      <c r="J233" s="616" t="s">
        <v>2943</v>
      </c>
      <c r="K233" s="617"/>
      <c r="L233" s="612"/>
      <c r="M233" s="613"/>
      <c r="N233" s="500" t="s">
        <v>3124</v>
      </c>
      <c r="O233" s="500" t="s">
        <v>417</v>
      </c>
      <c r="P233" s="1360" t="s">
        <v>2509</v>
      </c>
      <c r="Q233" s="1358"/>
      <c r="S233" s="599"/>
      <c r="T233" s="599"/>
      <c r="U233" s="599"/>
      <c r="V233" s="599"/>
      <c r="W233" s="599"/>
      <c r="X233" s="599"/>
      <c r="Y233" s="599"/>
      <c r="Z233" s="599"/>
      <c r="AA233" s="599"/>
    </row>
    <row r="234" spans="2:27" ht="12" customHeight="1">
      <c r="B234" s="768"/>
      <c r="C234" s="763" t="s">
        <v>3616</v>
      </c>
      <c r="D234" s="763" t="s">
        <v>1307</v>
      </c>
      <c r="E234" s="764" t="s">
        <v>886</v>
      </c>
      <c r="F234" s="764" t="s">
        <v>1165</v>
      </c>
      <c r="G234" s="765" t="s">
        <v>1410</v>
      </c>
      <c r="H234" s="766" t="s">
        <v>2438</v>
      </c>
      <c r="I234" s="683"/>
      <c r="J234" s="616" t="s">
        <v>2945</v>
      </c>
      <c r="K234" s="617"/>
      <c r="L234" s="612"/>
      <c r="M234" s="613"/>
      <c r="N234" s="618" t="s">
        <v>2942</v>
      </c>
      <c r="O234" s="618" t="s">
        <v>2231</v>
      </c>
      <c r="P234" s="500" t="s">
        <v>1763</v>
      </c>
      <c r="Q234" s="1358"/>
      <c r="S234" s="599"/>
      <c r="T234" s="599"/>
      <c r="U234" s="599"/>
      <c r="V234" s="599"/>
      <c r="W234" s="599"/>
      <c r="X234" s="599"/>
      <c r="Y234" s="599"/>
      <c r="Z234" s="599"/>
      <c r="AA234" s="599"/>
    </row>
    <row r="235" spans="2:27" ht="12" customHeight="1">
      <c r="B235" s="768"/>
      <c r="C235" s="763" t="s">
        <v>2559</v>
      </c>
      <c r="D235" s="763" t="s">
        <v>1383</v>
      </c>
      <c r="E235" s="764" t="s">
        <v>2560</v>
      </c>
      <c r="F235" s="764" t="s">
        <v>1165</v>
      </c>
      <c r="G235" s="765" t="s">
        <v>1411</v>
      </c>
      <c r="H235" s="766" t="s">
        <v>2438</v>
      </c>
      <c r="I235" s="683"/>
      <c r="J235" s="616" t="s">
        <v>2946</v>
      </c>
      <c r="K235" s="617"/>
      <c r="L235" s="612"/>
      <c r="M235" s="613"/>
      <c r="N235" s="618" t="s">
        <v>2944</v>
      </c>
      <c r="O235" s="618" t="s">
        <v>183</v>
      </c>
      <c r="P235" s="500" t="s">
        <v>1764</v>
      </c>
      <c r="Q235" s="1358"/>
      <c r="S235" s="599"/>
      <c r="T235" s="599"/>
      <c r="U235" s="599"/>
      <c r="V235" s="599"/>
      <c r="W235" s="599"/>
      <c r="X235" s="599"/>
      <c r="Y235" s="599"/>
      <c r="Z235" s="599"/>
      <c r="AA235" s="599"/>
    </row>
    <row r="236" spans="2:27" ht="12" customHeight="1">
      <c r="B236" s="768"/>
      <c r="C236" s="763" t="s">
        <v>2561</v>
      </c>
      <c r="D236" s="763" t="s">
        <v>1407</v>
      </c>
      <c r="E236" s="767" t="s">
        <v>86</v>
      </c>
      <c r="F236" s="767" t="s">
        <v>1166</v>
      </c>
      <c r="G236" s="765" t="s">
        <v>1120</v>
      </c>
      <c r="H236" s="766" t="s">
        <v>2439</v>
      </c>
      <c r="I236" s="684"/>
      <c r="J236" s="616" t="s">
        <v>2987</v>
      </c>
      <c r="K236" s="617"/>
      <c r="L236" s="612"/>
      <c r="M236" s="613"/>
      <c r="N236" s="618" t="s">
        <v>2947</v>
      </c>
      <c r="O236" s="618" t="s">
        <v>128</v>
      </c>
      <c r="P236" s="500" t="s">
        <v>1765</v>
      </c>
      <c r="Q236" s="1358"/>
      <c r="S236" s="599"/>
      <c r="T236" s="599"/>
      <c r="U236" s="599"/>
      <c r="V236" s="599"/>
      <c r="W236" s="599"/>
      <c r="X236" s="599"/>
      <c r="Y236" s="599"/>
      <c r="Z236" s="599"/>
      <c r="AA236" s="599"/>
    </row>
    <row r="237" spans="2:27" ht="12" customHeight="1">
      <c r="B237" s="768"/>
      <c r="C237" s="763" t="s">
        <v>2562</v>
      </c>
      <c r="D237" s="763" t="s">
        <v>1383</v>
      </c>
      <c r="E237" s="767" t="s">
        <v>3642</v>
      </c>
      <c r="F237" s="767" t="s">
        <v>1166</v>
      </c>
      <c r="G237" s="765" t="s">
        <v>1412</v>
      </c>
      <c r="H237" s="766" t="s">
        <v>2439</v>
      </c>
      <c r="I237" s="684"/>
      <c r="J237" s="616" t="s">
        <v>2621</v>
      </c>
      <c r="K237" s="617"/>
      <c r="L237" s="612"/>
      <c r="M237" s="613"/>
      <c r="N237" s="618" t="s">
        <v>2988</v>
      </c>
      <c r="O237" s="618" t="s">
        <v>2559</v>
      </c>
      <c r="P237" s="500" t="s">
        <v>1766</v>
      </c>
      <c r="Q237" s="1358"/>
      <c r="S237" s="599"/>
      <c r="T237" s="599"/>
      <c r="U237" s="599"/>
      <c r="V237" s="599"/>
      <c r="W237" s="599"/>
      <c r="X237" s="599"/>
      <c r="Y237" s="599"/>
      <c r="Z237" s="599"/>
      <c r="AA237" s="599"/>
    </row>
    <row r="238" spans="2:27" ht="12" customHeight="1">
      <c r="B238" s="768"/>
      <c r="C238" s="763" t="s">
        <v>2563</v>
      </c>
      <c r="D238" s="763" t="s">
        <v>1383</v>
      </c>
      <c r="E238" s="767" t="s">
        <v>86</v>
      </c>
      <c r="F238" s="767" t="s">
        <v>1166</v>
      </c>
      <c r="G238" s="765" t="s">
        <v>1120</v>
      </c>
      <c r="H238" s="766" t="s">
        <v>2439</v>
      </c>
      <c r="I238" s="684"/>
      <c r="J238" s="616" t="s">
        <v>2623</v>
      </c>
      <c r="K238" s="617"/>
      <c r="L238" s="612"/>
      <c r="M238" s="613"/>
      <c r="N238" s="618" t="s">
        <v>2622</v>
      </c>
      <c r="O238" s="618" t="s">
        <v>3153</v>
      </c>
      <c r="P238" s="500" t="s">
        <v>1767</v>
      </c>
      <c r="Q238" s="1358"/>
      <c r="S238" s="599"/>
      <c r="T238" s="599"/>
      <c r="U238" s="599"/>
      <c r="V238" s="599"/>
      <c r="W238" s="599"/>
      <c r="X238" s="599"/>
      <c r="Y238" s="599"/>
      <c r="Z238" s="599"/>
      <c r="AA238" s="599"/>
    </row>
    <row r="239" spans="2:27" ht="12" customHeight="1">
      <c r="B239" s="768"/>
      <c r="C239" s="763" t="s">
        <v>2564</v>
      </c>
      <c r="D239" s="763" t="s">
        <v>1383</v>
      </c>
      <c r="E239" s="767" t="s">
        <v>2565</v>
      </c>
      <c r="F239" s="767" t="s">
        <v>1165</v>
      </c>
      <c r="G239" s="765" t="s">
        <v>1413</v>
      </c>
      <c r="H239" s="766" t="s">
        <v>2438</v>
      </c>
      <c r="I239" s="684"/>
      <c r="J239" s="616" t="s">
        <v>2625</v>
      </c>
      <c r="K239" s="617"/>
      <c r="L239" s="612"/>
      <c r="M239" s="613"/>
      <c r="N239" s="618" t="s">
        <v>2624</v>
      </c>
      <c r="O239" s="618" t="s">
        <v>1196</v>
      </c>
      <c r="P239" s="500" t="s">
        <v>1768</v>
      </c>
      <c r="Q239" s="1358"/>
      <c r="S239" s="599"/>
      <c r="T239" s="599"/>
      <c r="U239" s="599"/>
      <c r="V239" s="599"/>
      <c r="W239" s="599"/>
      <c r="X239" s="599"/>
      <c r="Y239" s="599"/>
      <c r="Z239" s="599"/>
      <c r="AA239" s="599"/>
    </row>
    <row r="240" spans="2:27" ht="12" customHeight="1">
      <c r="B240" s="768"/>
      <c r="C240" s="763" t="s">
        <v>1302</v>
      </c>
      <c r="D240" s="763" t="s">
        <v>1407</v>
      </c>
      <c r="E240" s="767" t="s">
        <v>86</v>
      </c>
      <c r="F240" s="767" t="s">
        <v>1166</v>
      </c>
      <c r="G240" s="765" t="s">
        <v>1120</v>
      </c>
      <c r="H240" s="766" t="s">
        <v>2439</v>
      </c>
      <c r="I240" s="684"/>
      <c r="J240" s="616" t="s">
        <v>2627</v>
      </c>
      <c r="K240" s="617"/>
      <c r="L240" s="612"/>
      <c r="M240" s="613"/>
      <c r="N240" s="618" t="s">
        <v>2626</v>
      </c>
      <c r="O240" s="618" t="s">
        <v>1136</v>
      </c>
      <c r="P240" s="500" t="s">
        <v>1769</v>
      </c>
      <c r="Q240" s="1358"/>
      <c r="S240" s="599"/>
      <c r="T240" s="599"/>
      <c r="U240" s="599"/>
      <c r="V240" s="599"/>
      <c r="W240" s="599"/>
      <c r="X240" s="599"/>
      <c r="Y240" s="599"/>
      <c r="Z240" s="599"/>
      <c r="AA240" s="599"/>
    </row>
    <row r="241" spans="2:27" ht="12" customHeight="1">
      <c r="B241" s="768"/>
      <c r="C241" s="763" t="s">
        <v>2566</v>
      </c>
      <c r="D241" s="763" t="s">
        <v>1383</v>
      </c>
      <c r="E241" s="764" t="s">
        <v>2567</v>
      </c>
      <c r="F241" s="764" t="s">
        <v>1165</v>
      </c>
      <c r="G241" s="765" t="s">
        <v>212</v>
      </c>
      <c r="H241" s="766" t="s">
        <v>2438</v>
      </c>
      <c r="I241" s="683"/>
      <c r="J241" s="616" t="s">
        <v>2978</v>
      </c>
      <c r="K241" s="617"/>
      <c r="L241" s="612"/>
      <c r="M241" s="613"/>
      <c r="N241" s="500" t="s">
        <v>3125</v>
      </c>
      <c r="O241" s="500" t="s">
        <v>3155</v>
      </c>
      <c r="P241" s="1360" t="s">
        <v>2509</v>
      </c>
      <c r="Q241" s="1358"/>
      <c r="S241" s="599"/>
      <c r="T241" s="599"/>
      <c r="U241" s="599"/>
      <c r="V241" s="599"/>
      <c r="W241" s="599"/>
      <c r="X241" s="599"/>
      <c r="Y241" s="599"/>
      <c r="Z241" s="599"/>
      <c r="AA241" s="599"/>
    </row>
    <row r="242" spans="2:27" ht="12" customHeight="1">
      <c r="B242" s="768"/>
      <c r="C242" s="763" t="s">
        <v>2568</v>
      </c>
      <c r="D242" s="763" t="s">
        <v>1407</v>
      </c>
      <c r="E242" s="767" t="s">
        <v>2569</v>
      </c>
      <c r="F242" s="767" t="s">
        <v>1165</v>
      </c>
      <c r="G242" s="765" t="s">
        <v>213</v>
      </c>
      <c r="H242" s="766" t="s">
        <v>2438</v>
      </c>
      <c r="I242" s="684"/>
      <c r="J242" s="616" t="s">
        <v>2979</v>
      </c>
      <c r="K242" s="617"/>
      <c r="L242" s="612"/>
      <c r="M242" s="613"/>
      <c r="N242" s="618" t="s">
        <v>2980</v>
      </c>
      <c r="O242" s="618" t="s">
        <v>1991</v>
      </c>
      <c r="P242" s="500" t="s">
        <v>1770</v>
      </c>
      <c r="Q242" s="1358"/>
      <c r="S242" s="599"/>
      <c r="T242" s="599"/>
      <c r="U242" s="599"/>
      <c r="V242" s="599"/>
      <c r="W242" s="599"/>
      <c r="X242" s="599"/>
      <c r="Y242" s="599"/>
      <c r="Z242" s="599"/>
      <c r="AA242" s="599"/>
    </row>
    <row r="243" spans="2:27" ht="12" customHeight="1">
      <c r="B243" s="768"/>
      <c r="C243" s="763" t="s">
        <v>2570</v>
      </c>
      <c r="D243" s="763" t="s">
        <v>1307</v>
      </c>
      <c r="E243" s="764" t="s">
        <v>1518</v>
      </c>
      <c r="F243" s="764" t="s">
        <v>1166</v>
      </c>
      <c r="G243" s="765" t="s">
        <v>1125</v>
      </c>
      <c r="H243" s="766" t="s">
        <v>2439</v>
      </c>
      <c r="I243" s="683"/>
      <c r="J243" s="616" t="s">
        <v>2981</v>
      </c>
      <c r="K243" s="617"/>
      <c r="L243" s="612"/>
      <c r="M243" s="613"/>
      <c r="N243" s="618" t="s">
        <v>2982</v>
      </c>
      <c r="O243" s="618" t="s">
        <v>1130</v>
      </c>
      <c r="P243" s="500" t="s">
        <v>1771</v>
      </c>
      <c r="Q243" s="1358"/>
      <c r="S243" s="599"/>
      <c r="T243" s="599"/>
      <c r="U243" s="599"/>
      <c r="V243" s="599"/>
      <c r="W243" s="599"/>
      <c r="X243" s="599"/>
      <c r="Y243" s="599"/>
      <c r="Z243" s="599"/>
      <c r="AA243" s="599"/>
    </row>
    <row r="244" spans="2:27" ht="12" customHeight="1">
      <c r="B244" s="768"/>
      <c r="C244" s="763" t="s">
        <v>2571</v>
      </c>
      <c r="D244" s="763" t="s">
        <v>1383</v>
      </c>
      <c r="E244" s="764" t="s">
        <v>2572</v>
      </c>
      <c r="F244" s="764" t="s">
        <v>1165</v>
      </c>
      <c r="G244" s="765" t="s">
        <v>214</v>
      </c>
      <c r="H244" s="766" t="s">
        <v>2438</v>
      </c>
      <c r="I244" s="683"/>
      <c r="J244" s="616" t="s">
        <v>2592</v>
      </c>
      <c r="K244" s="617"/>
      <c r="L244" s="612"/>
      <c r="M244" s="613"/>
      <c r="N244" s="618" t="s">
        <v>2593</v>
      </c>
      <c r="O244" s="618" t="s">
        <v>2767</v>
      </c>
      <c r="P244" s="500" t="s">
        <v>1772</v>
      </c>
      <c r="Q244" s="1358"/>
      <c r="S244" s="599"/>
      <c r="T244" s="599"/>
      <c r="U244" s="599"/>
      <c r="V244" s="599"/>
      <c r="W244" s="599"/>
      <c r="X244" s="599"/>
      <c r="Y244" s="599"/>
      <c r="Z244" s="599"/>
      <c r="AA244" s="599"/>
    </row>
    <row r="245" spans="2:27" ht="12" customHeight="1">
      <c r="B245" s="768"/>
      <c r="C245" s="763" t="s">
        <v>2573</v>
      </c>
      <c r="D245" s="763" t="s">
        <v>1307</v>
      </c>
      <c r="E245" s="764" t="s">
        <v>2574</v>
      </c>
      <c r="F245" s="764" t="s">
        <v>1165</v>
      </c>
      <c r="G245" s="765" t="s">
        <v>476</v>
      </c>
      <c r="H245" s="766" t="s">
        <v>2438</v>
      </c>
      <c r="I245" s="683"/>
      <c r="J245" s="616" t="s">
        <v>970</v>
      </c>
      <c r="K245" s="617"/>
      <c r="L245" s="612"/>
      <c r="M245" s="613"/>
      <c r="N245" s="618" t="s">
        <v>3644</v>
      </c>
      <c r="O245" s="618" t="s">
        <v>414</v>
      </c>
      <c r="P245" s="500" t="s">
        <v>1773</v>
      </c>
      <c r="Q245" s="1358"/>
      <c r="S245" s="599"/>
      <c r="T245" s="599"/>
      <c r="U245" s="599"/>
      <c r="V245" s="599"/>
      <c r="W245" s="599"/>
      <c r="X245" s="599"/>
      <c r="Y245" s="599"/>
      <c r="Z245" s="599"/>
      <c r="AA245" s="599"/>
    </row>
    <row r="246" spans="2:27" ht="12" customHeight="1">
      <c r="B246" s="768"/>
      <c r="C246" s="763" t="s">
        <v>2575</v>
      </c>
      <c r="D246" s="763" t="s">
        <v>1407</v>
      </c>
      <c r="E246" s="764" t="s">
        <v>2576</v>
      </c>
      <c r="F246" s="764" t="s">
        <v>1165</v>
      </c>
      <c r="G246" s="765" t="s">
        <v>477</v>
      </c>
      <c r="H246" s="766" t="s">
        <v>2438</v>
      </c>
      <c r="I246" s="683"/>
      <c r="J246" s="616" t="s">
        <v>3645</v>
      </c>
      <c r="K246" s="617"/>
      <c r="L246" s="612"/>
      <c r="M246" s="613"/>
      <c r="N246" s="618" t="s">
        <v>3079</v>
      </c>
      <c r="O246" s="618" t="s">
        <v>187</v>
      </c>
      <c r="P246" s="500" t="s">
        <v>1774</v>
      </c>
      <c r="Q246" s="1358"/>
      <c r="S246" s="599"/>
      <c r="T246" s="599"/>
      <c r="U246" s="599"/>
      <c r="V246" s="599"/>
      <c r="W246" s="599"/>
      <c r="X246" s="599"/>
      <c r="Y246" s="599"/>
      <c r="Z246" s="599"/>
      <c r="AA246" s="599"/>
    </row>
    <row r="247" spans="2:27" ht="12" customHeight="1">
      <c r="B247" s="768"/>
      <c r="C247" s="763" t="s">
        <v>1636</v>
      </c>
      <c r="D247" s="763" t="s">
        <v>1407</v>
      </c>
      <c r="E247" s="767" t="s">
        <v>86</v>
      </c>
      <c r="F247" s="767" t="s">
        <v>1166</v>
      </c>
      <c r="G247" s="765" t="s">
        <v>1120</v>
      </c>
      <c r="H247" s="766" t="s">
        <v>2439</v>
      </c>
      <c r="I247" s="684"/>
      <c r="J247" s="616" t="s">
        <v>3043</v>
      </c>
      <c r="K247" s="617"/>
      <c r="L247" s="612"/>
      <c r="M247" s="613"/>
      <c r="N247" s="618" t="s">
        <v>1558</v>
      </c>
      <c r="O247" s="618" t="s">
        <v>421</v>
      </c>
      <c r="P247" s="500" t="s">
        <v>1775</v>
      </c>
      <c r="Q247" s="1358"/>
      <c r="S247" s="599"/>
      <c r="T247" s="599"/>
      <c r="U247" s="599"/>
      <c r="V247" s="599"/>
      <c r="W247" s="599"/>
      <c r="X247" s="599"/>
      <c r="Y247" s="599"/>
      <c r="Z247" s="599"/>
      <c r="AA247" s="599"/>
    </row>
    <row r="248" spans="2:27" ht="12" customHeight="1">
      <c r="B248" s="768"/>
      <c r="C248" s="763" t="s">
        <v>1637</v>
      </c>
      <c r="D248" s="763" t="s">
        <v>1383</v>
      </c>
      <c r="E248" s="764" t="s">
        <v>1638</v>
      </c>
      <c r="F248" s="764" t="s">
        <v>1165</v>
      </c>
      <c r="G248" s="765" t="s">
        <v>478</v>
      </c>
      <c r="H248" s="766" t="s">
        <v>2438</v>
      </c>
      <c r="I248" s="683"/>
      <c r="J248" s="616" t="s">
        <v>1557</v>
      </c>
      <c r="K248" s="617"/>
      <c r="L248" s="612"/>
      <c r="M248" s="613"/>
      <c r="N248" s="618" t="s">
        <v>859</v>
      </c>
      <c r="O248" s="618" t="s">
        <v>1138</v>
      </c>
      <c r="P248" s="500" t="s">
        <v>1776</v>
      </c>
      <c r="Q248" s="1358"/>
      <c r="S248" s="599"/>
      <c r="T248" s="599"/>
      <c r="U248" s="599"/>
      <c r="V248" s="599"/>
      <c r="W248" s="599"/>
      <c r="X248" s="599"/>
      <c r="Y248" s="599"/>
      <c r="Z248" s="599"/>
      <c r="AA248" s="599"/>
    </row>
    <row r="249" spans="2:27" ht="12" customHeight="1">
      <c r="B249" s="768"/>
      <c r="C249" s="763" t="s">
        <v>409</v>
      </c>
      <c r="D249" s="763" t="s">
        <v>1383</v>
      </c>
      <c r="E249" s="764" t="s">
        <v>1317</v>
      </c>
      <c r="F249" s="764" t="s">
        <v>1166</v>
      </c>
      <c r="G249" s="765" t="s">
        <v>479</v>
      </c>
      <c r="H249" s="766" t="s">
        <v>2439</v>
      </c>
      <c r="I249" s="683"/>
      <c r="J249" s="616" t="s">
        <v>858</v>
      </c>
      <c r="K249" s="617"/>
      <c r="L249" s="612"/>
      <c r="M249" s="613"/>
      <c r="N249" s="618" t="s">
        <v>401</v>
      </c>
      <c r="O249" s="618" t="s">
        <v>412</v>
      </c>
      <c r="P249" s="500" t="s">
        <v>1777</v>
      </c>
      <c r="Q249" s="1358"/>
      <c r="S249" s="599"/>
      <c r="T249" s="599"/>
      <c r="U249" s="599"/>
      <c r="V249" s="599"/>
      <c r="W249" s="599"/>
      <c r="X249" s="599"/>
      <c r="Y249" s="599"/>
      <c r="Z249" s="599"/>
      <c r="AA249" s="599"/>
    </row>
    <row r="250" spans="2:27" ht="12" customHeight="1">
      <c r="B250" s="768"/>
      <c r="C250" s="769" t="s">
        <v>410</v>
      </c>
      <c r="D250" s="763" t="s">
        <v>1407</v>
      </c>
      <c r="E250" s="764" t="s">
        <v>411</v>
      </c>
      <c r="F250" s="764" t="s">
        <v>1165</v>
      </c>
      <c r="G250" s="765" t="s">
        <v>480</v>
      </c>
      <c r="H250" s="766" t="s">
        <v>2438</v>
      </c>
      <c r="I250" s="683"/>
      <c r="J250" s="616" t="s">
        <v>400</v>
      </c>
      <c r="K250" s="617"/>
      <c r="L250" s="612"/>
      <c r="M250" s="613"/>
      <c r="N250" s="618" t="s">
        <v>2850</v>
      </c>
      <c r="O250" s="618" t="s">
        <v>2034</v>
      </c>
      <c r="P250" s="500" t="s">
        <v>1778</v>
      </c>
      <c r="Q250" s="1358"/>
      <c r="S250" s="599"/>
      <c r="T250" s="599"/>
      <c r="U250" s="599"/>
      <c r="V250" s="599"/>
      <c r="W250" s="599"/>
      <c r="X250" s="599"/>
      <c r="Y250" s="599"/>
      <c r="Z250" s="599"/>
      <c r="AA250" s="599"/>
    </row>
    <row r="251" spans="2:27" ht="12" customHeight="1">
      <c r="B251" s="768"/>
      <c r="C251" s="763" t="s">
        <v>412</v>
      </c>
      <c r="D251" s="763" t="s">
        <v>1383</v>
      </c>
      <c r="E251" s="767" t="s">
        <v>88</v>
      </c>
      <c r="F251" s="767" t="s">
        <v>1166</v>
      </c>
      <c r="G251" s="765" t="s">
        <v>2422</v>
      </c>
      <c r="H251" s="766" t="s">
        <v>2439</v>
      </c>
      <c r="I251" s="684"/>
      <c r="J251" s="616" t="s">
        <v>2849</v>
      </c>
      <c r="K251" s="617"/>
      <c r="L251" s="612"/>
      <c r="M251" s="613"/>
      <c r="N251" s="618" t="s">
        <v>2881</v>
      </c>
      <c r="O251" s="618" t="s">
        <v>1990</v>
      </c>
      <c r="P251" s="500" t="s">
        <v>1779</v>
      </c>
      <c r="Q251" s="1358"/>
      <c r="S251" s="599"/>
      <c r="T251" s="599"/>
      <c r="U251" s="599"/>
      <c r="V251" s="599"/>
      <c r="W251" s="599"/>
      <c r="X251" s="599"/>
      <c r="Y251" s="599"/>
      <c r="Z251" s="599"/>
      <c r="AA251" s="599"/>
    </row>
    <row r="252" spans="2:27" ht="12" customHeight="1">
      <c r="B252" s="768"/>
      <c r="C252" s="763" t="s">
        <v>413</v>
      </c>
      <c r="D252" s="763" t="s">
        <v>1407</v>
      </c>
      <c r="E252" s="767" t="s">
        <v>130</v>
      </c>
      <c r="F252" s="767" t="s">
        <v>1166</v>
      </c>
      <c r="G252" s="765" t="s">
        <v>3686</v>
      </c>
      <c r="H252" s="766" t="s">
        <v>2439</v>
      </c>
      <c r="I252" s="684"/>
      <c r="J252" s="616" t="s">
        <v>2880</v>
      </c>
      <c r="K252" s="617"/>
      <c r="L252" s="612"/>
      <c r="M252" s="613"/>
      <c r="N252" s="618" t="s">
        <v>854</v>
      </c>
      <c r="O252" s="618" t="s">
        <v>1399</v>
      </c>
      <c r="P252" s="500" t="s">
        <v>1780</v>
      </c>
      <c r="Q252" s="1358"/>
      <c r="S252" s="599"/>
      <c r="T252" s="599"/>
      <c r="U252" s="599"/>
      <c r="V252" s="599"/>
      <c r="W252" s="599"/>
      <c r="X252" s="599"/>
      <c r="Y252" s="599"/>
      <c r="Z252" s="599"/>
      <c r="AA252" s="599"/>
    </row>
    <row r="253" spans="2:27" ht="12" customHeight="1">
      <c r="B253" s="768"/>
      <c r="C253" s="763" t="s">
        <v>414</v>
      </c>
      <c r="D253" s="763" t="s">
        <v>1407</v>
      </c>
      <c r="E253" s="764" t="s">
        <v>415</v>
      </c>
      <c r="F253" s="764" t="s">
        <v>1165</v>
      </c>
      <c r="G253" s="765" t="s">
        <v>2423</v>
      </c>
      <c r="H253" s="766" t="s">
        <v>2438</v>
      </c>
      <c r="I253" s="683"/>
      <c r="J253" s="616" t="s">
        <v>2882</v>
      </c>
      <c r="K253" s="617"/>
      <c r="L253" s="612"/>
      <c r="M253" s="613"/>
      <c r="N253" s="618" t="s">
        <v>1396</v>
      </c>
      <c r="O253" s="618" t="s">
        <v>2561</v>
      </c>
      <c r="P253" s="500" t="s">
        <v>1781</v>
      </c>
      <c r="Q253" s="1358"/>
      <c r="S253" s="599"/>
      <c r="T253" s="599"/>
      <c r="U253" s="599"/>
      <c r="V253" s="599"/>
      <c r="W253" s="599"/>
      <c r="X253" s="599"/>
      <c r="Y253" s="599"/>
      <c r="Z253" s="599"/>
      <c r="AA253" s="599"/>
    </row>
    <row r="254" spans="2:27" ht="12" customHeight="1">
      <c r="B254" s="768"/>
      <c r="C254" s="763" t="s">
        <v>416</v>
      </c>
      <c r="D254" s="763" t="s">
        <v>1407</v>
      </c>
      <c r="E254" s="767" t="s">
        <v>86</v>
      </c>
      <c r="F254" s="767" t="s">
        <v>1166</v>
      </c>
      <c r="G254" s="765" t="s">
        <v>1120</v>
      </c>
      <c r="H254" s="766" t="s">
        <v>2439</v>
      </c>
      <c r="I254" s="684"/>
      <c r="J254" s="616" t="s">
        <v>2883</v>
      </c>
      <c r="K254" s="617"/>
      <c r="L254" s="612"/>
      <c r="M254" s="613"/>
      <c r="N254" s="618" t="s">
        <v>2839</v>
      </c>
      <c r="O254" s="618" t="s">
        <v>3159</v>
      </c>
      <c r="P254" s="500" t="s">
        <v>1782</v>
      </c>
      <c r="Q254" s="1358"/>
      <c r="S254" s="599"/>
      <c r="T254" s="599"/>
      <c r="U254" s="599"/>
      <c r="V254" s="599"/>
      <c r="W254" s="599"/>
      <c r="X254" s="599"/>
      <c r="Y254" s="599"/>
      <c r="Z254" s="599"/>
      <c r="AA254" s="599"/>
    </row>
    <row r="255" spans="2:27" ht="12" customHeight="1">
      <c r="B255" s="768"/>
      <c r="C255" s="763" t="s">
        <v>417</v>
      </c>
      <c r="D255" s="763" t="s">
        <v>1407</v>
      </c>
      <c r="E255" s="767" t="s">
        <v>86</v>
      </c>
      <c r="F255" s="767" t="s">
        <v>1166</v>
      </c>
      <c r="G255" s="765" t="s">
        <v>1120</v>
      </c>
      <c r="H255" s="766" t="s">
        <v>2439</v>
      </c>
      <c r="I255" s="684"/>
      <c r="J255" s="616" t="s">
        <v>2838</v>
      </c>
      <c r="K255" s="617"/>
      <c r="L255" s="612"/>
      <c r="M255" s="613"/>
      <c r="N255" s="618" t="s">
        <v>1518</v>
      </c>
      <c r="O255" s="618" t="s">
        <v>2570</v>
      </c>
      <c r="P255" s="500" t="s">
        <v>1783</v>
      </c>
      <c r="Q255" s="1358"/>
      <c r="S255" s="599"/>
      <c r="T255" s="599"/>
      <c r="U255" s="599"/>
      <c r="V255" s="599"/>
      <c r="W255" s="599"/>
      <c r="X255" s="599"/>
      <c r="Y255" s="599"/>
      <c r="Z255" s="599"/>
      <c r="AA255" s="599"/>
    </row>
    <row r="256" spans="2:27" ht="12" customHeight="1">
      <c r="B256" s="768"/>
      <c r="C256" s="763" t="s">
        <v>418</v>
      </c>
      <c r="D256" s="763" t="s">
        <v>1407</v>
      </c>
      <c r="E256" s="767" t="s">
        <v>3713</v>
      </c>
      <c r="F256" s="767" t="s">
        <v>1166</v>
      </c>
      <c r="G256" s="765" t="s">
        <v>2424</v>
      </c>
      <c r="H256" s="766" t="s">
        <v>2439</v>
      </c>
      <c r="I256" s="684"/>
      <c r="J256" s="616" t="s">
        <v>1517</v>
      </c>
      <c r="K256" s="617"/>
      <c r="L256" s="612"/>
      <c r="M256" s="613"/>
      <c r="N256" s="618" t="s">
        <v>1520</v>
      </c>
      <c r="O256" s="618" t="s">
        <v>412</v>
      </c>
      <c r="P256" s="619" t="s">
        <v>1784</v>
      </c>
      <c r="Q256" s="1358"/>
      <c r="S256" s="599"/>
      <c r="T256" s="599"/>
      <c r="U256" s="599"/>
      <c r="V256" s="599"/>
      <c r="W256" s="599"/>
      <c r="X256" s="599"/>
      <c r="Y256" s="599"/>
      <c r="Z256" s="599"/>
      <c r="AA256" s="599"/>
    </row>
    <row r="257" spans="2:27" ht="12" customHeight="1">
      <c r="B257" s="768"/>
      <c r="C257" s="763" t="s">
        <v>419</v>
      </c>
      <c r="D257" s="763" t="s">
        <v>1307</v>
      </c>
      <c r="E257" s="764" t="s">
        <v>420</v>
      </c>
      <c r="F257" s="764" t="s">
        <v>1165</v>
      </c>
      <c r="G257" s="765" t="s">
        <v>879</v>
      </c>
      <c r="H257" s="766" t="s">
        <v>2438</v>
      </c>
      <c r="I257" s="683"/>
      <c r="J257" s="616" t="s">
        <v>1519</v>
      </c>
      <c r="K257" s="617"/>
      <c r="L257" s="612"/>
      <c r="M257" s="613"/>
      <c r="N257" s="618" t="s">
        <v>1569</v>
      </c>
      <c r="O257" s="618" t="s">
        <v>1130</v>
      </c>
      <c r="P257" s="500" t="s">
        <v>1785</v>
      </c>
      <c r="Q257" s="1358"/>
      <c r="S257" s="599"/>
      <c r="T257" s="599"/>
      <c r="U257" s="599"/>
      <c r="V257" s="599"/>
      <c r="W257" s="599"/>
      <c r="X257" s="599"/>
      <c r="Y257" s="599"/>
      <c r="Z257" s="599"/>
      <c r="AA257" s="599"/>
    </row>
    <row r="258" spans="2:27" ht="12" customHeight="1">
      <c r="B258" s="768"/>
      <c r="C258" s="763" t="s">
        <v>421</v>
      </c>
      <c r="D258" s="763" t="s">
        <v>1407</v>
      </c>
      <c r="E258" s="764" t="s">
        <v>422</v>
      </c>
      <c r="F258" s="764" t="s">
        <v>1165</v>
      </c>
      <c r="G258" s="765" t="s">
        <v>880</v>
      </c>
      <c r="H258" s="766" t="s">
        <v>2438</v>
      </c>
      <c r="I258" s="683"/>
      <c r="J258" s="616" t="s">
        <v>1568</v>
      </c>
      <c r="K258" s="617"/>
      <c r="L258" s="612"/>
      <c r="M258" s="613"/>
      <c r="N258" s="618" t="s">
        <v>1571</v>
      </c>
      <c r="O258" s="618" t="s">
        <v>2375</v>
      </c>
      <c r="P258" s="500" t="s">
        <v>1786</v>
      </c>
      <c r="Q258" s="1358"/>
      <c r="S258" s="599"/>
      <c r="T258" s="599"/>
      <c r="U258" s="599"/>
      <c r="V258" s="599"/>
      <c r="W258" s="599"/>
      <c r="X258" s="599"/>
      <c r="Y258" s="599"/>
      <c r="Z258" s="599"/>
      <c r="AA258" s="599"/>
    </row>
    <row r="259" spans="2:27" ht="12" customHeight="1">
      <c r="B259" s="768"/>
      <c r="C259" s="763" t="s">
        <v>423</v>
      </c>
      <c r="D259" s="763" t="s">
        <v>1407</v>
      </c>
      <c r="E259" s="767" t="s">
        <v>86</v>
      </c>
      <c r="F259" s="767" t="s">
        <v>1166</v>
      </c>
      <c r="G259" s="765" t="s">
        <v>1120</v>
      </c>
      <c r="H259" s="766" t="s">
        <v>2439</v>
      </c>
      <c r="I259" s="684"/>
      <c r="J259" s="616" t="s">
        <v>1570</v>
      </c>
      <c r="K259" s="617"/>
      <c r="L259" s="612"/>
      <c r="M259" s="613"/>
      <c r="N259" s="618" t="s">
        <v>1573</v>
      </c>
      <c r="O259" s="618" t="s">
        <v>1636</v>
      </c>
      <c r="P259" s="500" t="s">
        <v>1787</v>
      </c>
      <c r="Q259" s="1358"/>
      <c r="S259" s="599"/>
      <c r="T259" s="599"/>
      <c r="U259" s="599"/>
      <c r="V259" s="599"/>
      <c r="W259" s="599"/>
      <c r="X259" s="599"/>
      <c r="Y259" s="599"/>
      <c r="Z259" s="599"/>
      <c r="AA259" s="599"/>
    </row>
    <row r="260" spans="2:27" ht="12" customHeight="1">
      <c r="B260" s="768"/>
      <c r="C260" s="763" t="s">
        <v>424</v>
      </c>
      <c r="D260" s="763" t="s">
        <v>1307</v>
      </c>
      <c r="E260" s="764" t="s">
        <v>425</v>
      </c>
      <c r="F260" s="764" t="s">
        <v>1165</v>
      </c>
      <c r="G260" s="765" t="s">
        <v>881</v>
      </c>
      <c r="H260" s="766" t="s">
        <v>2438</v>
      </c>
      <c r="I260" s="683"/>
      <c r="J260" s="616" t="s">
        <v>1572</v>
      </c>
      <c r="K260" s="617"/>
      <c r="L260" s="612"/>
      <c r="M260" s="613"/>
      <c r="N260" s="618" t="s">
        <v>2370</v>
      </c>
      <c r="O260" s="618" t="s">
        <v>2556</v>
      </c>
      <c r="P260" s="500" t="s">
        <v>1788</v>
      </c>
      <c r="Q260" s="1358"/>
      <c r="S260" s="599"/>
      <c r="T260" s="599"/>
      <c r="U260" s="599"/>
      <c r="V260" s="599"/>
      <c r="W260" s="599"/>
      <c r="X260" s="599"/>
      <c r="Y260" s="599"/>
      <c r="Z260" s="599"/>
      <c r="AA260" s="599"/>
    </row>
    <row r="261" spans="2:27" ht="12" customHeight="1">
      <c r="B261" s="768"/>
      <c r="C261" s="763" t="s">
        <v>426</v>
      </c>
      <c r="D261" s="763" t="s">
        <v>1407</v>
      </c>
      <c r="E261" s="764" t="s">
        <v>427</v>
      </c>
      <c r="F261" s="764" t="s">
        <v>1165</v>
      </c>
      <c r="G261" s="765" t="s">
        <v>2261</v>
      </c>
      <c r="H261" s="766" t="s">
        <v>2438</v>
      </c>
      <c r="I261" s="683"/>
      <c r="J261" s="616" t="s">
        <v>2369</v>
      </c>
      <c r="K261" s="617"/>
      <c r="L261" s="612"/>
      <c r="M261" s="613"/>
      <c r="N261" s="618" t="s">
        <v>2372</v>
      </c>
      <c r="O261" s="618" t="s">
        <v>3013</v>
      </c>
      <c r="P261" s="500" t="s">
        <v>1789</v>
      </c>
      <c r="Q261" s="1358"/>
      <c r="S261" s="599"/>
      <c r="T261" s="599"/>
      <c r="U261" s="599"/>
      <c r="V261" s="599"/>
      <c r="W261" s="599"/>
      <c r="X261" s="599"/>
      <c r="Y261" s="599"/>
      <c r="Z261" s="599"/>
      <c r="AA261" s="599"/>
    </row>
    <row r="262" spans="2:27" ht="12" customHeight="1">
      <c r="B262" s="768"/>
      <c r="C262" s="763" t="s">
        <v>428</v>
      </c>
      <c r="D262" s="763" t="s">
        <v>1307</v>
      </c>
      <c r="E262" s="764" t="s">
        <v>429</v>
      </c>
      <c r="F262" s="764" t="s">
        <v>1165</v>
      </c>
      <c r="G262" s="765" t="s">
        <v>2262</v>
      </c>
      <c r="H262" s="766" t="s">
        <v>2438</v>
      </c>
      <c r="I262" s="683"/>
      <c r="J262" s="616" t="s">
        <v>2371</v>
      </c>
      <c r="K262" s="617"/>
      <c r="L262" s="612"/>
      <c r="M262" s="613"/>
      <c r="N262" s="618" t="s">
        <v>2374</v>
      </c>
      <c r="O262" s="618" t="s">
        <v>1178</v>
      </c>
      <c r="P262" s="500" t="s">
        <v>1790</v>
      </c>
      <c r="Q262" s="1358"/>
      <c r="S262" s="599"/>
      <c r="T262" s="599"/>
      <c r="U262" s="599"/>
      <c r="V262" s="599"/>
      <c r="W262" s="599"/>
      <c r="X262" s="599"/>
      <c r="Y262" s="599"/>
      <c r="Z262" s="599"/>
      <c r="AA262" s="599"/>
    </row>
    <row r="263" spans="2:27" ht="12" customHeight="1">
      <c r="B263" s="768"/>
      <c r="C263" s="763" t="s">
        <v>430</v>
      </c>
      <c r="D263" s="763" t="s">
        <v>1307</v>
      </c>
      <c r="E263" s="764" t="s">
        <v>431</v>
      </c>
      <c r="F263" s="764" t="s">
        <v>1165</v>
      </c>
      <c r="G263" s="765" t="s">
        <v>2263</v>
      </c>
      <c r="H263" s="766" t="s">
        <v>2438</v>
      </c>
      <c r="I263" s="683"/>
      <c r="J263" s="616" t="s">
        <v>2373</v>
      </c>
      <c r="K263" s="617"/>
      <c r="L263" s="612"/>
      <c r="M263" s="613"/>
      <c r="N263" s="618" t="s">
        <v>855</v>
      </c>
      <c r="O263" s="618" t="s">
        <v>3399</v>
      </c>
      <c r="P263" s="500" t="s">
        <v>1791</v>
      </c>
      <c r="Q263" s="1358"/>
      <c r="S263" s="599"/>
      <c r="T263" s="599"/>
      <c r="U263" s="599"/>
      <c r="V263" s="599"/>
      <c r="W263" s="599"/>
      <c r="X263" s="599"/>
      <c r="Y263" s="599"/>
      <c r="Z263" s="599"/>
      <c r="AA263" s="599"/>
    </row>
    <row r="264" spans="2:27" ht="12" customHeight="1">
      <c r="B264" s="768"/>
      <c r="C264" s="763" t="s">
        <v>560</v>
      </c>
      <c r="D264" s="763" t="s">
        <v>1407</v>
      </c>
      <c r="E264" s="767" t="s">
        <v>1392</v>
      </c>
      <c r="F264" s="767" t="s">
        <v>1166</v>
      </c>
      <c r="G264" s="765" t="s">
        <v>1123</v>
      </c>
      <c r="H264" s="766" t="s">
        <v>2439</v>
      </c>
      <c r="I264" s="684"/>
      <c r="J264" s="616" t="s">
        <v>3666</v>
      </c>
      <c r="K264" s="617"/>
      <c r="L264" s="612"/>
      <c r="M264" s="613"/>
      <c r="N264" s="618" t="s">
        <v>3667</v>
      </c>
      <c r="O264" s="618" t="s">
        <v>2573</v>
      </c>
      <c r="P264" s="500" t="s">
        <v>1792</v>
      </c>
      <c r="Q264" s="1358"/>
      <c r="S264" s="599"/>
      <c r="T264" s="599"/>
      <c r="U264" s="599"/>
      <c r="V264" s="599"/>
      <c r="W264" s="599"/>
      <c r="X264" s="599"/>
      <c r="Y264" s="599"/>
      <c r="Z264" s="599"/>
      <c r="AA264" s="599"/>
    </row>
    <row r="265" spans="2:27" ht="12" customHeight="1">
      <c r="B265" s="768"/>
      <c r="C265" s="763" t="s">
        <v>561</v>
      </c>
      <c r="D265" s="763" t="s">
        <v>1407</v>
      </c>
      <c r="E265" s="767" t="s">
        <v>89</v>
      </c>
      <c r="F265" s="767" t="s">
        <v>1166</v>
      </c>
      <c r="G265" s="765" t="s">
        <v>2264</v>
      </c>
      <c r="H265" s="766" t="s">
        <v>2439</v>
      </c>
      <c r="I265" s="684"/>
      <c r="J265" s="616" t="s">
        <v>3668</v>
      </c>
      <c r="K265" s="617"/>
      <c r="L265" s="612"/>
      <c r="M265" s="613"/>
      <c r="N265" s="618" t="s">
        <v>1404</v>
      </c>
      <c r="O265" s="618" t="s">
        <v>2571</v>
      </c>
      <c r="P265" s="500" t="s">
        <v>1793</v>
      </c>
      <c r="Q265" s="1358"/>
      <c r="S265" s="599"/>
      <c r="T265" s="599"/>
      <c r="U265" s="599"/>
      <c r="V265" s="599"/>
      <c r="W265" s="599"/>
      <c r="X265" s="599"/>
      <c r="Y265" s="599"/>
      <c r="Z265" s="599"/>
      <c r="AA265" s="599"/>
    </row>
    <row r="266" spans="2:27" ht="12" customHeight="1">
      <c r="B266" s="768"/>
      <c r="C266" s="763" t="s">
        <v>3398</v>
      </c>
      <c r="D266" s="763" t="s">
        <v>1307</v>
      </c>
      <c r="E266" s="764" t="s">
        <v>3700</v>
      </c>
      <c r="F266" s="764" t="s">
        <v>1166</v>
      </c>
      <c r="G266" s="765" t="s">
        <v>1126</v>
      </c>
      <c r="H266" s="766" t="s">
        <v>2439</v>
      </c>
      <c r="I266" s="683"/>
      <c r="J266" s="616" t="s">
        <v>3669</v>
      </c>
      <c r="K266" s="617"/>
      <c r="L266" s="612"/>
      <c r="M266" s="613"/>
      <c r="N266" s="618" t="s">
        <v>3671</v>
      </c>
      <c r="O266" s="618" t="s">
        <v>1619</v>
      </c>
      <c r="P266" s="500" t="s">
        <v>1794</v>
      </c>
      <c r="Q266" s="1358"/>
      <c r="S266" s="599"/>
      <c r="T266" s="599"/>
      <c r="U266" s="599"/>
      <c r="V266" s="599"/>
      <c r="W266" s="599"/>
      <c r="X266" s="599"/>
      <c r="Y266" s="599"/>
      <c r="Z266" s="599"/>
      <c r="AA266" s="599"/>
    </row>
    <row r="267" spans="2:27" ht="12" customHeight="1">
      <c r="B267" s="768"/>
      <c r="C267" s="763" t="s">
        <v>3399</v>
      </c>
      <c r="D267" s="763" t="s">
        <v>1307</v>
      </c>
      <c r="E267" s="764" t="s">
        <v>3400</v>
      </c>
      <c r="F267" s="764" t="s">
        <v>1165</v>
      </c>
      <c r="G267" s="765" t="s">
        <v>2265</v>
      </c>
      <c r="H267" s="766" t="s">
        <v>2438</v>
      </c>
      <c r="I267" s="683"/>
      <c r="J267" s="616" t="s">
        <v>3670</v>
      </c>
      <c r="K267" s="617"/>
      <c r="L267" s="612"/>
      <c r="M267" s="613"/>
      <c r="N267" s="618" t="s">
        <v>3525</v>
      </c>
      <c r="O267" s="618" t="s">
        <v>1875</v>
      </c>
      <c r="P267" s="500" t="s">
        <v>1795</v>
      </c>
      <c r="Q267" s="1358"/>
      <c r="S267" s="599"/>
      <c r="T267" s="599"/>
      <c r="U267" s="599"/>
      <c r="V267" s="599"/>
      <c r="W267" s="599"/>
      <c r="X267" s="599"/>
      <c r="Y267" s="599"/>
      <c r="Z267" s="599"/>
      <c r="AA267" s="599"/>
    </row>
    <row r="268" spans="2:27" ht="12" customHeight="1">
      <c r="B268" s="768"/>
      <c r="C268" s="763" t="s">
        <v>3401</v>
      </c>
      <c r="D268" s="763" t="s">
        <v>1307</v>
      </c>
      <c r="E268" s="767" t="s">
        <v>2113</v>
      </c>
      <c r="F268" s="767" t="s">
        <v>1166</v>
      </c>
      <c r="G268" s="765" t="s">
        <v>1257</v>
      </c>
      <c r="H268" s="766" t="s">
        <v>2439</v>
      </c>
      <c r="I268" s="684"/>
      <c r="J268" s="616" t="s">
        <v>3524</v>
      </c>
      <c r="K268" s="617"/>
      <c r="L268" s="612"/>
      <c r="M268" s="613"/>
      <c r="N268" s="618" t="s">
        <v>3527</v>
      </c>
      <c r="O268" s="618" t="s">
        <v>2564</v>
      </c>
      <c r="P268" s="500" t="s">
        <v>1796</v>
      </c>
      <c r="Q268" s="1358"/>
      <c r="S268" s="599"/>
      <c r="T268" s="599"/>
      <c r="U268" s="599"/>
      <c r="V268" s="599"/>
      <c r="W268" s="599"/>
      <c r="X268" s="599"/>
      <c r="Y268" s="599"/>
      <c r="Z268" s="599"/>
      <c r="AA268" s="599"/>
    </row>
    <row r="269" spans="2:27" ht="12" customHeight="1">
      <c r="B269" s="768"/>
      <c r="C269" s="763" t="s">
        <v>3402</v>
      </c>
      <c r="D269" s="763" t="s">
        <v>1307</v>
      </c>
      <c r="E269" s="764" t="s">
        <v>90</v>
      </c>
      <c r="F269" s="764" t="s">
        <v>1166</v>
      </c>
      <c r="G269" s="765" t="s">
        <v>2266</v>
      </c>
      <c r="H269" s="766" t="s">
        <v>2439</v>
      </c>
      <c r="I269" s="683"/>
      <c r="J269" s="616" t="s">
        <v>3526</v>
      </c>
      <c r="K269" s="617"/>
      <c r="L269" s="612"/>
      <c r="M269" s="613"/>
      <c r="N269" s="618" t="s">
        <v>3529</v>
      </c>
      <c r="O269" s="618" t="s">
        <v>133</v>
      </c>
      <c r="P269" s="500" t="s">
        <v>1797</v>
      </c>
      <c r="Q269" s="1358"/>
      <c r="S269" s="599"/>
      <c r="T269" s="599"/>
      <c r="U269" s="599"/>
      <c r="V269" s="599"/>
      <c r="W269" s="599"/>
      <c r="X269" s="599"/>
      <c r="Y269" s="599"/>
      <c r="Z269" s="599"/>
      <c r="AA269" s="599"/>
    </row>
    <row r="270" spans="2:27" ht="12" customHeight="1">
      <c r="B270" s="768"/>
      <c r="C270" s="763" t="s">
        <v>3403</v>
      </c>
      <c r="D270" s="763" t="s">
        <v>1407</v>
      </c>
      <c r="E270" s="764" t="s">
        <v>3404</v>
      </c>
      <c r="F270" s="764" t="s">
        <v>1165</v>
      </c>
      <c r="G270" s="765" t="s">
        <v>3820</v>
      </c>
      <c r="H270" s="766" t="s">
        <v>2438</v>
      </c>
      <c r="I270" s="683"/>
      <c r="J270" s="616" t="s">
        <v>3528</v>
      </c>
      <c r="K270" s="617"/>
      <c r="L270" s="612"/>
      <c r="M270" s="613"/>
      <c r="N270" s="618" t="s">
        <v>3531</v>
      </c>
      <c r="O270" s="618" t="s">
        <v>1385</v>
      </c>
      <c r="P270" s="500" t="s">
        <v>1798</v>
      </c>
      <c r="Q270" s="1358"/>
      <c r="S270" s="599"/>
      <c r="T270" s="599"/>
      <c r="U270" s="599"/>
      <c r="V270" s="599"/>
      <c r="W270" s="599"/>
      <c r="X270" s="599"/>
      <c r="Y270" s="599"/>
      <c r="Z270" s="599"/>
      <c r="AA270" s="599"/>
    </row>
    <row r="271" spans="2:27" ht="12" customHeight="1">
      <c r="B271" s="768"/>
      <c r="C271" s="763" t="s">
        <v>3405</v>
      </c>
      <c r="D271" s="763" t="s">
        <v>1307</v>
      </c>
      <c r="E271" s="764" t="s">
        <v>3406</v>
      </c>
      <c r="F271" s="764" t="s">
        <v>1166</v>
      </c>
      <c r="G271" s="765" t="s">
        <v>2605</v>
      </c>
      <c r="H271" s="766" t="s">
        <v>2439</v>
      </c>
      <c r="I271" s="683"/>
      <c r="J271" s="616" t="s">
        <v>3530</v>
      </c>
      <c r="K271" s="617"/>
      <c r="L271" s="612"/>
      <c r="M271" s="613"/>
      <c r="N271" s="618" t="s">
        <v>3533</v>
      </c>
      <c r="O271" s="618" t="s">
        <v>2016</v>
      </c>
      <c r="P271" s="500" t="s">
        <v>1799</v>
      </c>
      <c r="Q271" s="1358"/>
      <c r="S271" s="599"/>
      <c r="T271" s="599"/>
      <c r="U271" s="599"/>
      <c r="V271" s="599"/>
      <c r="W271" s="599"/>
      <c r="X271" s="599"/>
      <c r="Y271" s="599"/>
      <c r="Z271" s="599"/>
      <c r="AA271" s="599"/>
    </row>
    <row r="272" spans="2:27" ht="12" customHeight="1">
      <c r="B272" s="768"/>
      <c r="C272" s="763" t="s">
        <v>2012</v>
      </c>
      <c r="D272" s="763" t="s">
        <v>1307</v>
      </c>
      <c r="E272" s="764" t="s">
        <v>3700</v>
      </c>
      <c r="F272" s="764" t="s">
        <v>1166</v>
      </c>
      <c r="G272" s="765" t="s">
        <v>1126</v>
      </c>
      <c r="H272" s="766" t="s">
        <v>2439</v>
      </c>
      <c r="I272" s="683"/>
      <c r="J272" s="616" t="s">
        <v>3532</v>
      </c>
      <c r="K272" s="617"/>
      <c r="L272" s="612"/>
      <c r="M272" s="613"/>
      <c r="N272" s="618" t="s">
        <v>3754</v>
      </c>
      <c r="O272" s="618" t="s">
        <v>2564</v>
      </c>
      <c r="P272" s="500" t="s">
        <v>1800</v>
      </c>
      <c r="Q272" s="1358"/>
      <c r="S272" s="599"/>
      <c r="T272" s="599"/>
      <c r="U272" s="599"/>
      <c r="V272" s="599"/>
      <c r="W272" s="599"/>
      <c r="X272" s="599"/>
      <c r="Y272" s="599"/>
      <c r="Z272" s="599"/>
      <c r="AA272" s="599"/>
    </row>
    <row r="273" spans="2:27" ht="12" customHeight="1">
      <c r="B273" s="768"/>
      <c r="C273" s="763" t="s">
        <v>2013</v>
      </c>
      <c r="D273" s="763" t="s">
        <v>1383</v>
      </c>
      <c r="E273" s="767" t="s">
        <v>2014</v>
      </c>
      <c r="F273" s="767" t="s">
        <v>1165</v>
      </c>
      <c r="G273" s="765" t="s">
        <v>2606</v>
      </c>
      <c r="H273" s="766" t="s">
        <v>2438</v>
      </c>
      <c r="I273" s="684"/>
      <c r="J273" s="616" t="s">
        <v>3753</v>
      </c>
      <c r="K273" s="617"/>
      <c r="L273" s="612"/>
      <c r="M273" s="613"/>
      <c r="N273" s="618" t="s">
        <v>3756</v>
      </c>
      <c r="O273" s="618" t="s">
        <v>2767</v>
      </c>
      <c r="P273" s="500" t="s">
        <v>1801</v>
      </c>
      <c r="Q273" s="1358"/>
      <c r="S273" s="599"/>
      <c r="T273" s="599"/>
      <c r="U273" s="599"/>
      <c r="V273" s="599"/>
      <c r="W273" s="599"/>
      <c r="X273" s="599"/>
      <c r="Y273" s="599"/>
      <c r="Z273" s="599"/>
      <c r="AA273" s="599"/>
    </row>
    <row r="274" spans="2:27" ht="12" customHeight="1">
      <c r="B274" s="768"/>
      <c r="C274" s="763" t="s">
        <v>1392</v>
      </c>
      <c r="D274" s="763" t="s">
        <v>1407</v>
      </c>
      <c r="E274" s="764" t="s">
        <v>2015</v>
      </c>
      <c r="F274" s="764" t="s">
        <v>1165</v>
      </c>
      <c r="G274" s="765" t="s">
        <v>2607</v>
      </c>
      <c r="H274" s="766" t="s">
        <v>2438</v>
      </c>
      <c r="I274" s="683"/>
      <c r="J274" s="616" t="s">
        <v>3755</v>
      </c>
      <c r="K274" s="617"/>
      <c r="L274" s="612"/>
      <c r="M274" s="613"/>
      <c r="N274" s="618" t="s">
        <v>1071</v>
      </c>
      <c r="O274" s="618" t="s">
        <v>1386</v>
      </c>
      <c r="P274" s="500" t="s">
        <v>1802</v>
      </c>
      <c r="Q274" s="1358"/>
      <c r="S274" s="599"/>
      <c r="T274" s="599"/>
      <c r="U274" s="599"/>
      <c r="V274" s="599"/>
      <c r="W274" s="599"/>
      <c r="X274" s="599"/>
      <c r="Y274" s="599"/>
      <c r="Z274" s="599"/>
      <c r="AA274" s="599"/>
    </row>
    <row r="275" spans="2:27" ht="12" customHeight="1">
      <c r="B275" s="768"/>
      <c r="C275" s="763" t="s">
        <v>2016</v>
      </c>
      <c r="D275" s="763" t="s">
        <v>1407</v>
      </c>
      <c r="E275" s="764" t="s">
        <v>3934</v>
      </c>
      <c r="F275" s="764" t="s">
        <v>1166</v>
      </c>
      <c r="G275" s="765" t="s">
        <v>845</v>
      </c>
      <c r="H275" s="766" t="s">
        <v>2439</v>
      </c>
      <c r="I275" s="683"/>
      <c r="J275" s="616" t="s">
        <v>2076</v>
      </c>
      <c r="K275" s="617"/>
      <c r="L275" s="612"/>
      <c r="M275" s="613"/>
      <c r="N275" s="618" t="s">
        <v>1074</v>
      </c>
      <c r="O275" s="618" t="s">
        <v>2562</v>
      </c>
      <c r="P275" s="500" t="s">
        <v>1803</v>
      </c>
      <c r="Q275" s="1358"/>
      <c r="S275" s="599"/>
      <c r="T275" s="599"/>
      <c r="U275" s="599"/>
      <c r="V275" s="599"/>
      <c r="W275" s="599"/>
      <c r="X275" s="599"/>
      <c r="Y275" s="599"/>
      <c r="Z275" s="599"/>
      <c r="AA275" s="599"/>
    </row>
    <row r="276" spans="2:27" ht="12" customHeight="1">
      <c r="B276" s="768"/>
      <c r="C276" s="763" t="s">
        <v>2375</v>
      </c>
      <c r="D276" s="763" t="s">
        <v>1407</v>
      </c>
      <c r="E276" s="767" t="s">
        <v>130</v>
      </c>
      <c r="F276" s="767" t="s">
        <v>1166</v>
      </c>
      <c r="G276" s="765" t="s">
        <v>3686</v>
      </c>
      <c r="H276" s="766" t="s">
        <v>2439</v>
      </c>
      <c r="I276" s="684"/>
      <c r="J276" s="616" t="s">
        <v>1072</v>
      </c>
      <c r="K276" s="617"/>
      <c r="L276" s="612"/>
      <c r="M276" s="613"/>
      <c r="N276" s="618" t="s">
        <v>209</v>
      </c>
      <c r="O276" s="618" t="s">
        <v>3827</v>
      </c>
      <c r="P276" s="500" t="s">
        <v>1804</v>
      </c>
      <c r="Q276" s="1358"/>
      <c r="S276" s="599"/>
      <c r="T276" s="599"/>
      <c r="U276" s="599"/>
      <c r="V276" s="599"/>
      <c r="W276" s="599"/>
      <c r="X276" s="599"/>
      <c r="Y276" s="599"/>
      <c r="Z276" s="599"/>
      <c r="AA276" s="599"/>
    </row>
    <row r="277" spans="2:27" ht="12" customHeight="1">
      <c r="B277" s="768"/>
      <c r="C277" s="763" t="s">
        <v>2186</v>
      </c>
      <c r="D277" s="763" t="s">
        <v>1407</v>
      </c>
      <c r="E277" s="767" t="s">
        <v>87</v>
      </c>
      <c r="F277" s="767" t="s">
        <v>1166</v>
      </c>
      <c r="G277" s="765" t="s">
        <v>1145</v>
      </c>
      <c r="H277" s="766" t="s">
        <v>2439</v>
      </c>
      <c r="I277" s="684"/>
      <c r="J277" s="616" t="s">
        <v>1073</v>
      </c>
      <c r="K277" s="617"/>
      <c r="L277" s="612"/>
      <c r="M277" s="613"/>
      <c r="N277" s="618" t="s">
        <v>2088</v>
      </c>
      <c r="O277" s="618" t="s">
        <v>1184</v>
      </c>
      <c r="P277" s="500" t="s">
        <v>1805</v>
      </c>
      <c r="Q277" s="1358"/>
      <c r="S277" s="599"/>
      <c r="T277" s="599"/>
      <c r="U277" s="599"/>
      <c r="V277" s="599"/>
      <c r="W277" s="599"/>
      <c r="X277" s="599"/>
      <c r="Y277" s="599"/>
      <c r="Z277" s="599"/>
      <c r="AA277" s="599"/>
    </row>
    <row r="278" spans="2:27" ht="12" customHeight="1">
      <c r="B278" s="768"/>
      <c r="C278" s="763" t="s">
        <v>2187</v>
      </c>
      <c r="D278" s="763" t="s">
        <v>1307</v>
      </c>
      <c r="E278" s="764" t="s">
        <v>1518</v>
      </c>
      <c r="F278" s="764" t="s">
        <v>1166</v>
      </c>
      <c r="G278" s="765" t="s">
        <v>1125</v>
      </c>
      <c r="H278" s="766" t="s">
        <v>2439</v>
      </c>
      <c r="I278" s="683"/>
      <c r="J278" s="616" t="s">
        <v>208</v>
      </c>
      <c r="K278" s="617"/>
      <c r="L278" s="612"/>
      <c r="M278" s="613"/>
      <c r="N278" s="618" t="s">
        <v>2421</v>
      </c>
      <c r="O278" s="618" t="s">
        <v>418</v>
      </c>
      <c r="P278" s="500" t="s">
        <v>1806</v>
      </c>
      <c r="Q278" s="1358"/>
      <c r="S278" s="599"/>
      <c r="T278" s="599"/>
      <c r="U278" s="599"/>
      <c r="V278" s="599"/>
      <c r="W278" s="599"/>
      <c r="X278" s="599"/>
      <c r="Y278" s="599"/>
      <c r="Z278" s="599"/>
      <c r="AA278" s="599"/>
    </row>
    <row r="279" spans="2:27" ht="12" customHeight="1">
      <c r="B279" s="768"/>
      <c r="C279" s="763" t="s">
        <v>2188</v>
      </c>
      <c r="D279" s="763" t="s">
        <v>1407</v>
      </c>
      <c r="E279" s="767" t="s">
        <v>91</v>
      </c>
      <c r="F279" s="767" t="s">
        <v>1166</v>
      </c>
      <c r="G279" s="765" t="s">
        <v>2608</v>
      </c>
      <c r="H279" s="766" t="s">
        <v>2439</v>
      </c>
      <c r="I279" s="684"/>
      <c r="J279" s="616" t="s">
        <v>210</v>
      </c>
      <c r="K279" s="617"/>
      <c r="L279" s="612"/>
      <c r="M279" s="613"/>
      <c r="N279" s="618" t="s">
        <v>3947</v>
      </c>
      <c r="O279" s="618" t="s">
        <v>416</v>
      </c>
      <c r="P279" s="500" t="s">
        <v>1807</v>
      </c>
      <c r="Q279" s="1358"/>
      <c r="S279" s="599"/>
      <c r="T279" s="599"/>
      <c r="U279" s="599"/>
      <c r="V279" s="599"/>
      <c r="W279" s="599"/>
      <c r="X279" s="599"/>
      <c r="Y279" s="599"/>
      <c r="Z279" s="599"/>
      <c r="AA279" s="599"/>
    </row>
    <row r="280" spans="2:27" ht="12" customHeight="1">
      <c r="B280" s="768"/>
      <c r="C280" s="763" t="s">
        <v>1873</v>
      </c>
      <c r="D280" s="763" t="s">
        <v>1307</v>
      </c>
      <c r="E280" s="764" t="s">
        <v>1874</v>
      </c>
      <c r="F280" s="764" t="s">
        <v>1165</v>
      </c>
      <c r="G280" s="765" t="s">
        <v>2609</v>
      </c>
      <c r="H280" s="766" t="s">
        <v>2438</v>
      </c>
      <c r="I280" s="683"/>
      <c r="J280" s="616" t="s">
        <v>3288</v>
      </c>
      <c r="K280" s="617"/>
      <c r="L280" s="612"/>
      <c r="M280" s="613"/>
      <c r="N280" s="618" t="s">
        <v>3949</v>
      </c>
      <c r="O280" s="618" t="s">
        <v>853</v>
      </c>
      <c r="P280" s="500" t="s">
        <v>1808</v>
      </c>
      <c r="Q280" s="1358"/>
      <c r="S280" s="599"/>
      <c r="T280" s="599"/>
      <c r="U280" s="599"/>
      <c r="V280" s="599"/>
      <c r="W280" s="599"/>
      <c r="X280" s="599"/>
      <c r="Y280" s="599"/>
      <c r="Z280" s="599"/>
      <c r="AA280" s="599"/>
    </row>
    <row r="281" spans="2:27" ht="12" customHeight="1">
      <c r="B281" s="768"/>
      <c r="C281" s="763" t="s">
        <v>1875</v>
      </c>
      <c r="D281" s="763" t="s">
        <v>1307</v>
      </c>
      <c r="E281" s="764" t="s">
        <v>1876</v>
      </c>
      <c r="F281" s="764" t="s">
        <v>1165</v>
      </c>
      <c r="G281" s="765" t="s">
        <v>2610</v>
      </c>
      <c r="H281" s="766" t="s">
        <v>2438</v>
      </c>
      <c r="I281" s="683"/>
      <c r="J281" s="616" t="s">
        <v>2420</v>
      </c>
      <c r="K281" s="617"/>
      <c r="L281" s="612"/>
      <c r="M281" s="613"/>
      <c r="N281" s="618" t="s">
        <v>3951</v>
      </c>
      <c r="O281" s="618" t="s">
        <v>1132</v>
      </c>
      <c r="P281" s="500" t="s">
        <v>1809</v>
      </c>
      <c r="Q281" s="1358"/>
      <c r="S281" s="599"/>
      <c r="T281" s="599"/>
      <c r="U281" s="599"/>
      <c r="V281" s="599"/>
      <c r="W281" s="599"/>
      <c r="X281" s="599"/>
      <c r="Y281" s="599"/>
      <c r="Z281" s="599"/>
      <c r="AA281" s="599"/>
    </row>
    <row r="282" spans="2:27" ht="12" customHeight="1">
      <c r="B282" s="768"/>
      <c r="C282" s="763" t="s">
        <v>1877</v>
      </c>
      <c r="D282" s="763" t="s">
        <v>1407</v>
      </c>
      <c r="E282" s="767" t="s">
        <v>3933</v>
      </c>
      <c r="F282" s="767" t="s">
        <v>1166</v>
      </c>
      <c r="G282" s="765" t="s">
        <v>2611</v>
      </c>
      <c r="H282" s="766" t="s">
        <v>2439</v>
      </c>
      <c r="I282" s="684"/>
      <c r="J282" s="616" t="s">
        <v>3946</v>
      </c>
      <c r="K282" s="617"/>
      <c r="L282" s="612"/>
      <c r="M282" s="613"/>
      <c r="N282" s="618" t="s">
        <v>2600</v>
      </c>
      <c r="O282" s="618" t="s">
        <v>1302</v>
      </c>
      <c r="P282" s="500" t="s">
        <v>1810</v>
      </c>
      <c r="Q282" s="1358"/>
      <c r="S282" s="599"/>
      <c r="T282" s="599"/>
      <c r="U282" s="599"/>
      <c r="V282" s="599"/>
      <c r="W282" s="599"/>
      <c r="X282" s="599"/>
      <c r="Y282" s="599"/>
      <c r="Z282" s="599"/>
      <c r="AA282" s="599"/>
    </row>
    <row r="283" spans="2:27" ht="12" customHeight="1">
      <c r="B283" s="768"/>
      <c r="C283" s="763" t="s">
        <v>2021</v>
      </c>
      <c r="D283" s="763" t="s">
        <v>1307</v>
      </c>
      <c r="E283" s="764" t="s">
        <v>2022</v>
      </c>
      <c r="F283" s="764" t="s">
        <v>1165</v>
      </c>
      <c r="G283" s="765" t="s">
        <v>2612</v>
      </c>
      <c r="H283" s="766" t="s">
        <v>2438</v>
      </c>
      <c r="I283" s="683"/>
      <c r="J283" s="616" t="s">
        <v>3948</v>
      </c>
      <c r="K283" s="617"/>
      <c r="L283" s="612"/>
      <c r="M283" s="613"/>
      <c r="N283" s="500" t="s">
        <v>3127</v>
      </c>
      <c r="O283" s="500" t="s">
        <v>2334</v>
      </c>
      <c r="P283" s="1360" t="s">
        <v>2509</v>
      </c>
      <c r="Q283" s="1358"/>
      <c r="S283" s="599"/>
      <c r="T283" s="599"/>
      <c r="U283" s="599"/>
      <c r="V283" s="599"/>
      <c r="W283" s="599"/>
      <c r="X283" s="599"/>
      <c r="Y283" s="599"/>
      <c r="Z283" s="599"/>
      <c r="AA283" s="599"/>
    </row>
    <row r="284" spans="2:27" ht="12" customHeight="1">
      <c r="B284" s="768"/>
      <c r="C284" s="763" t="s">
        <v>1130</v>
      </c>
      <c r="D284" s="763" t="s">
        <v>1407</v>
      </c>
      <c r="E284" s="767" t="s">
        <v>1131</v>
      </c>
      <c r="F284" s="767" t="s">
        <v>1165</v>
      </c>
      <c r="G284" s="765" t="s">
        <v>2613</v>
      </c>
      <c r="H284" s="766" t="s">
        <v>2438</v>
      </c>
      <c r="I284" s="684"/>
      <c r="J284" s="616" t="s">
        <v>3950</v>
      </c>
      <c r="K284" s="617"/>
      <c r="L284" s="612"/>
      <c r="M284" s="613"/>
      <c r="N284" s="618" t="s">
        <v>3953</v>
      </c>
      <c r="O284" s="618" t="s">
        <v>2037</v>
      </c>
      <c r="P284" s="500" t="s">
        <v>1811</v>
      </c>
      <c r="Q284" s="1358"/>
      <c r="S284" s="599"/>
      <c r="T284" s="599"/>
      <c r="U284" s="599"/>
      <c r="V284" s="599"/>
      <c r="W284" s="599"/>
      <c r="X284" s="599"/>
      <c r="Y284" s="599"/>
      <c r="Z284" s="599"/>
      <c r="AA284" s="599"/>
    </row>
    <row r="285" spans="2:27" ht="12" customHeight="1">
      <c r="B285" s="768"/>
      <c r="C285" s="763" t="s">
        <v>1132</v>
      </c>
      <c r="D285" s="763" t="s">
        <v>1383</v>
      </c>
      <c r="E285" s="764" t="s">
        <v>1133</v>
      </c>
      <c r="F285" s="764" t="s">
        <v>1166</v>
      </c>
      <c r="G285" s="765" t="s">
        <v>3887</v>
      </c>
      <c r="H285" s="766" t="s">
        <v>2439</v>
      </c>
      <c r="I285" s="683"/>
      <c r="J285" s="616" t="s">
        <v>3952</v>
      </c>
      <c r="K285" s="617"/>
      <c r="L285" s="612"/>
      <c r="M285" s="613"/>
      <c r="N285" s="618" t="s">
        <v>3955</v>
      </c>
      <c r="O285" s="618" t="s">
        <v>2037</v>
      </c>
      <c r="P285" s="500" t="s">
        <v>1812</v>
      </c>
      <c r="Q285" s="1358"/>
      <c r="S285" s="599"/>
      <c r="T285" s="599"/>
      <c r="U285" s="599"/>
      <c r="V285" s="599"/>
      <c r="W285" s="599"/>
      <c r="X285" s="599"/>
      <c r="Y285" s="599"/>
      <c r="Z285" s="599"/>
      <c r="AA285" s="599"/>
    </row>
    <row r="286" spans="2:27" ht="12" customHeight="1">
      <c r="B286" s="768"/>
      <c r="C286" s="763" t="s">
        <v>1134</v>
      </c>
      <c r="D286" s="763" t="s">
        <v>1407</v>
      </c>
      <c r="E286" s="767" t="s">
        <v>130</v>
      </c>
      <c r="F286" s="767" t="s">
        <v>1166</v>
      </c>
      <c r="G286" s="765" t="s">
        <v>3686</v>
      </c>
      <c r="H286" s="766" t="s">
        <v>2439</v>
      </c>
      <c r="I286" s="684"/>
      <c r="J286" s="616" t="s">
        <v>3954</v>
      </c>
      <c r="K286" s="617"/>
      <c r="L286" s="612"/>
      <c r="M286" s="613"/>
      <c r="N286" s="618" t="s">
        <v>2580</v>
      </c>
      <c r="O286" s="618" t="s">
        <v>2334</v>
      </c>
      <c r="P286" s="500" t="s">
        <v>1813</v>
      </c>
      <c r="Q286" s="1358"/>
      <c r="S286" s="599"/>
      <c r="T286" s="599"/>
      <c r="U286" s="599"/>
      <c r="V286" s="599"/>
      <c r="W286" s="599"/>
      <c r="X286" s="599"/>
      <c r="Y286" s="599"/>
      <c r="Z286" s="599"/>
      <c r="AA286" s="599"/>
    </row>
    <row r="287" spans="2:27" ht="12" customHeight="1">
      <c r="B287" s="768"/>
      <c r="C287" s="763" t="s">
        <v>1135</v>
      </c>
      <c r="D287" s="763" t="s">
        <v>1407</v>
      </c>
      <c r="E287" s="767" t="s">
        <v>86</v>
      </c>
      <c r="F287" s="767" t="s">
        <v>1166</v>
      </c>
      <c r="G287" s="765" t="s">
        <v>1120</v>
      </c>
      <c r="H287" s="766" t="s">
        <v>2439</v>
      </c>
      <c r="I287" s="684"/>
      <c r="J287" s="616" t="s">
        <v>2579</v>
      </c>
      <c r="K287" s="617"/>
      <c r="L287" s="612"/>
      <c r="M287" s="613"/>
      <c r="N287" s="618" t="s">
        <v>3078</v>
      </c>
      <c r="O287" s="618" t="s">
        <v>1637</v>
      </c>
      <c r="P287" s="500" t="s">
        <v>1814</v>
      </c>
      <c r="Q287" s="1358"/>
      <c r="S287" s="599"/>
      <c r="T287" s="599"/>
      <c r="U287" s="599"/>
      <c r="V287" s="599"/>
      <c r="W287" s="599"/>
      <c r="X287" s="599"/>
      <c r="Y287" s="599"/>
      <c r="Z287" s="599"/>
      <c r="AA287" s="599"/>
    </row>
    <row r="288" spans="2:27" ht="12" customHeight="1">
      <c r="B288" s="768"/>
      <c r="C288" s="763" t="s">
        <v>1136</v>
      </c>
      <c r="D288" s="763" t="s">
        <v>1407</v>
      </c>
      <c r="E288" s="764" t="s">
        <v>3934</v>
      </c>
      <c r="F288" s="764" t="s">
        <v>1166</v>
      </c>
      <c r="G288" s="765" t="s">
        <v>845</v>
      </c>
      <c r="H288" s="766" t="s">
        <v>2439</v>
      </c>
      <c r="I288" s="683"/>
      <c r="J288" s="616" t="s">
        <v>3076</v>
      </c>
      <c r="K288" s="617"/>
      <c r="L288" s="612"/>
      <c r="M288" s="613"/>
      <c r="N288" s="618" t="s">
        <v>3269</v>
      </c>
      <c r="O288" s="618" t="s">
        <v>853</v>
      </c>
      <c r="P288" s="500" t="s">
        <v>1815</v>
      </c>
      <c r="Q288" s="1358"/>
      <c r="S288" s="599"/>
      <c r="T288" s="599"/>
      <c r="U288" s="599"/>
      <c r="V288" s="599"/>
      <c r="W288" s="599"/>
      <c r="X288" s="599"/>
      <c r="Y288" s="599"/>
      <c r="Z288" s="599"/>
      <c r="AA288" s="599"/>
    </row>
    <row r="289" spans="2:27" ht="12" customHeight="1">
      <c r="B289" s="768"/>
      <c r="C289" s="763" t="s">
        <v>1137</v>
      </c>
      <c r="D289" s="763" t="s">
        <v>1407</v>
      </c>
      <c r="E289" s="764" t="s">
        <v>3934</v>
      </c>
      <c r="F289" s="764" t="s">
        <v>1166</v>
      </c>
      <c r="G289" s="765" t="s">
        <v>845</v>
      </c>
      <c r="H289" s="766" t="s">
        <v>2439</v>
      </c>
      <c r="I289" s="683"/>
      <c r="J289" s="616" t="s">
        <v>3077</v>
      </c>
      <c r="K289" s="617"/>
      <c r="L289" s="612"/>
      <c r="M289" s="613"/>
      <c r="N289" s="618" t="s">
        <v>3271</v>
      </c>
      <c r="O289" s="618" t="s">
        <v>3616</v>
      </c>
      <c r="P289" s="500" t="s">
        <v>1816</v>
      </c>
      <c r="Q289" s="1358"/>
      <c r="S289" s="599"/>
      <c r="T289" s="599"/>
      <c r="U289" s="599"/>
      <c r="V289" s="599"/>
      <c r="W289" s="599"/>
      <c r="X289" s="599"/>
      <c r="Y289" s="599"/>
      <c r="Z289" s="599"/>
      <c r="AA289" s="599"/>
    </row>
    <row r="290" spans="2:27" ht="12" customHeight="1">
      <c r="B290" s="768"/>
      <c r="C290" s="763" t="s">
        <v>1138</v>
      </c>
      <c r="D290" s="763" t="s">
        <v>1383</v>
      </c>
      <c r="E290" s="767" t="s">
        <v>86</v>
      </c>
      <c r="F290" s="767" t="s">
        <v>1166</v>
      </c>
      <c r="G290" s="765" t="s">
        <v>1120</v>
      </c>
      <c r="H290" s="766" t="s">
        <v>2439</v>
      </c>
      <c r="I290" s="684"/>
      <c r="J290" s="616" t="s">
        <v>3268</v>
      </c>
      <c r="K290" s="617"/>
      <c r="L290" s="612"/>
      <c r="M290" s="613"/>
      <c r="N290" s="618" t="s">
        <v>3155</v>
      </c>
      <c r="O290" s="618" t="s">
        <v>1192</v>
      </c>
      <c r="P290" s="500" t="s">
        <v>1817</v>
      </c>
      <c r="Q290" s="1358"/>
      <c r="S290" s="599"/>
      <c r="T290" s="599"/>
      <c r="U290" s="599"/>
      <c r="V290" s="599"/>
      <c r="W290" s="599"/>
      <c r="X290" s="599"/>
      <c r="Y290" s="599"/>
      <c r="Z290" s="599"/>
      <c r="AA290" s="599"/>
    </row>
    <row r="291" spans="2:27" ht="12" customHeight="1">
      <c r="B291" s="768"/>
      <c r="C291" s="763" t="s">
        <v>1178</v>
      </c>
      <c r="D291" s="763" t="s">
        <v>1407</v>
      </c>
      <c r="E291" s="767" t="s">
        <v>1179</v>
      </c>
      <c r="F291" s="767" t="s">
        <v>1165</v>
      </c>
      <c r="G291" s="765" t="s">
        <v>3888</v>
      </c>
      <c r="H291" s="766" t="s">
        <v>2438</v>
      </c>
      <c r="I291" s="684"/>
      <c r="J291" s="616" t="s">
        <v>3270</v>
      </c>
      <c r="K291" s="617"/>
      <c r="L291" s="612"/>
      <c r="M291" s="613"/>
      <c r="N291" s="618" t="s">
        <v>3274</v>
      </c>
      <c r="O291" s="618" t="s">
        <v>409</v>
      </c>
      <c r="P291" s="500" t="s">
        <v>1818</v>
      </c>
      <c r="Q291" s="1358"/>
      <c r="S291" s="599"/>
      <c r="T291" s="599"/>
      <c r="U291" s="599"/>
      <c r="V291" s="599"/>
      <c r="W291" s="599"/>
      <c r="X291" s="599"/>
      <c r="Y291" s="599"/>
      <c r="Z291" s="599"/>
      <c r="AA291" s="599"/>
    </row>
    <row r="292" spans="2:27" ht="12" customHeight="1">
      <c r="B292" s="768"/>
      <c r="C292" s="763" t="s">
        <v>1180</v>
      </c>
      <c r="D292" s="763" t="s">
        <v>1383</v>
      </c>
      <c r="E292" s="767" t="s">
        <v>86</v>
      </c>
      <c r="F292" s="767" t="s">
        <v>1166</v>
      </c>
      <c r="G292" s="765" t="s">
        <v>1120</v>
      </c>
      <c r="H292" s="766" t="s">
        <v>2439</v>
      </c>
      <c r="I292" s="684"/>
      <c r="J292" s="616" t="s">
        <v>3272</v>
      </c>
      <c r="K292" s="617"/>
      <c r="L292" s="612"/>
      <c r="M292" s="613"/>
      <c r="N292" s="618" t="s">
        <v>3167</v>
      </c>
      <c r="O292" s="618" t="s">
        <v>1629</v>
      </c>
      <c r="P292" s="500" t="s">
        <v>1819</v>
      </c>
      <c r="Q292" s="1358"/>
      <c r="S292" s="599"/>
      <c r="T292" s="599"/>
      <c r="U292" s="599"/>
      <c r="V292" s="599"/>
      <c r="W292" s="599"/>
      <c r="X292" s="599"/>
      <c r="Y292" s="599"/>
      <c r="Z292" s="599"/>
      <c r="AA292" s="599"/>
    </row>
    <row r="293" spans="2:27" ht="12" customHeight="1">
      <c r="B293" s="768"/>
      <c r="C293" s="763" t="s">
        <v>1181</v>
      </c>
      <c r="D293" s="763" t="s">
        <v>1307</v>
      </c>
      <c r="E293" s="764" t="s">
        <v>1182</v>
      </c>
      <c r="F293" s="764" t="s">
        <v>1165</v>
      </c>
      <c r="G293" s="765" t="s">
        <v>3889</v>
      </c>
      <c r="H293" s="766" t="s">
        <v>2438</v>
      </c>
      <c r="I293" s="683"/>
      <c r="J293" s="616" t="s">
        <v>3273</v>
      </c>
      <c r="K293" s="617"/>
      <c r="L293" s="612"/>
      <c r="M293" s="613"/>
      <c r="N293" s="618" t="s">
        <v>1593</v>
      </c>
      <c r="O293" s="618" t="s">
        <v>2034</v>
      </c>
      <c r="P293" s="500" t="s">
        <v>1820</v>
      </c>
      <c r="Q293" s="1358"/>
      <c r="S293" s="599"/>
      <c r="T293" s="599"/>
      <c r="U293" s="599"/>
      <c r="V293" s="599"/>
      <c r="W293" s="599"/>
      <c r="X293" s="599"/>
      <c r="Y293" s="599"/>
      <c r="Z293" s="599"/>
      <c r="AA293" s="599"/>
    </row>
    <row r="294" spans="2:27" ht="12" customHeight="1">
      <c r="B294" s="768"/>
      <c r="C294" s="763" t="s">
        <v>1183</v>
      </c>
      <c r="D294" s="763" t="s">
        <v>1407</v>
      </c>
      <c r="E294" s="767" t="s">
        <v>86</v>
      </c>
      <c r="F294" s="767" t="s">
        <v>1166</v>
      </c>
      <c r="G294" s="765" t="s">
        <v>1120</v>
      </c>
      <c r="H294" s="766" t="s">
        <v>2439</v>
      </c>
      <c r="I294" s="684"/>
      <c r="J294" s="616" t="s">
        <v>3275</v>
      </c>
      <c r="K294" s="617"/>
      <c r="L294" s="612"/>
      <c r="M294" s="613"/>
      <c r="N294" s="618" t="s">
        <v>1597</v>
      </c>
      <c r="O294" s="618" t="s">
        <v>2554</v>
      </c>
      <c r="P294" s="500" t="s">
        <v>1821</v>
      </c>
      <c r="Q294" s="599"/>
      <c r="S294" s="599"/>
      <c r="T294" s="599"/>
      <c r="U294" s="599"/>
      <c r="V294" s="599"/>
      <c r="W294" s="599"/>
      <c r="X294" s="599"/>
      <c r="Y294" s="599"/>
      <c r="Z294" s="599"/>
      <c r="AA294" s="599"/>
    </row>
    <row r="295" spans="2:27" ht="12" customHeight="1">
      <c r="B295" s="768"/>
      <c r="C295" s="763" t="s">
        <v>1184</v>
      </c>
      <c r="D295" s="763" t="s">
        <v>1383</v>
      </c>
      <c r="E295" s="764" t="s">
        <v>1185</v>
      </c>
      <c r="F295" s="764" t="s">
        <v>1165</v>
      </c>
      <c r="G295" s="765" t="s">
        <v>3890</v>
      </c>
      <c r="H295" s="766" t="s">
        <v>2438</v>
      </c>
      <c r="I295" s="683"/>
      <c r="J295" s="616" t="s">
        <v>3168</v>
      </c>
      <c r="K295" s="617"/>
      <c r="L295" s="612"/>
      <c r="M295" s="613"/>
      <c r="N295" s="618" t="s">
        <v>1599</v>
      </c>
      <c r="O295" s="618" t="s">
        <v>1393</v>
      </c>
      <c r="P295" s="500" t="s">
        <v>1822</v>
      </c>
      <c r="Q295" s="1358"/>
      <c r="S295" s="599"/>
      <c r="T295" s="599"/>
      <c r="U295" s="599"/>
      <c r="V295" s="599"/>
      <c r="W295" s="599"/>
      <c r="X295" s="599"/>
      <c r="Y295" s="599"/>
      <c r="Z295" s="599"/>
      <c r="AA295" s="599"/>
    </row>
    <row r="296" spans="2:27" ht="12" customHeight="1">
      <c r="B296" s="768"/>
      <c r="C296" s="763" t="s">
        <v>1186</v>
      </c>
      <c r="D296" s="763" t="s">
        <v>1307</v>
      </c>
      <c r="E296" s="767" t="s">
        <v>1187</v>
      </c>
      <c r="F296" s="767" t="s">
        <v>1165</v>
      </c>
      <c r="G296" s="765" t="s">
        <v>3891</v>
      </c>
      <c r="H296" s="766" t="s">
        <v>2438</v>
      </c>
      <c r="I296" s="684"/>
      <c r="J296" s="616" t="s">
        <v>1594</v>
      </c>
      <c r="K296" s="617"/>
      <c r="L296" s="612"/>
      <c r="M296" s="613"/>
      <c r="N296" s="618" t="s">
        <v>1324</v>
      </c>
      <c r="O296" s="618" t="s">
        <v>3885</v>
      </c>
      <c r="P296" s="500" t="s">
        <v>1823</v>
      </c>
      <c r="Q296" s="1358"/>
      <c r="S296" s="599"/>
      <c r="T296" s="599"/>
      <c r="U296" s="599"/>
      <c r="V296" s="599"/>
      <c r="W296" s="599"/>
      <c r="X296" s="599"/>
      <c r="Y296" s="599"/>
      <c r="Z296" s="599"/>
      <c r="AA296" s="599"/>
    </row>
    <row r="297" spans="2:27" ht="12" customHeight="1">
      <c r="B297" s="768"/>
      <c r="C297" s="763" t="s">
        <v>1188</v>
      </c>
      <c r="D297" s="763" t="s">
        <v>1407</v>
      </c>
      <c r="E297" s="767" t="s">
        <v>1189</v>
      </c>
      <c r="F297" s="767" t="s">
        <v>1165</v>
      </c>
      <c r="G297" s="765" t="s">
        <v>3892</v>
      </c>
      <c r="H297" s="766" t="s">
        <v>2438</v>
      </c>
      <c r="I297" s="684"/>
      <c r="J297" s="616" t="s">
        <v>1595</v>
      </c>
      <c r="K297" s="617"/>
      <c r="L297" s="612"/>
      <c r="M297" s="613"/>
      <c r="N297" s="618" t="s">
        <v>1326</v>
      </c>
      <c r="O297" s="618" t="s">
        <v>2016</v>
      </c>
      <c r="P297" s="500" t="s">
        <v>1824</v>
      </c>
      <c r="Q297" s="1358"/>
      <c r="S297" s="599"/>
      <c r="T297" s="599"/>
      <c r="U297" s="599"/>
      <c r="V297" s="599"/>
      <c r="W297" s="599"/>
      <c r="X297" s="599"/>
      <c r="Y297" s="599"/>
      <c r="Z297" s="599"/>
      <c r="AA297" s="599"/>
    </row>
    <row r="298" spans="2:27" ht="12" customHeight="1">
      <c r="B298" s="768"/>
      <c r="C298" s="763" t="s">
        <v>1190</v>
      </c>
      <c r="D298" s="763" t="s">
        <v>1307</v>
      </c>
      <c r="E298" s="764" t="s">
        <v>1191</v>
      </c>
      <c r="F298" s="764" t="s">
        <v>1165</v>
      </c>
      <c r="G298" s="765" t="s">
        <v>2116</v>
      </c>
      <c r="H298" s="766" t="s">
        <v>2438</v>
      </c>
      <c r="I298" s="683"/>
      <c r="J298" s="616" t="s">
        <v>1596</v>
      </c>
      <c r="K298" s="617"/>
      <c r="L298" s="612"/>
      <c r="M298" s="613"/>
      <c r="N298" s="618" t="s">
        <v>1328</v>
      </c>
      <c r="O298" s="618" t="s">
        <v>1194</v>
      </c>
      <c r="P298" s="1359" t="s">
        <v>1006</v>
      </c>
      <c r="Q298" s="599"/>
      <c r="S298" s="599"/>
      <c r="T298" s="599"/>
      <c r="U298" s="599"/>
      <c r="V298" s="599"/>
      <c r="W298" s="599"/>
      <c r="X298" s="599"/>
      <c r="Y298" s="599"/>
      <c r="Z298" s="599"/>
      <c r="AA298" s="599"/>
    </row>
    <row r="299" spans="2:27" ht="12" customHeight="1">
      <c r="B299" s="768"/>
      <c r="C299" s="763" t="s">
        <v>1192</v>
      </c>
      <c r="D299" s="763" t="s">
        <v>1383</v>
      </c>
      <c r="E299" s="764" t="s">
        <v>1193</v>
      </c>
      <c r="F299" s="764" t="s">
        <v>1165</v>
      </c>
      <c r="G299" s="765" t="s">
        <v>2117</v>
      </c>
      <c r="H299" s="766" t="s">
        <v>2438</v>
      </c>
      <c r="I299" s="683"/>
      <c r="J299" s="616" t="s">
        <v>1598</v>
      </c>
      <c r="K299" s="617"/>
      <c r="L299" s="612"/>
      <c r="M299" s="613"/>
      <c r="N299" s="618" t="s">
        <v>1330</v>
      </c>
      <c r="O299" s="618" t="s">
        <v>1302</v>
      </c>
      <c r="P299" s="500" t="s">
        <v>1825</v>
      </c>
      <c r="Q299" s="1358"/>
      <c r="S299" s="599"/>
      <c r="T299" s="599"/>
      <c r="U299" s="599"/>
      <c r="V299" s="599"/>
      <c r="W299" s="599"/>
      <c r="X299" s="599"/>
      <c r="Y299" s="599"/>
      <c r="Z299" s="599"/>
      <c r="AA299" s="599"/>
    </row>
    <row r="300" spans="2:27" ht="12" customHeight="1">
      <c r="B300" s="768"/>
      <c r="C300" s="763" t="s">
        <v>1194</v>
      </c>
      <c r="D300" s="763" t="s">
        <v>1307</v>
      </c>
      <c r="E300" s="764" t="s">
        <v>1195</v>
      </c>
      <c r="F300" s="764" t="s">
        <v>1165</v>
      </c>
      <c r="G300" s="765" t="s">
        <v>2118</v>
      </c>
      <c r="H300" s="766" t="s">
        <v>2438</v>
      </c>
      <c r="I300" s="683"/>
      <c r="J300" s="616" t="s">
        <v>1323</v>
      </c>
      <c r="K300" s="617"/>
      <c r="L300" s="612"/>
      <c r="M300" s="613"/>
      <c r="N300" s="618" t="s">
        <v>1332</v>
      </c>
      <c r="O300" s="618" t="s">
        <v>2554</v>
      </c>
      <c r="P300" s="500" t="s">
        <v>1826</v>
      </c>
      <c r="Q300" s="1358"/>
      <c r="S300" s="599"/>
      <c r="T300" s="599"/>
      <c r="U300" s="599"/>
      <c r="V300" s="599"/>
      <c r="W300" s="599"/>
      <c r="X300" s="599"/>
      <c r="Y300" s="599"/>
      <c r="Z300" s="599"/>
      <c r="AA300" s="599"/>
    </row>
    <row r="301" spans="2:27" ht="12" customHeight="1">
      <c r="B301" s="768"/>
      <c r="C301" s="763" t="s">
        <v>1196</v>
      </c>
      <c r="D301" s="763" t="s">
        <v>1407</v>
      </c>
      <c r="E301" s="767" t="s">
        <v>87</v>
      </c>
      <c r="F301" s="767" t="s">
        <v>1166</v>
      </c>
      <c r="G301" s="765" t="s">
        <v>1145</v>
      </c>
      <c r="H301" s="766" t="s">
        <v>2439</v>
      </c>
      <c r="I301" s="684"/>
      <c r="J301" s="616" t="s">
        <v>1325</v>
      </c>
      <c r="K301" s="617"/>
      <c r="L301" s="612"/>
      <c r="M301" s="613"/>
      <c r="N301" s="618" t="s">
        <v>3161</v>
      </c>
      <c r="O301" s="618" t="s">
        <v>1873</v>
      </c>
      <c r="P301" s="500" t="s">
        <v>1827</v>
      </c>
      <c r="Q301" s="1358"/>
      <c r="S301" s="599"/>
      <c r="T301" s="599"/>
      <c r="U301" s="599"/>
      <c r="V301" s="599"/>
      <c r="W301" s="599"/>
      <c r="X301" s="599"/>
      <c r="Y301" s="599"/>
      <c r="Z301" s="599"/>
      <c r="AA301" s="599"/>
    </row>
    <row r="302" spans="2:27" ht="12" customHeight="1">
      <c r="B302" s="768"/>
      <c r="C302" s="763" t="s">
        <v>1197</v>
      </c>
      <c r="D302" s="763" t="s">
        <v>1407</v>
      </c>
      <c r="E302" s="767" t="s">
        <v>86</v>
      </c>
      <c r="F302" s="767" t="s">
        <v>1166</v>
      </c>
      <c r="G302" s="765" t="s">
        <v>1120</v>
      </c>
      <c r="H302" s="766" t="s">
        <v>2439</v>
      </c>
      <c r="I302" s="684"/>
      <c r="J302" s="616" t="s">
        <v>1327</v>
      </c>
      <c r="K302" s="617"/>
      <c r="L302" s="612"/>
      <c r="M302" s="613"/>
      <c r="N302" s="618" t="s">
        <v>130</v>
      </c>
      <c r="O302" s="618" t="s">
        <v>1134</v>
      </c>
      <c r="P302" s="1359" t="s">
        <v>1006</v>
      </c>
      <c r="Q302" s="599"/>
      <c r="S302" s="599"/>
      <c r="T302" s="599"/>
      <c r="U302" s="599"/>
      <c r="V302" s="599"/>
      <c r="W302" s="599"/>
      <c r="X302" s="599"/>
      <c r="Y302" s="599"/>
      <c r="Z302" s="599"/>
      <c r="AA302" s="599"/>
    </row>
    <row r="303" spans="2:27" ht="12" customHeight="1">
      <c r="B303" s="768"/>
      <c r="C303" s="763" t="s">
        <v>1198</v>
      </c>
      <c r="D303" s="763" t="s">
        <v>1407</v>
      </c>
      <c r="E303" s="764" t="s">
        <v>2538</v>
      </c>
      <c r="F303" s="764" t="s">
        <v>1165</v>
      </c>
      <c r="G303" s="765" t="s">
        <v>2119</v>
      </c>
      <c r="H303" s="766" t="s">
        <v>2438</v>
      </c>
      <c r="I303" s="683"/>
      <c r="J303" s="616" t="s">
        <v>1329</v>
      </c>
      <c r="K303" s="617"/>
      <c r="L303" s="612"/>
      <c r="M303" s="613"/>
      <c r="N303" s="618" t="s">
        <v>1079</v>
      </c>
      <c r="O303" s="618" t="s">
        <v>2016</v>
      </c>
      <c r="P303" s="500" t="s">
        <v>1828</v>
      </c>
      <c r="Q303" s="1358"/>
      <c r="S303" s="599"/>
      <c r="T303" s="599"/>
      <c r="U303" s="599"/>
      <c r="V303" s="599"/>
      <c r="W303" s="599"/>
      <c r="X303" s="599"/>
      <c r="Y303" s="599"/>
      <c r="Z303" s="599"/>
      <c r="AA303" s="599"/>
    </row>
    <row r="304" spans="2:27" ht="12" customHeight="1">
      <c r="B304" s="768"/>
      <c r="C304" s="763" t="s">
        <v>2539</v>
      </c>
      <c r="D304" s="763" t="s">
        <v>1307</v>
      </c>
      <c r="E304" s="764" t="s">
        <v>2540</v>
      </c>
      <c r="F304" s="764" t="s">
        <v>1165</v>
      </c>
      <c r="G304" s="765" t="s">
        <v>2120</v>
      </c>
      <c r="H304" s="766" t="s">
        <v>2438</v>
      </c>
      <c r="I304" s="683"/>
      <c r="J304" s="616" t="s">
        <v>1331</v>
      </c>
      <c r="K304" s="617"/>
      <c r="L304" s="612"/>
      <c r="M304" s="613"/>
      <c r="N304" s="618" t="s">
        <v>1081</v>
      </c>
      <c r="O304" s="618" t="s">
        <v>421</v>
      </c>
      <c r="P304" s="500" t="s">
        <v>1829</v>
      </c>
      <c r="Q304" s="1358"/>
      <c r="S304" s="599"/>
      <c r="T304" s="599"/>
      <c r="U304" s="599"/>
      <c r="V304" s="599"/>
      <c r="W304" s="599"/>
      <c r="X304" s="599"/>
      <c r="Y304" s="599"/>
      <c r="Z304" s="599"/>
      <c r="AA304" s="599"/>
    </row>
    <row r="305" spans="2:27" ht="12" customHeight="1">
      <c r="B305" s="768"/>
      <c r="C305" s="763" t="s">
        <v>1708</v>
      </c>
      <c r="D305" s="763" t="s">
        <v>1708</v>
      </c>
      <c r="E305" s="763" t="s">
        <v>1708</v>
      </c>
      <c r="F305" s="764"/>
      <c r="G305" s="765"/>
      <c r="H305" s="766"/>
      <c r="I305" s="684"/>
      <c r="J305" s="616" t="s">
        <v>1333</v>
      </c>
      <c r="K305" s="617"/>
      <c r="L305" s="612"/>
      <c r="M305" s="613"/>
      <c r="N305" s="618" t="s">
        <v>1083</v>
      </c>
      <c r="O305" s="618" t="s">
        <v>1183</v>
      </c>
      <c r="P305" s="500" t="s">
        <v>1830</v>
      </c>
      <c r="Q305" s="599"/>
      <c r="S305" s="599"/>
      <c r="T305" s="599"/>
      <c r="U305" s="599"/>
      <c r="V305" s="599"/>
      <c r="W305" s="599"/>
      <c r="X305" s="599"/>
      <c r="Y305" s="599"/>
      <c r="Z305" s="599"/>
      <c r="AA305" s="599"/>
    </row>
    <row r="306" spans="2:27" ht="12" customHeight="1">
      <c r="B306" s="768"/>
      <c r="C306" s="763" t="s">
        <v>2541</v>
      </c>
      <c r="D306" s="763" t="s">
        <v>1307</v>
      </c>
      <c r="E306" s="767" t="s">
        <v>2542</v>
      </c>
      <c r="F306" s="764" t="s">
        <v>1165</v>
      </c>
      <c r="G306" s="765" t="s">
        <v>596</v>
      </c>
      <c r="H306" s="766" t="s">
        <v>2438</v>
      </c>
      <c r="I306" s="684"/>
      <c r="J306" s="616" t="s">
        <v>1077</v>
      </c>
      <c r="K306" s="617"/>
      <c r="L306" s="612"/>
      <c r="M306" s="613"/>
      <c r="N306" s="500" t="s">
        <v>3128</v>
      </c>
      <c r="O306" s="500" t="s">
        <v>3155</v>
      </c>
      <c r="P306" s="1360" t="s">
        <v>2509</v>
      </c>
      <c r="Q306" s="599"/>
      <c r="S306" s="599"/>
      <c r="T306" s="599"/>
      <c r="U306" s="599"/>
      <c r="V306" s="599"/>
      <c r="W306" s="599"/>
      <c r="X306" s="599"/>
      <c r="Y306" s="599"/>
      <c r="Z306" s="599"/>
      <c r="AA306" s="599"/>
    </row>
    <row r="307" spans="2:27" ht="12" customHeight="1">
      <c r="B307" s="768"/>
      <c r="C307" s="763" t="s">
        <v>2543</v>
      </c>
      <c r="D307" s="763" t="s">
        <v>1407</v>
      </c>
      <c r="E307" s="767" t="s">
        <v>86</v>
      </c>
      <c r="F307" s="767" t="s">
        <v>1166</v>
      </c>
      <c r="G307" s="765" t="s">
        <v>1120</v>
      </c>
      <c r="H307" s="766" t="s">
        <v>2439</v>
      </c>
      <c r="I307" s="684"/>
      <c r="J307" s="616" t="s">
        <v>1078</v>
      </c>
      <c r="K307" s="617"/>
      <c r="L307" s="612"/>
      <c r="M307" s="613"/>
      <c r="N307" s="618" t="s">
        <v>2508</v>
      </c>
      <c r="O307" s="618" t="s">
        <v>1197</v>
      </c>
      <c r="P307" s="500" t="s">
        <v>1831</v>
      </c>
      <c r="Q307" s="1358"/>
      <c r="S307" s="599"/>
      <c r="T307" s="599"/>
      <c r="U307" s="599"/>
      <c r="V307" s="599"/>
      <c r="W307" s="599"/>
      <c r="X307" s="599"/>
      <c r="Y307" s="599"/>
      <c r="Z307" s="599"/>
      <c r="AA307" s="599"/>
    </row>
    <row r="308" spans="2:27" ht="12" customHeight="1">
      <c r="B308" s="768"/>
      <c r="C308" s="763" t="s">
        <v>2544</v>
      </c>
      <c r="D308" s="763" t="s">
        <v>1383</v>
      </c>
      <c r="E308" s="767" t="s">
        <v>2545</v>
      </c>
      <c r="F308" s="767" t="s">
        <v>1165</v>
      </c>
      <c r="G308" s="765" t="s">
        <v>2064</v>
      </c>
      <c r="H308" s="766" t="s">
        <v>2438</v>
      </c>
      <c r="I308" s="683"/>
      <c r="J308" s="616" t="s">
        <v>1080</v>
      </c>
      <c r="K308" s="617"/>
      <c r="L308" s="612"/>
      <c r="M308" s="613"/>
      <c r="N308" s="618" t="s">
        <v>2417</v>
      </c>
      <c r="O308" s="618" t="s">
        <v>1991</v>
      </c>
      <c r="P308" s="500" t="s">
        <v>1832</v>
      </c>
      <c r="Q308" s="1358"/>
      <c r="S308" s="599"/>
      <c r="T308" s="599"/>
      <c r="U308" s="599"/>
      <c r="V308" s="599"/>
      <c r="W308" s="599"/>
      <c r="X308" s="599"/>
      <c r="Y308" s="599"/>
      <c r="Z308" s="599"/>
      <c r="AA308" s="599"/>
    </row>
    <row r="309" spans="2:27" ht="12" customHeight="1">
      <c r="B309" s="768"/>
      <c r="C309" s="763" t="s">
        <v>2546</v>
      </c>
      <c r="D309" s="763" t="s">
        <v>1307</v>
      </c>
      <c r="E309" s="764" t="s">
        <v>2547</v>
      </c>
      <c r="F309" s="767" t="s">
        <v>1165</v>
      </c>
      <c r="G309" s="765" t="s">
        <v>1502</v>
      </c>
      <c r="H309" s="766" t="s">
        <v>2438</v>
      </c>
      <c r="I309" s="683"/>
      <c r="J309" s="616" t="s">
        <v>1082</v>
      </c>
      <c r="K309" s="617"/>
      <c r="L309" s="612"/>
      <c r="M309" s="613"/>
      <c r="N309" s="618" t="s">
        <v>2419</v>
      </c>
      <c r="O309" s="618" t="s">
        <v>3831</v>
      </c>
      <c r="P309" s="500" t="s">
        <v>1833</v>
      </c>
      <c r="Q309" s="1358"/>
      <c r="S309" s="599"/>
      <c r="T309" s="599"/>
      <c r="U309" s="599"/>
      <c r="V309" s="599"/>
      <c r="W309" s="599"/>
      <c r="X309" s="599"/>
      <c r="Y309" s="599"/>
      <c r="Z309" s="599"/>
      <c r="AA309" s="599"/>
    </row>
    <row r="310" spans="2:27" ht="12" customHeight="1">
      <c r="B310" s="768"/>
      <c r="C310" s="763" t="s">
        <v>2548</v>
      </c>
      <c r="D310" s="763" t="s">
        <v>1307</v>
      </c>
      <c r="E310" s="764" t="s">
        <v>2549</v>
      </c>
      <c r="F310" s="764" t="s">
        <v>1165</v>
      </c>
      <c r="G310" s="765" t="s">
        <v>1503</v>
      </c>
      <c r="H310" s="766" t="s">
        <v>2438</v>
      </c>
      <c r="I310" s="683"/>
      <c r="J310" s="616" t="s">
        <v>2506</v>
      </c>
      <c r="K310" s="617"/>
      <c r="L310" s="612"/>
      <c r="M310" s="613"/>
      <c r="N310" s="618" t="s">
        <v>1008</v>
      </c>
      <c r="O310" s="618" t="s">
        <v>416</v>
      </c>
      <c r="P310" s="1359" t="s">
        <v>1006</v>
      </c>
      <c r="Q310" s="599"/>
      <c r="S310" s="599"/>
      <c r="T310" s="599"/>
      <c r="U310" s="599"/>
      <c r="V310" s="599"/>
      <c r="W310" s="599"/>
      <c r="X310" s="599"/>
      <c r="Y310" s="599"/>
      <c r="Z310" s="599"/>
      <c r="AA310" s="599"/>
    </row>
    <row r="311" spans="2:27" ht="12" customHeight="1">
      <c r="B311" s="768"/>
      <c r="C311" s="763" t="s">
        <v>2550</v>
      </c>
      <c r="D311" s="763" t="s">
        <v>1407</v>
      </c>
      <c r="E311" s="764" t="s">
        <v>2551</v>
      </c>
      <c r="F311" s="764" t="s">
        <v>1165</v>
      </c>
      <c r="G311" s="765" t="s">
        <v>1504</v>
      </c>
      <c r="H311" s="766" t="s">
        <v>2438</v>
      </c>
      <c r="I311" s="683"/>
      <c r="J311" s="616" t="s">
        <v>2507</v>
      </c>
      <c r="K311" s="617"/>
      <c r="L311" s="612"/>
      <c r="M311" s="613"/>
      <c r="N311" s="618" t="s">
        <v>821</v>
      </c>
      <c r="O311" s="618" t="s">
        <v>1637</v>
      </c>
      <c r="P311" s="500" t="s">
        <v>1834</v>
      </c>
      <c r="Q311" s="1358"/>
      <c r="S311" s="599"/>
      <c r="T311" s="599"/>
      <c r="U311" s="599"/>
      <c r="V311" s="599"/>
      <c r="W311" s="599"/>
      <c r="X311" s="599"/>
      <c r="Y311" s="599"/>
      <c r="Z311" s="599"/>
      <c r="AA311" s="599"/>
    </row>
    <row r="312" spans="2:27" ht="12" customHeight="1">
      <c r="B312" s="768"/>
      <c r="C312" s="763" t="s">
        <v>2552</v>
      </c>
      <c r="D312" s="763" t="s">
        <v>1407</v>
      </c>
      <c r="E312" s="764" t="s">
        <v>2553</v>
      </c>
      <c r="F312" s="764" t="s">
        <v>1165</v>
      </c>
      <c r="G312" s="765" t="s">
        <v>2339</v>
      </c>
      <c r="H312" s="766" t="s">
        <v>2438</v>
      </c>
      <c r="I312" s="683"/>
      <c r="J312" s="616" t="s">
        <v>2416</v>
      </c>
      <c r="K312" s="617"/>
      <c r="L312" s="612"/>
      <c r="M312" s="613"/>
      <c r="N312" s="500" t="s">
        <v>3129</v>
      </c>
      <c r="O312" s="500" t="s">
        <v>1399</v>
      </c>
      <c r="P312" s="1360" t="s">
        <v>2509</v>
      </c>
      <c r="Q312" s="1358"/>
      <c r="S312" s="599"/>
      <c r="T312" s="599"/>
      <c r="U312" s="599"/>
      <c r="V312" s="599"/>
      <c r="W312" s="599"/>
      <c r="X312" s="599"/>
      <c r="Y312" s="599"/>
      <c r="Z312" s="599"/>
      <c r="AA312" s="599"/>
    </row>
    <row r="313" spans="2:27" ht="12" customHeight="1">
      <c r="B313" s="768"/>
      <c r="C313" s="763" t="s">
        <v>2554</v>
      </c>
      <c r="D313" s="763" t="s">
        <v>1307</v>
      </c>
      <c r="E313" s="764" t="s">
        <v>2555</v>
      </c>
      <c r="F313" s="764" t="s">
        <v>1165</v>
      </c>
      <c r="G313" s="765" t="s">
        <v>2340</v>
      </c>
      <c r="H313" s="766" t="s">
        <v>2438</v>
      </c>
      <c r="I313" s="683"/>
      <c r="J313" s="616" t="s">
        <v>2418</v>
      </c>
      <c r="K313" s="617"/>
      <c r="L313" s="612"/>
      <c r="M313" s="613"/>
      <c r="N313" s="618" t="s">
        <v>823</v>
      </c>
      <c r="O313" s="618" t="s">
        <v>1135</v>
      </c>
      <c r="P313" s="500" t="s">
        <v>1835</v>
      </c>
      <c r="Q313" s="599"/>
      <c r="S313" s="599"/>
      <c r="T313" s="599"/>
      <c r="U313" s="599"/>
      <c r="V313" s="599"/>
      <c r="W313" s="599"/>
      <c r="X313" s="599"/>
      <c r="Y313" s="599"/>
      <c r="Z313" s="599"/>
      <c r="AA313" s="599"/>
    </row>
    <row r="314" spans="2:27" ht="12" customHeight="1">
      <c r="B314" s="768"/>
      <c r="C314" s="763" t="s">
        <v>2556</v>
      </c>
      <c r="D314" s="763" t="s">
        <v>1407</v>
      </c>
      <c r="E314" s="764" t="s">
        <v>179</v>
      </c>
      <c r="F314" s="764" t="s">
        <v>1165</v>
      </c>
      <c r="G314" s="765" t="s">
        <v>2341</v>
      </c>
      <c r="H314" s="766" t="s">
        <v>2438</v>
      </c>
      <c r="I314" s="683"/>
      <c r="J314" s="616" t="s">
        <v>819</v>
      </c>
      <c r="K314" s="617"/>
      <c r="L314" s="612"/>
      <c r="M314" s="613"/>
      <c r="N314" s="618" t="s">
        <v>3830</v>
      </c>
      <c r="O314" s="618" t="s">
        <v>1137</v>
      </c>
      <c r="P314" s="500" t="s">
        <v>1836</v>
      </c>
      <c r="Q314" s="1358"/>
      <c r="S314" s="599"/>
      <c r="T314" s="599"/>
      <c r="U314" s="599"/>
      <c r="V314" s="599"/>
      <c r="W314" s="599"/>
      <c r="X314" s="599"/>
      <c r="Y314" s="599"/>
      <c r="Z314" s="599"/>
      <c r="AA314" s="599"/>
    </row>
    <row r="315" spans="2:27" ht="12" customHeight="1">
      <c r="B315" s="768"/>
      <c r="C315" s="763" t="s">
        <v>180</v>
      </c>
      <c r="D315" s="763" t="s">
        <v>1307</v>
      </c>
      <c r="E315" s="764" t="s">
        <v>181</v>
      </c>
      <c r="F315" s="764" t="s">
        <v>1165</v>
      </c>
      <c r="G315" s="765" t="s">
        <v>2342</v>
      </c>
      <c r="H315" s="766" t="s">
        <v>2438</v>
      </c>
      <c r="I315" s="684"/>
      <c r="J315" s="616" t="s">
        <v>820</v>
      </c>
      <c r="K315" s="617"/>
      <c r="L315" s="612"/>
      <c r="M315" s="613"/>
      <c r="N315" s="618" t="s">
        <v>827</v>
      </c>
      <c r="O315" s="618" t="s">
        <v>2552</v>
      </c>
      <c r="P315" s="500" t="s">
        <v>1837</v>
      </c>
      <c r="Q315" s="1358"/>
      <c r="S315" s="599"/>
      <c r="T315" s="599"/>
      <c r="U315" s="599"/>
      <c r="V315" s="599"/>
      <c r="W315" s="599"/>
      <c r="X315" s="599"/>
      <c r="Y315" s="599"/>
      <c r="Z315" s="599"/>
      <c r="AA315" s="599"/>
    </row>
    <row r="316" spans="2:27" ht="12" customHeight="1">
      <c r="B316" s="768"/>
      <c r="C316" s="763" t="s">
        <v>1990</v>
      </c>
      <c r="D316" s="763" t="s">
        <v>1307</v>
      </c>
      <c r="E316" s="767" t="s">
        <v>2113</v>
      </c>
      <c r="F316" s="764" t="s">
        <v>1166</v>
      </c>
      <c r="G316" s="765" t="s">
        <v>1257</v>
      </c>
      <c r="H316" s="766" t="s">
        <v>2439</v>
      </c>
      <c r="I316" s="684"/>
      <c r="J316" s="616" t="s">
        <v>822</v>
      </c>
      <c r="K316" s="617"/>
      <c r="L316" s="612"/>
      <c r="M316" s="613"/>
      <c r="N316" s="618" t="s">
        <v>829</v>
      </c>
      <c r="O316" s="618" t="s">
        <v>1877</v>
      </c>
      <c r="P316" s="500" t="s">
        <v>1838</v>
      </c>
      <c r="Q316" s="1358"/>
      <c r="S316" s="599"/>
      <c r="T316" s="599"/>
      <c r="U316" s="599"/>
      <c r="V316" s="599"/>
      <c r="W316" s="599"/>
      <c r="X316" s="599"/>
      <c r="Y316" s="599"/>
      <c r="Z316" s="599"/>
      <c r="AA316" s="599"/>
    </row>
    <row r="317" spans="2:27" ht="12" customHeight="1">
      <c r="B317" s="768"/>
      <c r="C317" s="763" t="s">
        <v>1991</v>
      </c>
      <c r="D317" s="763" t="s">
        <v>1307</v>
      </c>
      <c r="E317" s="767" t="s">
        <v>1992</v>
      </c>
      <c r="F317" s="767" t="s">
        <v>1165</v>
      </c>
      <c r="G317" s="765" t="s">
        <v>2343</v>
      </c>
      <c r="H317" s="766" t="s">
        <v>2438</v>
      </c>
      <c r="I317" s="684"/>
      <c r="J317" s="616" t="s">
        <v>824</v>
      </c>
      <c r="K317" s="617"/>
      <c r="L317" s="612"/>
      <c r="M317" s="613"/>
      <c r="N317" s="618" t="s">
        <v>748</v>
      </c>
      <c r="O317" s="618" t="s">
        <v>2563</v>
      </c>
      <c r="P317" s="500" t="s">
        <v>1839</v>
      </c>
      <c r="Q317" s="599"/>
      <c r="S317" s="599"/>
      <c r="T317" s="599"/>
      <c r="U317" s="599"/>
      <c r="V317" s="599"/>
      <c r="W317" s="599"/>
      <c r="X317" s="599"/>
      <c r="Y317" s="599"/>
      <c r="Z317" s="599"/>
      <c r="AA317" s="599"/>
    </row>
    <row r="318" spans="2:27" ht="12" customHeight="1">
      <c r="B318" s="768"/>
      <c r="C318" s="763" t="s">
        <v>1993</v>
      </c>
      <c r="D318" s="763" t="s">
        <v>1307</v>
      </c>
      <c r="E318" s="767" t="s">
        <v>2219</v>
      </c>
      <c r="F318" s="767" t="s">
        <v>1165</v>
      </c>
      <c r="G318" s="765" t="s">
        <v>1262</v>
      </c>
      <c r="H318" s="766" t="s">
        <v>2438</v>
      </c>
      <c r="I318" s="684"/>
      <c r="J318" s="616" t="s">
        <v>825</v>
      </c>
      <c r="K318" s="617"/>
      <c r="L318" s="612"/>
      <c r="M318" s="613"/>
      <c r="N318" s="618" t="s">
        <v>750</v>
      </c>
      <c r="O318" s="618" t="s">
        <v>129</v>
      </c>
      <c r="P318" s="1359" t="s">
        <v>1006</v>
      </c>
      <c r="Q318" s="1358"/>
      <c r="S318" s="599"/>
      <c r="T318" s="599"/>
      <c r="U318" s="599"/>
      <c r="V318" s="599"/>
      <c r="W318" s="599"/>
      <c r="X318" s="599"/>
      <c r="Y318" s="599"/>
      <c r="Z318" s="599"/>
      <c r="AA318" s="599"/>
    </row>
    <row r="319" spans="2:27" ht="12" customHeight="1">
      <c r="B319" s="768"/>
      <c r="C319" s="763" t="s">
        <v>2220</v>
      </c>
      <c r="D319" s="763" t="s">
        <v>1307</v>
      </c>
      <c r="E319" s="767" t="s">
        <v>2221</v>
      </c>
      <c r="F319" s="767" t="s">
        <v>1165</v>
      </c>
      <c r="G319" s="765" t="s">
        <v>1263</v>
      </c>
      <c r="H319" s="766" t="s">
        <v>2438</v>
      </c>
      <c r="I319" s="684"/>
      <c r="J319" s="616" t="s">
        <v>826</v>
      </c>
      <c r="K319" s="617"/>
      <c r="L319" s="612"/>
      <c r="M319" s="613"/>
      <c r="N319" s="618" t="s">
        <v>2780</v>
      </c>
      <c r="O319" s="618" t="s">
        <v>1194</v>
      </c>
      <c r="P319" s="500" t="s">
        <v>1840</v>
      </c>
      <c r="Q319" s="1358"/>
      <c r="S319" s="599"/>
      <c r="T319" s="599"/>
      <c r="U319" s="599"/>
      <c r="V319" s="599"/>
      <c r="W319" s="599"/>
      <c r="X319" s="599"/>
      <c r="Y319" s="599"/>
      <c r="Z319" s="599"/>
      <c r="AA319" s="599"/>
    </row>
    <row r="320" spans="2:27" ht="12" customHeight="1">
      <c r="B320" s="768"/>
      <c r="C320" s="763" t="s">
        <v>2222</v>
      </c>
      <c r="D320" s="763" t="s">
        <v>1383</v>
      </c>
      <c r="E320" s="767" t="s">
        <v>2223</v>
      </c>
      <c r="F320" s="767" t="s">
        <v>1165</v>
      </c>
      <c r="G320" s="765" t="s">
        <v>1264</v>
      </c>
      <c r="H320" s="766" t="s">
        <v>2438</v>
      </c>
      <c r="I320" s="684"/>
      <c r="J320" s="616" t="s">
        <v>828</v>
      </c>
      <c r="K320" s="617"/>
      <c r="L320" s="612"/>
      <c r="M320" s="613"/>
      <c r="N320" s="618" t="s">
        <v>2782</v>
      </c>
      <c r="O320" s="618" t="s">
        <v>1636</v>
      </c>
      <c r="P320" s="500" t="s">
        <v>1841</v>
      </c>
      <c r="Q320" s="1358"/>
      <c r="S320" s="599"/>
      <c r="T320" s="599"/>
      <c r="U320" s="599"/>
      <c r="V320" s="599"/>
      <c r="W320" s="599"/>
      <c r="X320" s="599"/>
      <c r="Y320" s="599"/>
      <c r="Z320" s="599"/>
      <c r="AA320" s="599"/>
    </row>
    <row r="321" spans="2:27" ht="12" customHeight="1">
      <c r="B321" s="768"/>
      <c r="C321" s="763" t="s">
        <v>2224</v>
      </c>
      <c r="D321" s="763" t="s">
        <v>1307</v>
      </c>
      <c r="E321" s="767" t="s">
        <v>2225</v>
      </c>
      <c r="F321" s="767" t="s">
        <v>1165</v>
      </c>
      <c r="G321" s="765" t="s">
        <v>1265</v>
      </c>
      <c r="H321" s="766" t="s">
        <v>2438</v>
      </c>
      <c r="I321" s="683"/>
      <c r="J321" s="616" t="s">
        <v>830</v>
      </c>
      <c r="K321" s="617"/>
      <c r="L321" s="612"/>
      <c r="M321" s="613"/>
      <c r="N321" s="618" t="s">
        <v>1548</v>
      </c>
      <c r="O321" s="618" t="s">
        <v>2013</v>
      </c>
      <c r="P321" s="500" t="s">
        <v>1842</v>
      </c>
      <c r="Q321" s="1358"/>
      <c r="S321" s="599"/>
      <c r="T321" s="599"/>
      <c r="U321" s="599"/>
      <c r="V321" s="599"/>
      <c r="W321" s="599"/>
      <c r="X321" s="599"/>
      <c r="Y321" s="599"/>
      <c r="Z321" s="599"/>
      <c r="AA321" s="599"/>
    </row>
    <row r="322" spans="2:27" ht="12" customHeight="1">
      <c r="B322" s="768"/>
      <c r="C322" s="763" t="s">
        <v>2226</v>
      </c>
      <c r="D322" s="763" t="s">
        <v>1407</v>
      </c>
      <c r="E322" s="764" t="s">
        <v>2227</v>
      </c>
      <c r="F322" s="767" t="s">
        <v>1165</v>
      </c>
      <c r="G322" s="765" t="s">
        <v>1266</v>
      </c>
      <c r="H322" s="766" t="s">
        <v>2438</v>
      </c>
      <c r="I322" s="684"/>
      <c r="J322" s="616" t="s">
        <v>749</v>
      </c>
      <c r="K322" s="617"/>
      <c r="L322" s="612"/>
      <c r="M322" s="613"/>
      <c r="N322" s="618" t="s">
        <v>2290</v>
      </c>
      <c r="O322" s="618" t="s">
        <v>3616</v>
      </c>
      <c r="P322" s="500" t="s">
        <v>1843</v>
      </c>
      <c r="Q322" s="1358"/>
      <c r="S322" s="599"/>
      <c r="T322" s="599"/>
      <c r="U322" s="599"/>
      <c r="V322" s="599"/>
      <c r="W322" s="599"/>
      <c r="X322" s="599"/>
      <c r="Y322" s="599"/>
      <c r="Z322" s="599"/>
      <c r="AA322" s="599"/>
    </row>
    <row r="323" spans="2:27" ht="12" customHeight="1">
      <c r="B323" s="768"/>
      <c r="C323" s="763" t="s">
        <v>2228</v>
      </c>
      <c r="D323" s="763" t="s">
        <v>1307</v>
      </c>
      <c r="E323" s="767" t="s">
        <v>2229</v>
      </c>
      <c r="F323" s="764" t="s">
        <v>1165</v>
      </c>
      <c r="G323" s="765" t="s">
        <v>1267</v>
      </c>
      <c r="H323" s="766" t="s">
        <v>2438</v>
      </c>
      <c r="I323" s="684"/>
      <c r="J323" s="616" t="s">
        <v>1252</v>
      </c>
      <c r="K323" s="617"/>
      <c r="L323" s="612"/>
      <c r="M323" s="613"/>
      <c r="N323" s="618" t="s">
        <v>2292</v>
      </c>
      <c r="O323" s="618" t="s">
        <v>1138</v>
      </c>
      <c r="P323" s="500" t="s">
        <v>1844</v>
      </c>
      <c r="Q323" s="1358"/>
      <c r="S323" s="599"/>
      <c r="T323" s="599"/>
      <c r="U323" s="599"/>
      <c r="V323" s="599"/>
      <c r="W323" s="599"/>
      <c r="X323" s="599"/>
      <c r="Y323" s="599"/>
      <c r="Z323" s="599"/>
      <c r="AA323" s="599"/>
    </row>
    <row r="324" spans="2:27" ht="12" customHeight="1">
      <c r="B324" s="768"/>
      <c r="C324" s="763" t="s">
        <v>2230</v>
      </c>
      <c r="D324" s="763" t="s">
        <v>1407</v>
      </c>
      <c r="E324" s="767" t="s">
        <v>1392</v>
      </c>
      <c r="F324" s="767" t="s">
        <v>1166</v>
      </c>
      <c r="G324" s="765" t="s">
        <v>1123</v>
      </c>
      <c r="H324" s="766" t="s">
        <v>2439</v>
      </c>
      <c r="I324" s="684"/>
      <c r="J324" s="616" t="s">
        <v>2781</v>
      </c>
      <c r="K324" s="617"/>
      <c r="L324" s="612"/>
      <c r="M324" s="613"/>
      <c r="N324" s="618" t="s">
        <v>433</v>
      </c>
      <c r="O324" s="618" t="s">
        <v>3885</v>
      </c>
      <c r="P324" s="500" t="s">
        <v>1845</v>
      </c>
      <c r="Q324" s="1358"/>
      <c r="S324" s="599"/>
      <c r="T324" s="599"/>
      <c r="U324" s="599"/>
      <c r="V324" s="599"/>
      <c r="W324" s="599"/>
      <c r="X324" s="599"/>
      <c r="Y324" s="599"/>
      <c r="Z324" s="599"/>
      <c r="AA324" s="599"/>
    </row>
    <row r="325" spans="2:27" ht="12" customHeight="1">
      <c r="B325" s="768"/>
      <c r="C325" s="763" t="s">
        <v>2231</v>
      </c>
      <c r="D325" s="763" t="s">
        <v>1383</v>
      </c>
      <c r="E325" s="767" t="s">
        <v>2232</v>
      </c>
      <c r="F325" s="767" t="s">
        <v>1165</v>
      </c>
      <c r="G325" s="765" t="s">
        <v>1268</v>
      </c>
      <c r="H325" s="766" t="s">
        <v>2438</v>
      </c>
      <c r="I325" s="683"/>
      <c r="J325" s="616" t="s">
        <v>1547</v>
      </c>
      <c r="K325" s="617"/>
      <c r="L325" s="612"/>
      <c r="M325" s="613"/>
      <c r="N325" s="618" t="s">
        <v>435</v>
      </c>
      <c r="O325" s="618" t="s">
        <v>183</v>
      </c>
      <c r="P325" s="500" t="s">
        <v>1846</v>
      </c>
      <c r="Q325" s="1358"/>
      <c r="S325" s="599"/>
      <c r="T325" s="599"/>
      <c r="U325" s="599"/>
      <c r="V325" s="599"/>
      <c r="W325" s="599"/>
      <c r="X325" s="599"/>
      <c r="Y325" s="599"/>
      <c r="Z325" s="599"/>
      <c r="AA325" s="599"/>
    </row>
    <row r="326" spans="2:27" ht="12" customHeight="1">
      <c r="B326" s="768"/>
      <c r="C326" s="763" t="s">
        <v>2332</v>
      </c>
      <c r="D326" s="763" t="s">
        <v>1407</v>
      </c>
      <c r="E326" s="764" t="s">
        <v>2333</v>
      </c>
      <c r="F326" s="767" t="s">
        <v>1165</v>
      </c>
      <c r="G326" s="765" t="s">
        <v>1269</v>
      </c>
      <c r="H326" s="766" t="s">
        <v>2438</v>
      </c>
      <c r="I326" s="684"/>
      <c r="J326" s="616" t="s">
        <v>2289</v>
      </c>
      <c r="K326" s="617"/>
      <c r="L326" s="612"/>
      <c r="M326" s="613"/>
      <c r="N326" s="618" t="s">
        <v>437</v>
      </c>
      <c r="O326" s="618" t="s">
        <v>2016</v>
      </c>
      <c r="P326" s="500" t="s">
        <v>1847</v>
      </c>
      <c r="Q326" s="1358"/>
      <c r="S326" s="599"/>
      <c r="T326" s="599"/>
      <c r="U326" s="599"/>
      <c r="V326" s="599"/>
      <c r="W326" s="599"/>
      <c r="X326" s="599"/>
      <c r="Y326" s="599"/>
      <c r="Z326" s="599"/>
      <c r="AA326" s="599"/>
    </row>
    <row r="327" spans="2:27" ht="12" customHeight="1">
      <c r="B327" s="768"/>
      <c r="C327" s="763" t="s">
        <v>2334</v>
      </c>
      <c r="D327" s="763" t="s">
        <v>1383</v>
      </c>
      <c r="E327" s="767" t="s">
        <v>3483</v>
      </c>
      <c r="F327" s="764" t="s">
        <v>1166</v>
      </c>
      <c r="G327" s="765" t="s">
        <v>3684</v>
      </c>
      <c r="H327" s="766" t="s">
        <v>2439</v>
      </c>
      <c r="I327" s="684"/>
      <c r="J327" s="616" t="s">
        <v>2291</v>
      </c>
      <c r="K327" s="617"/>
      <c r="L327" s="612"/>
      <c r="M327" s="613"/>
      <c r="N327" s="618" t="s">
        <v>439</v>
      </c>
      <c r="O327" s="618" t="s">
        <v>2887</v>
      </c>
      <c r="P327" s="500" t="s">
        <v>1848</v>
      </c>
      <c r="Q327" s="1358"/>
      <c r="S327" s="599"/>
      <c r="T327" s="599"/>
      <c r="U327" s="599"/>
      <c r="V327" s="599"/>
      <c r="W327" s="599"/>
      <c r="X327" s="599"/>
      <c r="Y327" s="599"/>
      <c r="Z327" s="599"/>
      <c r="AA327" s="599"/>
    </row>
    <row r="328" spans="2:27" ht="12" customHeight="1">
      <c r="B328" s="768"/>
      <c r="C328" s="763" t="s">
        <v>2335</v>
      </c>
      <c r="D328" s="763" t="s">
        <v>1407</v>
      </c>
      <c r="E328" s="767" t="s">
        <v>86</v>
      </c>
      <c r="F328" s="767" t="s">
        <v>1166</v>
      </c>
      <c r="G328" s="765" t="s">
        <v>1120</v>
      </c>
      <c r="H328" s="766" t="s">
        <v>2439</v>
      </c>
      <c r="I328" s="684"/>
      <c r="J328" s="616" t="s">
        <v>432</v>
      </c>
      <c r="K328" s="617"/>
      <c r="L328" s="612"/>
      <c r="M328" s="613"/>
      <c r="N328" s="618" t="s">
        <v>441</v>
      </c>
      <c r="O328" s="618" t="s">
        <v>2187</v>
      </c>
      <c r="P328" s="500" t="s">
        <v>1849</v>
      </c>
      <c r="Q328" s="1358"/>
      <c r="S328" s="599"/>
      <c r="T328" s="599"/>
      <c r="U328" s="599"/>
      <c r="V328" s="599"/>
      <c r="W328" s="599"/>
      <c r="X328" s="599"/>
      <c r="Y328" s="599"/>
      <c r="Z328" s="599"/>
      <c r="AA328" s="599"/>
    </row>
    <row r="329" spans="2:27" ht="12" customHeight="1">
      <c r="B329" s="768"/>
      <c r="C329" s="763" t="s">
        <v>2336</v>
      </c>
      <c r="D329" s="763" t="s">
        <v>1307</v>
      </c>
      <c r="E329" s="767" t="s">
        <v>1618</v>
      </c>
      <c r="F329" s="767" t="s">
        <v>1165</v>
      </c>
      <c r="G329" s="765" t="s">
        <v>1270</v>
      </c>
      <c r="H329" s="766" t="s">
        <v>2438</v>
      </c>
      <c r="I329" s="684"/>
      <c r="J329" s="616" t="s">
        <v>434</v>
      </c>
      <c r="K329" s="617"/>
      <c r="L329" s="612"/>
      <c r="M329" s="613"/>
      <c r="N329" s="618" t="s">
        <v>443</v>
      </c>
      <c r="O329" s="618" t="s">
        <v>2012</v>
      </c>
      <c r="P329" s="500" t="s">
        <v>2</v>
      </c>
      <c r="Q329" s="1358"/>
      <c r="S329" s="599"/>
      <c r="T329" s="599"/>
      <c r="U329" s="599"/>
      <c r="V329" s="599"/>
      <c r="W329" s="599"/>
      <c r="X329" s="599"/>
      <c r="Y329" s="599"/>
      <c r="Z329" s="599"/>
      <c r="AA329" s="599"/>
    </row>
    <row r="330" spans="2:27" ht="12" customHeight="1">
      <c r="B330" s="768"/>
      <c r="C330" s="763" t="s">
        <v>1619</v>
      </c>
      <c r="D330" s="763" t="s">
        <v>1407</v>
      </c>
      <c r="E330" s="767" t="s">
        <v>1620</v>
      </c>
      <c r="F330" s="767" t="s">
        <v>1165</v>
      </c>
      <c r="G330" s="765" t="s">
        <v>1271</v>
      </c>
      <c r="H330" s="766" t="s">
        <v>2438</v>
      </c>
      <c r="I330" s="684"/>
      <c r="J330" s="616" t="s">
        <v>436</v>
      </c>
      <c r="K330" s="617"/>
      <c r="L330" s="612"/>
      <c r="M330" s="613"/>
      <c r="N330" s="618" t="s">
        <v>3876</v>
      </c>
      <c r="O330" s="618" t="s">
        <v>1621</v>
      </c>
      <c r="P330" s="500" t="s">
        <v>3</v>
      </c>
      <c r="Q330" s="1358"/>
      <c r="S330" s="599"/>
      <c r="T330" s="599"/>
      <c r="U330" s="599"/>
      <c r="V330" s="599"/>
      <c r="W330" s="599"/>
      <c r="X330" s="599"/>
      <c r="Y330" s="599"/>
      <c r="Z330" s="599"/>
      <c r="AA330" s="599"/>
    </row>
    <row r="331" spans="2:27" ht="12" customHeight="1">
      <c r="B331" s="768"/>
      <c r="C331" s="763" t="s">
        <v>1621</v>
      </c>
      <c r="D331" s="763" t="s">
        <v>1307</v>
      </c>
      <c r="E331" s="767" t="s">
        <v>1622</v>
      </c>
      <c r="F331" s="767" t="s">
        <v>1165</v>
      </c>
      <c r="G331" s="765" t="s">
        <v>1272</v>
      </c>
      <c r="H331" s="766" t="s">
        <v>2438</v>
      </c>
      <c r="I331" s="684"/>
      <c r="J331" s="616" t="s">
        <v>438</v>
      </c>
      <c r="K331" s="617"/>
      <c r="L331" s="612"/>
      <c r="M331" s="613"/>
      <c r="N331" s="618" t="s">
        <v>2033</v>
      </c>
      <c r="O331" s="618" t="s">
        <v>1990</v>
      </c>
      <c r="P331" s="500" t="s">
        <v>4</v>
      </c>
      <c r="Q331" s="1358"/>
      <c r="S331" s="599"/>
      <c r="T331" s="599"/>
      <c r="U331" s="599"/>
      <c r="V331" s="599"/>
      <c r="W331" s="599"/>
      <c r="X331" s="599"/>
      <c r="Y331" s="599"/>
      <c r="Z331" s="599"/>
      <c r="AA331" s="599"/>
    </row>
    <row r="332" spans="2:27" ht="12" customHeight="1">
      <c r="B332" s="768"/>
      <c r="C332" s="763" t="s">
        <v>1623</v>
      </c>
      <c r="D332" s="763" t="s">
        <v>1307</v>
      </c>
      <c r="E332" s="767" t="s">
        <v>1624</v>
      </c>
      <c r="F332" s="767" t="s">
        <v>1165</v>
      </c>
      <c r="G332" s="765" t="s">
        <v>1273</v>
      </c>
      <c r="H332" s="766" t="s">
        <v>2438</v>
      </c>
      <c r="I332" s="684"/>
      <c r="J332" s="616" t="s">
        <v>440</v>
      </c>
      <c r="K332" s="617"/>
      <c r="L332" s="612"/>
      <c r="M332" s="613"/>
      <c r="N332" s="618" t="s">
        <v>2524</v>
      </c>
      <c r="O332" s="618" t="s">
        <v>2033</v>
      </c>
      <c r="P332" s="500" t="s">
        <v>5</v>
      </c>
      <c r="Q332" s="1358"/>
      <c r="S332" s="599"/>
      <c r="T332" s="599"/>
      <c r="U332" s="599"/>
      <c r="V332" s="599"/>
      <c r="W332" s="599"/>
      <c r="X332" s="599"/>
      <c r="Y332" s="599"/>
      <c r="Z332" s="599"/>
      <c r="AA332" s="599"/>
    </row>
    <row r="333" spans="2:27" ht="12" customHeight="1">
      <c r="B333" s="768"/>
      <c r="C333" s="763" t="s">
        <v>1625</v>
      </c>
      <c r="D333" s="763" t="s">
        <v>1307</v>
      </c>
      <c r="E333" s="767" t="s">
        <v>1626</v>
      </c>
      <c r="F333" s="767" t="s">
        <v>1165</v>
      </c>
      <c r="G333" s="765" t="s">
        <v>1274</v>
      </c>
      <c r="H333" s="766" t="s">
        <v>2438</v>
      </c>
      <c r="I333" s="684"/>
      <c r="J333" s="616" t="s">
        <v>442</v>
      </c>
      <c r="K333" s="617"/>
      <c r="L333" s="612"/>
      <c r="M333" s="613"/>
      <c r="N333" s="618" t="s">
        <v>2601</v>
      </c>
      <c r="O333" s="618" t="s">
        <v>2548</v>
      </c>
      <c r="P333" s="500" t="s">
        <v>6</v>
      </c>
      <c r="Q333" s="1358"/>
      <c r="S333" s="599"/>
      <c r="T333" s="599"/>
      <c r="U333" s="599"/>
      <c r="V333" s="599"/>
      <c r="W333" s="599"/>
      <c r="X333" s="599"/>
      <c r="Y333" s="599"/>
      <c r="Z333" s="599"/>
      <c r="AA333" s="599"/>
    </row>
    <row r="334" spans="2:27" ht="12" customHeight="1">
      <c r="B334" s="768"/>
      <c r="C334" s="763" t="s">
        <v>1627</v>
      </c>
      <c r="D334" s="763" t="s">
        <v>1307</v>
      </c>
      <c r="E334" s="767" t="s">
        <v>1628</v>
      </c>
      <c r="F334" s="767" t="s">
        <v>1165</v>
      </c>
      <c r="G334" s="765" t="s">
        <v>2834</v>
      </c>
      <c r="H334" s="766" t="s">
        <v>2438</v>
      </c>
      <c r="I334" s="684"/>
      <c r="J334" s="616" t="s">
        <v>3875</v>
      </c>
      <c r="K334" s="617"/>
      <c r="L334" s="612"/>
      <c r="M334" s="613"/>
      <c r="N334" s="618" t="s">
        <v>124</v>
      </c>
      <c r="O334" s="618" t="s">
        <v>2186</v>
      </c>
      <c r="P334" s="500" t="s">
        <v>7</v>
      </c>
      <c r="Q334" s="1358"/>
      <c r="S334" s="599"/>
      <c r="T334" s="599"/>
      <c r="U334" s="599"/>
      <c r="V334" s="599"/>
      <c r="W334" s="599"/>
      <c r="X334" s="599"/>
      <c r="Y334" s="599"/>
      <c r="Z334" s="599"/>
      <c r="AA334" s="599"/>
    </row>
    <row r="335" spans="2:27" ht="12" customHeight="1">
      <c r="B335" s="768"/>
      <c r="C335" s="763" t="s">
        <v>1629</v>
      </c>
      <c r="D335" s="763" t="s">
        <v>1383</v>
      </c>
      <c r="E335" s="767" t="s">
        <v>1630</v>
      </c>
      <c r="F335" s="767" t="s">
        <v>1165</v>
      </c>
      <c r="G335" s="765" t="s">
        <v>2835</v>
      </c>
      <c r="H335" s="766" t="s">
        <v>2438</v>
      </c>
      <c r="I335" s="683"/>
      <c r="J335" s="616" t="s">
        <v>3877</v>
      </c>
      <c r="K335" s="617"/>
      <c r="L335" s="612"/>
      <c r="M335" s="613"/>
      <c r="N335" s="618" t="s">
        <v>2034</v>
      </c>
      <c r="O335" s="618" t="s">
        <v>853</v>
      </c>
      <c r="P335" s="500" t="s">
        <v>8</v>
      </c>
      <c r="Q335" s="1358"/>
      <c r="S335" s="599"/>
      <c r="T335" s="599"/>
      <c r="U335" s="599"/>
      <c r="V335" s="599"/>
      <c r="W335" s="599"/>
      <c r="X335" s="599"/>
      <c r="Y335" s="599"/>
      <c r="Z335" s="599"/>
      <c r="AA335" s="599"/>
    </row>
    <row r="336" spans="2:27" ht="12" customHeight="1">
      <c r="B336" s="768"/>
      <c r="C336" s="763" t="s">
        <v>3885</v>
      </c>
      <c r="D336" s="763" t="s">
        <v>1383</v>
      </c>
      <c r="E336" s="764" t="s">
        <v>433</v>
      </c>
      <c r="F336" s="767" t="s">
        <v>1166</v>
      </c>
      <c r="G336" s="765" t="s">
        <v>2836</v>
      </c>
      <c r="H336" s="766" t="s">
        <v>2439</v>
      </c>
      <c r="I336" s="684"/>
      <c r="J336" s="616" t="s">
        <v>2523</v>
      </c>
      <c r="K336" s="617"/>
      <c r="L336" s="612"/>
      <c r="M336" s="613"/>
      <c r="N336" s="500" t="s">
        <v>3130</v>
      </c>
      <c r="O336" s="500" t="s">
        <v>2336</v>
      </c>
      <c r="P336" s="1360" t="s">
        <v>2509</v>
      </c>
      <c r="Q336" s="1358"/>
      <c r="S336" s="599"/>
      <c r="T336" s="599"/>
      <c r="U336" s="599"/>
      <c r="V336" s="599"/>
      <c r="W336" s="599"/>
      <c r="X336" s="599"/>
      <c r="Y336" s="599"/>
      <c r="Z336" s="599"/>
      <c r="AA336" s="599"/>
    </row>
    <row r="337" spans="1:27" ht="12" customHeight="1">
      <c r="B337" s="768"/>
      <c r="C337" s="763" t="s">
        <v>3886</v>
      </c>
      <c r="D337" s="763" t="s">
        <v>1307</v>
      </c>
      <c r="E337" s="767" t="s">
        <v>2884</v>
      </c>
      <c r="F337" s="764" t="s">
        <v>1165</v>
      </c>
      <c r="G337" s="765" t="s">
        <v>2837</v>
      </c>
      <c r="H337" s="766" t="s">
        <v>2438</v>
      </c>
      <c r="I337" s="684"/>
      <c r="J337" s="616" t="s">
        <v>122</v>
      </c>
      <c r="K337" s="617"/>
      <c r="L337" s="612"/>
      <c r="M337" s="613"/>
      <c r="N337" s="618" t="s">
        <v>972</v>
      </c>
      <c r="O337" s="618" t="s">
        <v>1621</v>
      </c>
      <c r="P337" s="500" t="s">
        <v>9</v>
      </c>
      <c r="Q337" s="1358"/>
      <c r="S337" s="599"/>
      <c r="T337" s="599"/>
      <c r="U337" s="599"/>
      <c r="V337" s="599"/>
      <c r="W337" s="599"/>
      <c r="X337" s="599"/>
      <c r="Y337" s="599"/>
      <c r="Z337" s="599"/>
      <c r="AA337" s="599"/>
    </row>
    <row r="338" spans="1:27" ht="12" customHeight="1">
      <c r="B338" s="768"/>
      <c r="C338" s="763" t="s">
        <v>2885</v>
      </c>
      <c r="D338" s="763" t="s">
        <v>1407</v>
      </c>
      <c r="E338" s="767" t="s">
        <v>2886</v>
      </c>
      <c r="F338" s="767" t="s">
        <v>1165</v>
      </c>
      <c r="G338" s="765" t="s">
        <v>2436</v>
      </c>
      <c r="H338" s="766" t="s">
        <v>2438</v>
      </c>
      <c r="I338" s="684"/>
      <c r="J338" s="616" t="s">
        <v>123</v>
      </c>
      <c r="K338" s="617"/>
      <c r="L338" s="612"/>
      <c r="M338" s="613"/>
      <c r="N338" s="618" t="s">
        <v>974</v>
      </c>
      <c r="O338" s="618" t="s">
        <v>1637</v>
      </c>
      <c r="P338" s="500" t="s">
        <v>10</v>
      </c>
      <c r="Q338" s="1358"/>
      <c r="R338" s="435"/>
      <c r="S338" s="500"/>
      <c r="T338" s="599"/>
      <c r="U338" s="599"/>
      <c r="V338" s="599"/>
      <c r="W338" s="599"/>
      <c r="X338" s="599"/>
      <c r="Y338" s="599"/>
      <c r="Z338" s="599"/>
      <c r="AA338" s="599"/>
    </row>
    <row r="339" spans="1:27" ht="12" customHeight="1">
      <c r="B339" s="768"/>
      <c r="C339" s="763" t="s">
        <v>2887</v>
      </c>
      <c r="D339" s="763" t="s">
        <v>1407</v>
      </c>
      <c r="E339" s="767" t="s">
        <v>2888</v>
      </c>
      <c r="F339" s="767" t="s">
        <v>1165</v>
      </c>
      <c r="G339" s="765" t="s">
        <v>2437</v>
      </c>
      <c r="H339" s="766" t="s">
        <v>2438</v>
      </c>
      <c r="I339" s="684"/>
      <c r="J339" s="616" t="s">
        <v>1675</v>
      </c>
      <c r="K339" s="617"/>
      <c r="L339" s="612"/>
      <c r="M339" s="613"/>
      <c r="N339" s="618" t="s">
        <v>976</v>
      </c>
      <c r="O339" s="618" t="s">
        <v>424</v>
      </c>
      <c r="P339" s="500" t="s">
        <v>11</v>
      </c>
      <c r="Q339" s="1358"/>
      <c r="R339" s="435"/>
      <c r="S339" s="500"/>
      <c r="T339" s="599"/>
      <c r="U339" s="599"/>
      <c r="V339" s="599"/>
      <c r="W339" s="599"/>
      <c r="X339" s="599"/>
      <c r="Y339" s="599"/>
      <c r="Z339" s="599"/>
      <c r="AA339" s="599"/>
    </row>
    <row r="340" spans="1:27" ht="12" customHeight="1">
      <c r="B340" s="770"/>
      <c r="C340" s="763" t="s">
        <v>2889</v>
      </c>
      <c r="D340" s="763" t="s">
        <v>1307</v>
      </c>
      <c r="E340" s="767" t="s">
        <v>2113</v>
      </c>
      <c r="F340" s="767" t="s">
        <v>1166</v>
      </c>
      <c r="G340" s="765" t="s">
        <v>1257</v>
      </c>
      <c r="H340" s="766" t="s">
        <v>2439</v>
      </c>
      <c r="J340" s="616" t="s">
        <v>971</v>
      </c>
      <c r="K340" s="617"/>
      <c r="L340" s="612"/>
      <c r="M340" s="613"/>
      <c r="N340" s="618" t="s">
        <v>2919</v>
      </c>
      <c r="O340" s="618" t="s">
        <v>3399</v>
      </c>
      <c r="P340" s="500" t="s">
        <v>12</v>
      </c>
      <c r="Q340" s="1358"/>
      <c r="R340" s="435"/>
      <c r="S340" s="500"/>
      <c r="T340" s="599"/>
      <c r="U340" s="599"/>
      <c r="V340" s="599"/>
      <c r="W340" s="599"/>
      <c r="X340" s="599"/>
      <c r="Y340" s="599"/>
      <c r="Z340" s="599"/>
      <c r="AA340" s="599"/>
    </row>
    <row r="341" spans="1:27" ht="12" customHeight="1">
      <c r="F341" s="564"/>
      <c r="J341" s="616" t="s">
        <v>973</v>
      </c>
      <c r="K341" s="617"/>
      <c r="L341" s="612"/>
      <c r="M341" s="613"/>
      <c r="N341" s="618" t="s">
        <v>2921</v>
      </c>
      <c r="O341" s="618" t="s">
        <v>1192</v>
      </c>
      <c r="P341" s="500" t="s">
        <v>13</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975</v>
      </c>
      <c r="K342" s="617"/>
      <c r="L342" s="612"/>
      <c r="M342" s="613"/>
      <c r="N342" s="500" t="s">
        <v>3131</v>
      </c>
      <c r="O342" s="500" t="s">
        <v>2570</v>
      </c>
      <c r="P342" s="1360" t="s">
        <v>2509</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2917</v>
      </c>
      <c r="K343" s="617"/>
      <c r="L343" s="612"/>
      <c r="M343" s="613"/>
      <c r="N343" s="618" t="s">
        <v>2400</v>
      </c>
      <c r="O343" s="618" t="s">
        <v>3161</v>
      </c>
      <c r="P343" s="500" t="s">
        <v>14</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2918</v>
      </c>
      <c r="K344" s="617"/>
      <c r="L344" s="612"/>
      <c r="M344" s="613"/>
      <c r="N344" s="618" t="s">
        <v>2402</v>
      </c>
      <c r="O344" s="618" t="s">
        <v>2541</v>
      </c>
      <c r="P344" s="500" t="s">
        <v>15</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2920</v>
      </c>
      <c r="K345" s="617"/>
      <c r="L345" s="612"/>
      <c r="M345" s="613"/>
      <c r="N345" s="618" t="s">
        <v>1560</v>
      </c>
      <c r="O345" s="618" t="s">
        <v>3013</v>
      </c>
      <c r="P345" s="500" t="s">
        <v>16</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2922</v>
      </c>
      <c r="K346" s="617"/>
      <c r="L346" s="612"/>
      <c r="M346" s="613"/>
      <c r="N346" s="618" t="s">
        <v>1562</v>
      </c>
      <c r="O346" s="618" t="s">
        <v>853</v>
      </c>
      <c r="P346" s="500" t="s">
        <v>17</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2923</v>
      </c>
      <c r="K347" s="617"/>
      <c r="L347" s="612"/>
      <c r="M347" s="613"/>
      <c r="N347" s="618" t="s">
        <v>182</v>
      </c>
      <c r="O347" s="618" t="s">
        <v>3159</v>
      </c>
      <c r="P347" s="500" t="s">
        <v>18</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2401</v>
      </c>
      <c r="K348" s="617"/>
      <c r="L348" s="612"/>
      <c r="M348" s="613"/>
      <c r="N348" s="618" t="s">
        <v>2235</v>
      </c>
      <c r="O348" s="618" t="s">
        <v>182</v>
      </c>
      <c r="P348" s="500" t="s">
        <v>19</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1559</v>
      </c>
      <c r="K349" s="617"/>
      <c r="L349" s="612"/>
      <c r="M349" s="613"/>
      <c r="N349" s="500" t="s">
        <v>3132</v>
      </c>
      <c r="O349" s="500" t="s">
        <v>853</v>
      </c>
      <c r="P349" s="1360" t="s">
        <v>2509</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1561</v>
      </c>
      <c r="K350" s="617"/>
      <c r="L350" s="612"/>
      <c r="M350" s="613"/>
      <c r="N350" s="618" t="s">
        <v>2240</v>
      </c>
      <c r="O350" s="618" t="s">
        <v>3399</v>
      </c>
      <c r="P350" s="500" t="s">
        <v>20</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2233</v>
      </c>
      <c r="K351" s="617"/>
      <c r="L351" s="612"/>
      <c r="M351" s="613"/>
      <c r="N351" s="618" t="s">
        <v>2242</v>
      </c>
      <c r="O351" s="618" t="s">
        <v>3399</v>
      </c>
      <c r="P351" s="500" t="s">
        <v>21</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2234</v>
      </c>
      <c r="K352" s="617"/>
      <c r="L352" s="612"/>
      <c r="M352" s="613"/>
      <c r="N352" s="618" t="s">
        <v>2630</v>
      </c>
      <c r="O352" s="618" t="s">
        <v>1636</v>
      </c>
      <c r="P352" s="500" t="s">
        <v>22</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2236</v>
      </c>
      <c r="K353" s="617"/>
      <c r="L353" s="612"/>
      <c r="M353" s="613"/>
      <c r="N353" s="620" t="s">
        <v>2602</v>
      </c>
      <c r="O353" s="618" t="s">
        <v>853</v>
      </c>
      <c r="P353" s="500" t="s">
        <v>23</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2237</v>
      </c>
      <c r="K354" s="617"/>
      <c r="L354" s="612"/>
      <c r="M354" s="613"/>
      <c r="N354" s="618" t="s">
        <v>2238</v>
      </c>
      <c r="O354" s="618" t="s">
        <v>3156</v>
      </c>
      <c r="P354" s="500" t="s">
        <v>24</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2239</v>
      </c>
      <c r="K355" s="617"/>
      <c r="L355" s="612"/>
      <c r="M355" s="613"/>
      <c r="N355" s="618" t="s">
        <v>1234</v>
      </c>
      <c r="O355" s="618" t="s">
        <v>3399</v>
      </c>
      <c r="P355" s="500" t="s">
        <v>25</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2241</v>
      </c>
      <c r="K356" s="617"/>
      <c r="L356" s="612"/>
      <c r="M356" s="613"/>
      <c r="N356" s="618" t="s">
        <v>1236</v>
      </c>
      <c r="O356" s="618" t="s">
        <v>2566</v>
      </c>
      <c r="P356" s="613" t="s">
        <v>26</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2629</v>
      </c>
      <c r="K357" s="617"/>
      <c r="L357" s="612"/>
      <c r="M357" s="613"/>
      <c r="N357" s="500" t="s">
        <v>3133</v>
      </c>
      <c r="O357" s="500" t="s">
        <v>2543</v>
      </c>
      <c r="P357" s="1360" t="s">
        <v>2509</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1233</v>
      </c>
      <c r="K358" s="617"/>
      <c r="L358" s="612"/>
      <c r="M358" s="613"/>
      <c r="N358" s="500" t="s">
        <v>3134</v>
      </c>
      <c r="O358" s="500" t="s">
        <v>3829</v>
      </c>
      <c r="P358" s="1360" t="s">
        <v>2509</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1235</v>
      </c>
      <c r="K359" s="617"/>
      <c r="L359" s="612"/>
      <c r="M359" s="613"/>
      <c r="N359" s="618" t="s">
        <v>1238</v>
      </c>
      <c r="O359" s="618" t="s">
        <v>1302</v>
      </c>
      <c r="P359" s="613" t="s">
        <v>27</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1237</v>
      </c>
      <c r="K360" s="617"/>
      <c r="L360" s="612"/>
      <c r="M360" s="613"/>
      <c r="N360" s="618" t="s">
        <v>3194</v>
      </c>
      <c r="O360" s="618" t="s">
        <v>2037</v>
      </c>
      <c r="P360" s="613" t="s">
        <v>28</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3193</v>
      </c>
      <c r="K361" s="617"/>
      <c r="L361" s="612"/>
      <c r="M361" s="613"/>
      <c r="N361" s="618" t="s">
        <v>595</v>
      </c>
      <c r="O361" s="618" t="s">
        <v>1188</v>
      </c>
      <c r="P361" s="613" t="s">
        <v>29</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3195</v>
      </c>
      <c r="K362" s="617"/>
      <c r="L362" s="612"/>
      <c r="M362" s="613"/>
      <c r="N362" s="618" t="s">
        <v>2026</v>
      </c>
      <c r="O362" s="618" t="s">
        <v>2568</v>
      </c>
      <c r="P362" s="613" t="s">
        <v>30</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2025</v>
      </c>
      <c r="K363" s="617"/>
      <c r="L363" s="612"/>
      <c r="M363" s="613"/>
      <c r="N363" s="618" t="s">
        <v>397</v>
      </c>
      <c r="O363" s="618" t="s">
        <v>1404</v>
      </c>
      <c r="P363" s="613" t="s">
        <v>31</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2027</v>
      </c>
      <c r="K364" s="617"/>
      <c r="L364" s="612"/>
      <c r="M364" s="613"/>
      <c r="N364" s="618" t="s">
        <v>2161</v>
      </c>
      <c r="O364" s="618" t="s">
        <v>187</v>
      </c>
      <c r="P364" s="613" t="s">
        <v>32</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2160</v>
      </c>
      <c r="K365" s="617"/>
      <c r="L365" s="612"/>
      <c r="M365" s="613"/>
      <c r="N365" s="618" t="s">
        <v>2163</v>
      </c>
      <c r="O365" s="618" t="s">
        <v>1198</v>
      </c>
      <c r="P365" s="613" t="s">
        <v>33</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2162</v>
      </c>
      <c r="K366" s="617"/>
      <c r="L366" s="612"/>
      <c r="M366" s="613"/>
      <c r="N366" s="618" t="s">
        <v>2202</v>
      </c>
      <c r="O366" s="618" t="s">
        <v>3161</v>
      </c>
      <c r="P366" s="613" t="s">
        <v>34</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2201</v>
      </c>
      <c r="K367" s="617"/>
      <c r="L367" s="612"/>
      <c r="M367" s="613"/>
      <c r="N367" s="618" t="s">
        <v>2205</v>
      </c>
      <c r="O367" s="618" t="s">
        <v>2566</v>
      </c>
      <c r="P367" s="613" t="s">
        <v>35</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2203</v>
      </c>
      <c r="K368" s="617"/>
      <c r="L368" s="612"/>
      <c r="M368" s="613"/>
      <c r="N368" s="618" t="s">
        <v>2207</v>
      </c>
      <c r="O368" s="618" t="s">
        <v>1386</v>
      </c>
      <c r="P368" s="613" t="s">
        <v>36</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2204</v>
      </c>
      <c r="K369" s="617"/>
      <c r="L369" s="612"/>
      <c r="M369" s="613"/>
      <c r="N369" s="618" t="s">
        <v>2209</v>
      </c>
      <c r="O369" s="618" t="s">
        <v>1389</v>
      </c>
      <c r="P369" s="613" t="s">
        <v>37</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2206</v>
      </c>
      <c r="K370" s="617"/>
      <c r="L370" s="612"/>
      <c r="M370" s="613"/>
      <c r="N370" s="618" t="s">
        <v>2245</v>
      </c>
      <c r="O370" s="618" t="s">
        <v>416</v>
      </c>
      <c r="P370" s="613" t="s">
        <v>38</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2208</v>
      </c>
      <c r="K371" s="617"/>
      <c r="L371" s="612"/>
      <c r="M371" s="613"/>
      <c r="N371" s="618" t="s">
        <v>2248</v>
      </c>
      <c r="O371" s="618" t="s">
        <v>1132</v>
      </c>
      <c r="P371" s="613" t="s">
        <v>39</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2244</v>
      </c>
      <c r="K372" s="617"/>
      <c r="L372" s="612"/>
      <c r="M372" s="613"/>
      <c r="N372" s="618" t="s">
        <v>2250</v>
      </c>
      <c r="O372" s="618" t="s">
        <v>1386</v>
      </c>
      <c r="P372" s="613" t="s">
        <v>40</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2246</v>
      </c>
      <c r="K373" s="617"/>
      <c r="L373" s="612"/>
      <c r="M373" s="613"/>
      <c r="N373" s="500" t="s">
        <v>3616</v>
      </c>
      <c r="O373" s="500" t="s">
        <v>3826</v>
      </c>
      <c r="P373" s="1360" t="s">
        <v>2509</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2247</v>
      </c>
      <c r="K374" s="617"/>
      <c r="L374" s="612"/>
      <c r="M374" s="613"/>
      <c r="N374" s="500" t="s">
        <v>3135</v>
      </c>
      <c r="O374" s="500" t="s">
        <v>2543</v>
      </c>
      <c r="P374" s="1360" t="s">
        <v>2509</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2249</v>
      </c>
      <c r="K375" s="617"/>
      <c r="L375" s="612"/>
      <c r="M375" s="613"/>
      <c r="N375" s="500" t="s">
        <v>3136</v>
      </c>
      <c r="O375" s="500" t="s">
        <v>3158</v>
      </c>
      <c r="P375" s="1360" t="s">
        <v>2509</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3874</v>
      </c>
      <c r="K376" s="617"/>
      <c r="L376" s="612"/>
      <c r="M376" s="613"/>
      <c r="N376" s="618" t="s">
        <v>2435</v>
      </c>
      <c r="O376" s="618" t="s">
        <v>1302</v>
      </c>
      <c r="P376" s="613" t="s">
        <v>41</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2434</v>
      </c>
      <c r="K377" s="617"/>
      <c r="L377" s="612"/>
      <c r="M377" s="613"/>
      <c r="N377" s="618" t="s">
        <v>2070</v>
      </c>
      <c r="O377" s="618" t="s">
        <v>2571</v>
      </c>
      <c r="P377" s="613" t="s">
        <v>42</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1650</v>
      </c>
      <c r="K378" s="617"/>
      <c r="L378" s="612"/>
      <c r="M378" s="613"/>
      <c r="N378" s="500" t="s">
        <v>3137</v>
      </c>
      <c r="O378" s="500" t="s">
        <v>2334</v>
      </c>
      <c r="P378" s="1360" t="s">
        <v>2509</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3678</v>
      </c>
      <c r="K379" s="617"/>
      <c r="L379" s="612"/>
      <c r="M379" s="613"/>
      <c r="N379" s="618" t="s">
        <v>3679</v>
      </c>
      <c r="O379" s="618" t="s">
        <v>3156</v>
      </c>
      <c r="P379" s="613" t="s">
        <v>43</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2078</v>
      </c>
      <c r="K380" s="617"/>
      <c r="L380" s="612"/>
      <c r="M380" s="613"/>
      <c r="N380" s="618" t="s">
        <v>3653</v>
      </c>
      <c r="O380" s="618" t="s">
        <v>2561</v>
      </c>
      <c r="P380" s="613" t="s">
        <v>44</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3652</v>
      </c>
      <c r="K381" s="617"/>
      <c r="L381" s="612"/>
      <c r="M381" s="613"/>
      <c r="N381" s="618" t="s">
        <v>3655</v>
      </c>
      <c r="O381" s="618" t="s">
        <v>1387</v>
      </c>
      <c r="P381" s="613" t="s">
        <v>45</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3654</v>
      </c>
      <c r="K382" s="617"/>
      <c r="L382" s="612"/>
      <c r="M382" s="613"/>
      <c r="N382" s="618" t="s">
        <v>1037</v>
      </c>
      <c r="O382" s="618" t="s">
        <v>3402</v>
      </c>
      <c r="P382" s="613" t="s">
        <v>46</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1036</v>
      </c>
      <c r="K383" s="617"/>
      <c r="L383" s="612"/>
      <c r="M383" s="613"/>
      <c r="N383" s="618" t="s">
        <v>779</v>
      </c>
      <c r="O383" s="618" t="s">
        <v>1403</v>
      </c>
      <c r="P383" s="613" t="s">
        <v>47</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2585</v>
      </c>
      <c r="K384" s="617"/>
      <c r="L384" s="612"/>
      <c r="M384" s="613"/>
      <c r="N384" s="618" t="s">
        <v>2578</v>
      </c>
      <c r="O384" s="618" t="s">
        <v>409</v>
      </c>
      <c r="P384" s="613" t="s">
        <v>48</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778</v>
      </c>
      <c r="K385" s="617"/>
      <c r="L385" s="612"/>
      <c r="M385" s="613"/>
      <c r="N385" s="618" t="s">
        <v>2875</v>
      </c>
      <c r="O385" s="618" t="s">
        <v>126</v>
      </c>
      <c r="P385" s="613" t="s">
        <v>49</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2577</v>
      </c>
      <c r="K386" s="617"/>
      <c r="L386" s="612"/>
      <c r="M386" s="613"/>
      <c r="N386" s="618" t="s">
        <v>2063</v>
      </c>
      <c r="O386" s="618" t="s">
        <v>3155</v>
      </c>
      <c r="P386" s="613" t="s">
        <v>50</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2874</v>
      </c>
      <c r="K387" s="617"/>
      <c r="L387" s="612"/>
      <c r="M387" s="613"/>
      <c r="N387" s="618" t="s">
        <v>2563</v>
      </c>
      <c r="O387" s="618" t="s">
        <v>1877</v>
      </c>
      <c r="P387" s="613" t="s">
        <v>51</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2062</v>
      </c>
      <c r="K388" s="617"/>
      <c r="L388" s="612"/>
      <c r="M388" s="613"/>
      <c r="N388" s="618" t="s">
        <v>2840</v>
      </c>
      <c r="O388" s="618" t="s">
        <v>3153</v>
      </c>
      <c r="P388" s="613" t="s">
        <v>52</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959</v>
      </c>
      <c r="K389" s="617"/>
      <c r="L389" s="612"/>
      <c r="M389" s="613"/>
      <c r="N389" s="618" t="s">
        <v>2075</v>
      </c>
      <c r="O389" s="618" t="s">
        <v>3482</v>
      </c>
      <c r="P389" s="613" t="s">
        <v>53</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960</v>
      </c>
      <c r="K390" s="617"/>
      <c r="L390" s="612"/>
      <c r="M390" s="613"/>
      <c r="N390" s="500" t="s">
        <v>264</v>
      </c>
      <c r="O390" s="500" t="s">
        <v>3402</v>
      </c>
      <c r="P390" s="1360" t="s">
        <v>2509</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2074</v>
      </c>
      <c r="K391" s="617"/>
      <c r="L391" s="612"/>
      <c r="M391" s="613"/>
      <c r="N391" s="618" t="s">
        <v>204</v>
      </c>
      <c r="O391" s="618" t="s">
        <v>1178</v>
      </c>
      <c r="P391" s="613" t="s">
        <v>54</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203</v>
      </c>
      <c r="K392" s="617"/>
      <c r="L392" s="612"/>
      <c r="M392" s="613"/>
      <c r="N392" s="618" t="s">
        <v>2564</v>
      </c>
      <c r="O392" s="618" t="s">
        <v>416</v>
      </c>
      <c r="P392" s="613" t="s">
        <v>55</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205</v>
      </c>
      <c r="K393" s="617"/>
      <c r="L393" s="612"/>
      <c r="M393" s="613"/>
      <c r="N393" s="618" t="s">
        <v>968</v>
      </c>
      <c r="O393" s="618" t="s">
        <v>2564</v>
      </c>
      <c r="P393" s="613" t="s">
        <v>56</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966</v>
      </c>
      <c r="K394" s="617"/>
      <c r="L394" s="612"/>
      <c r="M394" s="613"/>
      <c r="N394" s="618" t="s">
        <v>1315</v>
      </c>
      <c r="O394" s="618" t="s">
        <v>3161</v>
      </c>
      <c r="P394" s="613" t="s">
        <v>57</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967</v>
      </c>
      <c r="K395" s="617"/>
      <c r="L395" s="612"/>
      <c r="M395" s="613"/>
      <c r="N395" s="618" t="s">
        <v>1317</v>
      </c>
      <c r="O395" s="618" t="s">
        <v>409</v>
      </c>
      <c r="P395" s="613" t="s">
        <v>58</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969</v>
      </c>
      <c r="K396" s="617"/>
      <c r="L396" s="612"/>
      <c r="M396" s="613"/>
      <c r="N396" s="618" t="s">
        <v>1319</v>
      </c>
      <c r="O396" s="618" t="s">
        <v>128</v>
      </c>
      <c r="P396" s="613" t="s">
        <v>1319</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3519</v>
      </c>
      <c r="K397" s="617"/>
      <c r="L397" s="612"/>
      <c r="M397" s="613"/>
      <c r="N397" s="618" t="s">
        <v>1085</v>
      </c>
      <c r="O397" s="618" t="s">
        <v>3614</v>
      </c>
      <c r="P397" s="613" t="s">
        <v>59</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1316</v>
      </c>
      <c r="K398" s="617"/>
      <c r="L398" s="612"/>
      <c r="M398" s="613"/>
      <c r="N398" s="618" t="s">
        <v>3786</v>
      </c>
      <c r="O398" s="618" t="s">
        <v>2188</v>
      </c>
      <c r="P398" s="613" t="s">
        <v>60</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1318</v>
      </c>
      <c r="K399" s="617"/>
      <c r="L399" s="612"/>
      <c r="M399" s="613"/>
      <c r="N399" s="618" t="s">
        <v>915</v>
      </c>
      <c r="O399" s="618" t="s">
        <v>2550</v>
      </c>
      <c r="P399" s="613" t="s">
        <v>61</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1084</v>
      </c>
      <c r="K400" s="617"/>
      <c r="L400" s="612"/>
      <c r="M400" s="613"/>
      <c r="N400" s="618" t="s">
        <v>917</v>
      </c>
      <c r="O400" s="618" t="s">
        <v>1190</v>
      </c>
      <c r="P400" s="1359" t="s">
        <v>1006</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3785</v>
      </c>
      <c r="K401" s="617"/>
      <c r="L401" s="612"/>
      <c r="M401" s="613"/>
      <c r="N401" s="618" t="s">
        <v>919</v>
      </c>
      <c r="O401" s="618" t="s">
        <v>2568</v>
      </c>
      <c r="P401" s="613" t="s">
        <v>62</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914</v>
      </c>
      <c r="K402" s="617"/>
      <c r="L402" s="612"/>
      <c r="M402" s="613"/>
      <c r="N402" s="618" t="s">
        <v>921</v>
      </c>
      <c r="O402" s="618" t="s">
        <v>409</v>
      </c>
      <c r="P402" s="613" t="s">
        <v>63</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916</v>
      </c>
      <c r="K403" s="617"/>
      <c r="L403" s="612"/>
      <c r="M403" s="613"/>
      <c r="N403" s="618" t="s">
        <v>923</v>
      </c>
      <c r="O403" s="618" t="s">
        <v>1401</v>
      </c>
      <c r="P403" s="613" t="s">
        <v>64</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918</v>
      </c>
      <c r="K404" s="617"/>
      <c r="L404" s="612"/>
      <c r="M404" s="613"/>
      <c r="N404" s="618" t="s">
        <v>2588</v>
      </c>
      <c r="O404" s="618" t="s">
        <v>2554</v>
      </c>
      <c r="P404" s="613" t="s">
        <v>65</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920</v>
      </c>
      <c r="K405" s="617"/>
      <c r="L405" s="612"/>
      <c r="M405" s="613"/>
      <c r="N405" s="618" t="s">
        <v>1567</v>
      </c>
      <c r="O405" s="618" t="s">
        <v>1627</v>
      </c>
      <c r="P405" s="613" t="s">
        <v>66</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922</v>
      </c>
      <c r="K406" s="617"/>
      <c r="L406" s="612"/>
      <c r="M406" s="613"/>
      <c r="N406" s="618" t="s">
        <v>3022</v>
      </c>
      <c r="O406" s="618" t="s">
        <v>2335</v>
      </c>
      <c r="P406" s="613" t="s">
        <v>67</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2587</v>
      </c>
      <c r="K407" s="617"/>
      <c r="L407" s="612"/>
      <c r="M407" s="613"/>
      <c r="N407" s="618" t="s">
        <v>2571</v>
      </c>
      <c r="O407" s="618" t="s">
        <v>2887</v>
      </c>
      <c r="P407" s="613" t="s">
        <v>68</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1566</v>
      </c>
      <c r="K408" s="617"/>
      <c r="L408" s="612"/>
      <c r="M408" s="613"/>
      <c r="N408" s="618" t="s">
        <v>1044</v>
      </c>
      <c r="O408" s="618" t="s">
        <v>1306</v>
      </c>
      <c r="P408" s="613" t="s">
        <v>69</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3021</v>
      </c>
      <c r="K409" s="617"/>
      <c r="L409" s="612"/>
      <c r="M409" s="613"/>
      <c r="N409" s="618" t="s">
        <v>1046</v>
      </c>
      <c r="O409" s="618" t="s">
        <v>3829</v>
      </c>
      <c r="P409" s="613" t="s">
        <v>70</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3752</v>
      </c>
      <c r="K410" s="617"/>
      <c r="L410" s="612"/>
      <c r="M410" s="613"/>
      <c r="N410" s="618" t="s">
        <v>1024</v>
      </c>
      <c r="O410" s="618" t="s">
        <v>560</v>
      </c>
      <c r="P410" s="613" t="s">
        <v>71</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1042</v>
      </c>
      <c r="K411" s="617"/>
      <c r="L411" s="612"/>
      <c r="M411" s="613"/>
      <c r="N411" s="618" t="s">
        <v>1026</v>
      </c>
      <c r="O411" s="618" t="s">
        <v>1636</v>
      </c>
      <c r="P411" s="613" t="s">
        <v>72</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1043</v>
      </c>
      <c r="K412" s="617"/>
      <c r="L412" s="612"/>
      <c r="M412" s="613"/>
      <c r="N412" s="618" t="s">
        <v>1028</v>
      </c>
      <c r="O412" s="618" t="s">
        <v>2575</v>
      </c>
      <c r="P412" s="613" t="s">
        <v>73</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1045</v>
      </c>
      <c r="K413" s="617"/>
      <c r="L413" s="612"/>
      <c r="M413" s="613"/>
      <c r="N413" s="618" t="s">
        <v>1030</v>
      </c>
      <c r="O413" s="618" t="s">
        <v>2188</v>
      </c>
      <c r="P413" s="613" t="s">
        <v>74</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1023</v>
      </c>
      <c r="K414" s="617"/>
      <c r="L414" s="612"/>
      <c r="M414" s="613"/>
      <c r="N414" s="500" t="s">
        <v>265</v>
      </c>
      <c r="O414" s="500" t="s">
        <v>853</v>
      </c>
      <c r="P414" s="1360" t="s">
        <v>2509</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1025</v>
      </c>
      <c r="K415" s="617"/>
      <c r="L415" s="612"/>
      <c r="M415" s="613"/>
      <c r="N415" s="618" t="s">
        <v>783</v>
      </c>
      <c r="O415" s="618" t="s">
        <v>2543</v>
      </c>
      <c r="P415" s="613" t="s">
        <v>75</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1027</v>
      </c>
      <c r="K416" s="617"/>
      <c r="L416" s="612"/>
      <c r="M416" s="613"/>
      <c r="N416" s="618" t="s">
        <v>2392</v>
      </c>
      <c r="O416" s="618" t="s">
        <v>3826</v>
      </c>
      <c r="P416" s="613" t="s">
        <v>76</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1029</v>
      </c>
      <c r="K417" s="617"/>
      <c r="L417" s="612"/>
      <c r="M417" s="613"/>
      <c r="N417" s="618" t="s">
        <v>2394</v>
      </c>
      <c r="O417" s="618" t="s">
        <v>3402</v>
      </c>
      <c r="P417" s="613" t="s">
        <v>77</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782</v>
      </c>
      <c r="K418" s="617"/>
      <c r="L418" s="612"/>
      <c r="M418" s="613"/>
      <c r="N418" s="500" t="s">
        <v>266</v>
      </c>
      <c r="O418" s="500" t="s">
        <v>2222</v>
      </c>
      <c r="P418" s="1360" t="s">
        <v>2509</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2391</v>
      </c>
      <c r="K419" s="617"/>
      <c r="L419" s="612"/>
      <c r="M419" s="613"/>
      <c r="N419" s="618" t="s">
        <v>2396</v>
      </c>
      <c r="O419" s="618" t="s">
        <v>186</v>
      </c>
      <c r="P419" s="613" t="s">
        <v>78</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2393</v>
      </c>
      <c r="K420" s="617"/>
      <c r="L420" s="612"/>
      <c r="M420" s="613"/>
      <c r="N420" s="618" t="s">
        <v>1496</v>
      </c>
      <c r="O420" s="618" t="s">
        <v>3616</v>
      </c>
      <c r="P420" s="613" t="s">
        <v>79</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2395</v>
      </c>
      <c r="K421" s="617"/>
      <c r="L421" s="612"/>
      <c r="M421" s="613"/>
      <c r="N421" s="618" t="s">
        <v>1694</v>
      </c>
      <c r="O421" s="618" t="s">
        <v>2012</v>
      </c>
      <c r="P421" s="613" t="s">
        <v>80</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818</v>
      </c>
      <c r="K422" s="617"/>
      <c r="L422" s="612"/>
      <c r="M422" s="613"/>
      <c r="N422" s="618" t="s">
        <v>1053</v>
      </c>
      <c r="O422" s="618" t="s">
        <v>413</v>
      </c>
      <c r="P422" s="613" t="s">
        <v>81</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1495</v>
      </c>
      <c r="K423" s="617"/>
      <c r="L423" s="612"/>
      <c r="M423" s="613"/>
      <c r="N423" s="618" t="s">
        <v>1055</v>
      </c>
      <c r="O423" s="618" t="s">
        <v>417</v>
      </c>
      <c r="P423" s="613" t="s">
        <v>82</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1693</v>
      </c>
      <c r="K424" s="617"/>
      <c r="L424" s="612"/>
      <c r="M424" s="613"/>
      <c r="N424" s="500" t="s">
        <v>267</v>
      </c>
      <c r="O424" s="500" t="s">
        <v>2332</v>
      </c>
      <c r="P424" s="1360" t="s">
        <v>2509</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1052</v>
      </c>
      <c r="K425" s="617"/>
      <c r="L425" s="612"/>
      <c r="M425" s="613"/>
      <c r="N425" s="618" t="s">
        <v>1057</v>
      </c>
      <c r="O425" s="618" t="s">
        <v>1302</v>
      </c>
      <c r="P425" s="613" t="s">
        <v>1886</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1054</v>
      </c>
      <c r="K426" s="617"/>
      <c r="L426" s="612"/>
      <c r="M426" s="613"/>
      <c r="N426" s="618" t="s">
        <v>412</v>
      </c>
      <c r="O426" s="618" t="s">
        <v>3829</v>
      </c>
      <c r="P426" s="613" t="s">
        <v>1887</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1056</v>
      </c>
      <c r="K427" s="617"/>
      <c r="L427" s="612"/>
      <c r="M427" s="613"/>
      <c r="N427" s="618" t="s">
        <v>3683</v>
      </c>
      <c r="O427" s="618" t="s">
        <v>3826</v>
      </c>
      <c r="P427" s="613" t="s">
        <v>1888</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3680</v>
      </c>
      <c r="K428" s="617"/>
      <c r="L428" s="612"/>
      <c r="M428" s="613"/>
      <c r="N428" s="618" t="s">
        <v>172</v>
      </c>
      <c r="O428" s="618" t="s">
        <v>1621</v>
      </c>
      <c r="P428" s="613" t="s">
        <v>1889</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3681</v>
      </c>
      <c r="K429" s="617"/>
      <c r="L429" s="612"/>
      <c r="M429" s="613"/>
      <c r="N429" s="618" t="s">
        <v>174</v>
      </c>
      <c r="O429" s="618" t="s">
        <v>414</v>
      </c>
      <c r="P429" s="613" t="s">
        <v>1890</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3682</v>
      </c>
      <c r="K430" s="617"/>
      <c r="L430" s="612"/>
      <c r="M430" s="613"/>
      <c r="N430" s="618" t="s">
        <v>3751</v>
      </c>
      <c r="O430" s="618" t="s">
        <v>1186</v>
      </c>
      <c r="P430" s="613" t="s">
        <v>1891</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171</v>
      </c>
      <c r="K431" s="617"/>
      <c r="L431" s="612"/>
      <c r="M431" s="613"/>
      <c r="N431" s="618" t="s">
        <v>856</v>
      </c>
      <c r="O431" s="618" t="s">
        <v>424</v>
      </c>
      <c r="P431" s="613" t="s">
        <v>1892</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173</v>
      </c>
      <c r="K432" s="617"/>
      <c r="L432" s="612"/>
      <c r="M432" s="613"/>
      <c r="N432" s="618" t="s">
        <v>3732</v>
      </c>
      <c r="O432" s="618" t="s">
        <v>1629</v>
      </c>
      <c r="P432" s="613" t="s">
        <v>1893</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175</v>
      </c>
      <c r="K433" s="617"/>
      <c r="L433" s="612"/>
      <c r="M433" s="613"/>
      <c r="N433" s="618" t="s">
        <v>3665</v>
      </c>
      <c r="O433" s="618" t="s">
        <v>180</v>
      </c>
      <c r="P433" s="613" t="s">
        <v>1894</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566</v>
      </c>
      <c r="K434" s="617"/>
      <c r="L434" s="612"/>
      <c r="M434" s="613"/>
      <c r="N434" s="618" t="s">
        <v>2331</v>
      </c>
      <c r="O434" s="618" t="s">
        <v>1196</v>
      </c>
      <c r="P434" s="613" t="s">
        <v>1895</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3731</v>
      </c>
      <c r="K435" s="617"/>
      <c r="L435" s="612"/>
      <c r="M435" s="613"/>
      <c r="N435" s="618" t="s">
        <v>1114</v>
      </c>
      <c r="O435" s="618" t="s">
        <v>2222</v>
      </c>
      <c r="P435" s="613" t="s">
        <v>1896</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3664</v>
      </c>
      <c r="K436" s="617"/>
      <c r="L436" s="612"/>
      <c r="M436" s="613"/>
      <c r="N436" s="618" t="s">
        <v>2427</v>
      </c>
      <c r="O436" s="618" t="s">
        <v>2021</v>
      </c>
      <c r="P436" s="613" t="s">
        <v>1897</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2330</v>
      </c>
      <c r="K437" s="617"/>
      <c r="L437" s="612"/>
      <c r="M437" s="613"/>
      <c r="N437" s="500" t="s">
        <v>268</v>
      </c>
      <c r="O437" s="500" t="s">
        <v>1183</v>
      </c>
      <c r="P437" s="1360" t="s">
        <v>2509</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1113</v>
      </c>
      <c r="K438" s="617"/>
      <c r="L438" s="612"/>
      <c r="M438" s="613"/>
      <c r="N438" s="618" t="s">
        <v>2430</v>
      </c>
      <c r="O438" s="618" t="s">
        <v>2539</v>
      </c>
      <c r="P438" s="613" t="s">
        <v>1898</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2426</v>
      </c>
      <c r="K439" s="617"/>
      <c r="L439" s="612"/>
      <c r="M439" s="613"/>
      <c r="N439" s="618" t="s">
        <v>3879</v>
      </c>
      <c r="O439" s="618" t="s">
        <v>3402</v>
      </c>
      <c r="P439" s="613" t="s">
        <v>1899</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2428</v>
      </c>
      <c r="K440" s="617"/>
      <c r="L440" s="612"/>
      <c r="M440" s="613"/>
      <c r="N440" s="618" t="s">
        <v>649</v>
      </c>
      <c r="O440" s="618" t="s">
        <v>1138</v>
      </c>
      <c r="P440" s="613" t="s">
        <v>1900</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2429</v>
      </c>
      <c r="K441" s="617"/>
      <c r="L441" s="612"/>
      <c r="M441" s="613"/>
      <c r="N441" s="618" t="s">
        <v>2531</v>
      </c>
      <c r="O441" s="618" t="s">
        <v>1395</v>
      </c>
      <c r="P441" s="613" t="s">
        <v>1901</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3878</v>
      </c>
      <c r="K442" s="617"/>
      <c r="L442" s="612"/>
      <c r="M442" s="613"/>
      <c r="N442" s="618" t="s">
        <v>1965</v>
      </c>
      <c r="O442" s="618" t="s">
        <v>2226</v>
      </c>
      <c r="P442" s="613" t="s">
        <v>1902</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648</v>
      </c>
      <c r="K443" s="617"/>
      <c r="L443" s="612"/>
      <c r="M443" s="613"/>
      <c r="N443" s="618" t="s">
        <v>1967</v>
      </c>
      <c r="O443" s="618" t="s">
        <v>133</v>
      </c>
      <c r="P443" s="613" t="s">
        <v>1903</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2530</v>
      </c>
      <c r="K444" s="617"/>
      <c r="L444" s="612"/>
      <c r="M444" s="613"/>
      <c r="N444" s="618" t="s">
        <v>405</v>
      </c>
      <c r="O444" s="618" t="s">
        <v>126</v>
      </c>
      <c r="P444" s="613" t="s">
        <v>1904</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1964</v>
      </c>
      <c r="K445" s="617"/>
      <c r="L445" s="612"/>
      <c r="M445" s="613"/>
      <c r="N445" s="618" t="s">
        <v>407</v>
      </c>
      <c r="O445" s="618" t="s">
        <v>1382</v>
      </c>
      <c r="P445" s="613" t="s">
        <v>1905</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1966</v>
      </c>
      <c r="K446" s="617"/>
      <c r="L446" s="612"/>
      <c r="M446" s="613"/>
      <c r="N446" s="618" t="s">
        <v>3002</v>
      </c>
      <c r="O446" s="618" t="s">
        <v>3156</v>
      </c>
      <c r="P446" s="613" t="s">
        <v>1906</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404</v>
      </c>
      <c r="K447" s="617"/>
      <c r="L447" s="612"/>
      <c r="M447" s="613"/>
      <c r="N447" s="618" t="s">
        <v>3069</v>
      </c>
      <c r="O447" s="618" t="s">
        <v>421</v>
      </c>
      <c r="P447" s="613" t="s">
        <v>1907</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406</v>
      </c>
      <c r="K448" s="617"/>
      <c r="L448" s="612"/>
      <c r="M448" s="613"/>
      <c r="N448" s="618" t="s">
        <v>3050</v>
      </c>
      <c r="O448" s="618" t="s">
        <v>2016</v>
      </c>
      <c r="P448" s="613" t="s">
        <v>1908</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3001</v>
      </c>
      <c r="K449" s="617"/>
      <c r="L449" s="612"/>
      <c r="M449" s="613"/>
      <c r="N449" s="618" t="s">
        <v>3052</v>
      </c>
      <c r="O449" s="618" t="s">
        <v>1392</v>
      </c>
      <c r="P449" s="613" t="s">
        <v>1909</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3067</v>
      </c>
      <c r="K450" s="617"/>
      <c r="L450" s="612"/>
      <c r="M450" s="613"/>
      <c r="N450" s="618" t="s">
        <v>708</v>
      </c>
      <c r="O450" s="618" t="s">
        <v>2016</v>
      </c>
      <c r="P450" s="613" t="s">
        <v>1910</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3068</v>
      </c>
      <c r="K451" s="617"/>
      <c r="L451" s="612"/>
      <c r="M451" s="613"/>
      <c r="N451" s="500" t="s">
        <v>269</v>
      </c>
      <c r="O451" s="500" t="s">
        <v>3482</v>
      </c>
      <c r="P451" s="1360" t="s">
        <v>2509</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3048</v>
      </c>
      <c r="K452" s="617"/>
      <c r="L452" s="612"/>
      <c r="M452" s="613"/>
      <c r="N452" s="618" t="s">
        <v>2024</v>
      </c>
      <c r="O452" s="618" t="s">
        <v>2541</v>
      </c>
      <c r="P452" s="613" t="s">
        <v>2024</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3049</v>
      </c>
      <c r="K453" s="617"/>
      <c r="L453" s="612"/>
      <c r="M453" s="613"/>
      <c r="N453" s="500" t="s">
        <v>270</v>
      </c>
      <c r="O453" s="500" t="s">
        <v>3155</v>
      </c>
      <c r="P453" s="1360" t="s">
        <v>2509</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3051</v>
      </c>
      <c r="K454" s="617"/>
      <c r="L454" s="612"/>
      <c r="M454" s="613"/>
      <c r="N454" s="618" t="s">
        <v>2299</v>
      </c>
      <c r="O454" s="618" t="s">
        <v>2887</v>
      </c>
      <c r="P454" s="613" t="s">
        <v>1911</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707</v>
      </c>
      <c r="K455" s="617"/>
      <c r="L455" s="612"/>
      <c r="M455" s="613"/>
      <c r="N455" s="500" t="s">
        <v>271</v>
      </c>
      <c r="O455" s="500" t="s">
        <v>128</v>
      </c>
      <c r="P455" s="1360" t="s">
        <v>2509</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2023</v>
      </c>
      <c r="K456" s="617"/>
      <c r="L456" s="612"/>
      <c r="M456" s="613"/>
      <c r="N456" s="618" t="s">
        <v>2301</v>
      </c>
      <c r="O456" s="618" t="s">
        <v>2887</v>
      </c>
      <c r="P456" s="613" t="s">
        <v>1912</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2481</v>
      </c>
      <c r="K457" s="617"/>
      <c r="L457" s="612"/>
      <c r="M457" s="613"/>
      <c r="N457" s="618" t="s">
        <v>421</v>
      </c>
      <c r="O457" s="618" t="s">
        <v>1403</v>
      </c>
      <c r="P457" s="613" t="s">
        <v>1913</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2300</v>
      </c>
      <c r="K458" s="617"/>
      <c r="L458" s="612"/>
      <c r="M458" s="613"/>
      <c r="N458" s="618" t="s">
        <v>1240</v>
      </c>
      <c r="O458" s="618" t="s">
        <v>180</v>
      </c>
      <c r="P458" s="613" t="s">
        <v>1914</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2302</v>
      </c>
      <c r="K459" s="617"/>
      <c r="L459" s="612"/>
      <c r="M459" s="613"/>
      <c r="N459" s="618" t="s">
        <v>1199</v>
      </c>
      <c r="O459" s="618" t="s">
        <v>183</v>
      </c>
      <c r="P459" s="613" t="s">
        <v>1915</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1239</v>
      </c>
      <c r="K460" s="617"/>
      <c r="L460" s="612"/>
      <c r="M460" s="613"/>
      <c r="N460" s="618" t="s">
        <v>423</v>
      </c>
      <c r="O460" s="618" t="s">
        <v>1180</v>
      </c>
      <c r="P460" s="613" t="s">
        <v>1916</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1241</v>
      </c>
      <c r="K461" s="617"/>
      <c r="L461" s="612"/>
      <c r="M461" s="613"/>
      <c r="N461" s="618" t="s">
        <v>426</v>
      </c>
      <c r="O461" s="618" t="s">
        <v>421</v>
      </c>
      <c r="P461" s="613" t="s">
        <v>1917</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1200</v>
      </c>
      <c r="K462" s="617"/>
      <c r="L462" s="612"/>
      <c r="M462" s="613"/>
      <c r="N462" s="618" t="s">
        <v>1585</v>
      </c>
      <c r="O462" s="618" t="s">
        <v>2230</v>
      </c>
      <c r="P462" s="613" t="s">
        <v>1918</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1201</v>
      </c>
      <c r="K463" s="617"/>
      <c r="L463" s="612"/>
      <c r="M463" s="613"/>
      <c r="N463" s="618" t="s">
        <v>3622</v>
      </c>
      <c r="O463" s="618" t="s">
        <v>1403</v>
      </c>
      <c r="P463" s="613" t="s">
        <v>1919</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1584</v>
      </c>
      <c r="K464" s="617"/>
      <c r="L464" s="612"/>
      <c r="M464" s="613"/>
      <c r="N464" s="618" t="s">
        <v>2084</v>
      </c>
      <c r="O464" s="618" t="s">
        <v>2335</v>
      </c>
      <c r="P464" s="613" t="s">
        <v>1920</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2387</v>
      </c>
      <c r="K465" s="617"/>
      <c r="L465" s="612"/>
      <c r="M465" s="613"/>
      <c r="N465" s="618" t="s">
        <v>2086</v>
      </c>
      <c r="O465" s="618" t="s">
        <v>1623</v>
      </c>
      <c r="P465" s="613" t="s">
        <v>1921</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3621</v>
      </c>
      <c r="K466" s="617"/>
      <c r="L466" s="612"/>
      <c r="M466" s="613"/>
      <c r="N466" s="620" t="s">
        <v>2603</v>
      </c>
      <c r="O466" s="618" t="s">
        <v>1302</v>
      </c>
      <c r="P466" s="613" t="s">
        <v>1922</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2153</v>
      </c>
      <c r="K467" s="617"/>
      <c r="L467" s="612"/>
      <c r="M467" s="613"/>
      <c r="N467" s="618" t="s">
        <v>2829</v>
      </c>
      <c r="O467" s="618" t="s">
        <v>3155</v>
      </c>
      <c r="P467" s="613" t="s">
        <v>1923</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2085</v>
      </c>
      <c r="K468" s="617"/>
      <c r="L468" s="612"/>
      <c r="M468" s="613"/>
      <c r="N468" s="618" t="s">
        <v>2831</v>
      </c>
      <c r="O468" s="618" t="s">
        <v>2550</v>
      </c>
      <c r="P468" s="613" t="s">
        <v>2831</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2272</v>
      </c>
      <c r="K469" s="617"/>
      <c r="L469" s="612"/>
      <c r="M469" s="613"/>
      <c r="N469" s="618" t="s">
        <v>622</v>
      </c>
      <c r="O469" s="618" t="s">
        <v>3158</v>
      </c>
      <c r="P469" s="613" t="s">
        <v>1924</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2830</v>
      </c>
      <c r="K470" s="617"/>
      <c r="L470" s="612"/>
      <c r="M470" s="613"/>
      <c r="N470" s="618" t="s">
        <v>624</v>
      </c>
      <c r="O470" s="618" t="s">
        <v>1401</v>
      </c>
      <c r="P470" s="613" t="s">
        <v>1925</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620</v>
      </c>
      <c r="K471" s="617"/>
      <c r="L471" s="612"/>
      <c r="M471" s="613"/>
      <c r="N471" s="500" t="s">
        <v>272</v>
      </c>
      <c r="O471" s="500" t="s">
        <v>1406</v>
      </c>
      <c r="P471" s="1360" t="s">
        <v>2509</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621</v>
      </c>
      <c r="K472" s="617"/>
      <c r="L472" s="612"/>
      <c r="M472" s="613"/>
      <c r="N472" s="618" t="s">
        <v>626</v>
      </c>
      <c r="O472" s="618" t="s">
        <v>1406</v>
      </c>
      <c r="P472" s="613" t="s">
        <v>1926</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623</v>
      </c>
      <c r="K473" s="617"/>
      <c r="L473" s="612"/>
      <c r="M473" s="613"/>
      <c r="N473" s="618" t="s">
        <v>3262</v>
      </c>
      <c r="O473" s="618" t="s">
        <v>1386</v>
      </c>
      <c r="P473" s="613" t="s">
        <v>1927</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625</v>
      </c>
      <c r="K474" s="617"/>
      <c r="L474" s="612"/>
      <c r="M474" s="613"/>
      <c r="N474" s="618" t="s">
        <v>3264</v>
      </c>
      <c r="O474" s="618" t="s">
        <v>430</v>
      </c>
      <c r="P474" s="613" t="s">
        <v>1928</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3261</v>
      </c>
      <c r="K475" s="617"/>
      <c r="L475" s="612"/>
      <c r="M475" s="613"/>
      <c r="N475" s="618" t="s">
        <v>2321</v>
      </c>
      <c r="O475" s="618" t="s">
        <v>2334</v>
      </c>
      <c r="P475" s="613" t="s">
        <v>1929</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3263</v>
      </c>
      <c r="K476" s="617"/>
      <c r="L476" s="612"/>
      <c r="M476" s="613"/>
      <c r="N476" s="618" t="s">
        <v>1588</v>
      </c>
      <c r="O476" s="618" t="s">
        <v>2226</v>
      </c>
      <c r="P476" s="613" t="s">
        <v>1930</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2319</v>
      </c>
      <c r="K477" s="617"/>
      <c r="L477" s="612"/>
      <c r="M477" s="613"/>
      <c r="N477" s="618" t="s">
        <v>857</v>
      </c>
      <c r="O477" s="618" t="s">
        <v>3155</v>
      </c>
      <c r="P477" s="613" t="s">
        <v>857</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2320</v>
      </c>
      <c r="K478" s="617"/>
      <c r="L478" s="612"/>
      <c r="M478" s="613"/>
      <c r="N478" s="618" t="s">
        <v>1590</v>
      </c>
      <c r="O478" s="618" t="s">
        <v>2012</v>
      </c>
      <c r="P478" s="613" t="s">
        <v>1931</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1587</v>
      </c>
      <c r="K479" s="617"/>
      <c r="L479" s="612"/>
      <c r="M479" s="613"/>
      <c r="N479" s="618" t="s">
        <v>2906</v>
      </c>
      <c r="O479" s="618" t="s">
        <v>3398</v>
      </c>
      <c r="P479" s="613" t="s">
        <v>1932</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1589</v>
      </c>
      <c r="K480" s="617"/>
      <c r="L480" s="612"/>
      <c r="M480" s="613"/>
      <c r="N480" s="500" t="s">
        <v>273</v>
      </c>
      <c r="O480" s="500" t="s">
        <v>3482</v>
      </c>
      <c r="P480" s="1360" t="s">
        <v>2509</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2905</v>
      </c>
      <c r="K481" s="617"/>
      <c r="L481" s="612"/>
      <c r="M481" s="613"/>
      <c r="N481" s="500" t="s">
        <v>274</v>
      </c>
      <c r="O481" s="500" t="s">
        <v>1197</v>
      </c>
      <c r="P481" s="1360" t="s">
        <v>2509</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4106</v>
      </c>
      <c r="K482" s="617"/>
      <c r="L482" s="612"/>
      <c r="M482" s="613"/>
      <c r="N482" s="618" t="s">
        <v>836</v>
      </c>
      <c r="O482" s="618" t="s">
        <v>2564</v>
      </c>
      <c r="P482" s="613" t="s">
        <v>1933</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4107</v>
      </c>
      <c r="K483" s="617"/>
      <c r="L483" s="612"/>
      <c r="M483" s="613"/>
      <c r="N483" s="618" t="s">
        <v>3030</v>
      </c>
      <c r="O483" s="618" t="s">
        <v>1636</v>
      </c>
      <c r="P483" s="613" t="s">
        <v>1934</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3029</v>
      </c>
      <c r="K484" s="617"/>
      <c r="L484" s="612"/>
      <c r="M484" s="613"/>
      <c r="N484" s="618" t="s">
        <v>3032</v>
      </c>
      <c r="O484" s="618" t="s">
        <v>1404</v>
      </c>
      <c r="P484" s="613" t="s">
        <v>1935</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3031</v>
      </c>
      <c r="K485" s="617"/>
      <c r="L485" s="612"/>
      <c r="M485" s="613"/>
      <c r="N485" s="618" t="s">
        <v>3448</v>
      </c>
      <c r="O485" s="618" t="s">
        <v>3401</v>
      </c>
      <c r="P485" s="613" t="s">
        <v>1936</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3446</v>
      </c>
      <c r="K486" s="617"/>
      <c r="L486" s="612"/>
      <c r="M486" s="613"/>
      <c r="N486" s="618" t="s">
        <v>3450</v>
      </c>
      <c r="O486" s="618" t="s">
        <v>3827</v>
      </c>
      <c r="P486" s="613" t="s">
        <v>1937</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3447</v>
      </c>
      <c r="K487" s="617"/>
      <c r="L487" s="612"/>
      <c r="M487" s="613"/>
      <c r="N487" s="618" t="s">
        <v>3452</v>
      </c>
      <c r="O487" s="618" t="s">
        <v>2548</v>
      </c>
      <c r="P487" s="613" t="s">
        <v>1938</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3449</v>
      </c>
      <c r="K488" s="617"/>
      <c r="L488" s="612"/>
      <c r="M488" s="613"/>
      <c r="N488" s="618" t="s">
        <v>3086</v>
      </c>
      <c r="O488" s="618" t="s">
        <v>1137</v>
      </c>
      <c r="P488" s="613" t="s">
        <v>1939</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3451</v>
      </c>
      <c r="K489" s="617"/>
      <c r="L489" s="612"/>
      <c r="M489" s="613"/>
      <c r="N489" s="618" t="s">
        <v>3088</v>
      </c>
      <c r="O489" s="618" t="s">
        <v>1636</v>
      </c>
      <c r="P489" s="613" t="s">
        <v>1940</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3453</v>
      </c>
      <c r="K490" s="617"/>
      <c r="L490" s="612"/>
      <c r="M490" s="613"/>
      <c r="N490" s="618" t="s">
        <v>1367</v>
      </c>
      <c r="O490" s="618" t="s">
        <v>3013</v>
      </c>
      <c r="P490" s="613" t="s">
        <v>1941</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3087</v>
      </c>
      <c r="K491" s="617"/>
      <c r="L491" s="612"/>
      <c r="M491" s="613"/>
      <c r="N491" s="500" t="s">
        <v>275</v>
      </c>
      <c r="O491" s="500" t="s">
        <v>2332</v>
      </c>
      <c r="P491" s="1360" t="s">
        <v>2509</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1142</v>
      </c>
      <c r="K492" s="617"/>
      <c r="L492" s="612"/>
      <c r="M492" s="613"/>
      <c r="N492" s="618" t="s">
        <v>1369</v>
      </c>
      <c r="O492" s="618" t="s">
        <v>3403</v>
      </c>
      <c r="P492" s="613" t="s">
        <v>1942</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1368</v>
      </c>
      <c r="K493" s="617"/>
      <c r="L493" s="612"/>
      <c r="M493" s="613"/>
      <c r="N493" s="618" t="s">
        <v>1009</v>
      </c>
      <c r="O493" s="618" t="s">
        <v>2334</v>
      </c>
      <c r="P493" s="1359" t="s">
        <v>1006</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3470</v>
      </c>
      <c r="K494" s="617"/>
      <c r="L494" s="612"/>
      <c r="M494" s="613"/>
      <c r="N494" s="618" t="s">
        <v>1010</v>
      </c>
      <c r="O494" s="618" t="s">
        <v>182</v>
      </c>
      <c r="P494" s="1359" t="s">
        <v>1006</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1000</v>
      </c>
      <c r="K495" s="617"/>
      <c r="L495" s="612"/>
      <c r="M495" s="613"/>
      <c r="N495" s="618" t="s">
        <v>1002</v>
      </c>
      <c r="O495" s="618" t="s">
        <v>853</v>
      </c>
      <c r="P495" s="613" t="s">
        <v>1943</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1001</v>
      </c>
      <c r="K496" s="617"/>
      <c r="L496" s="612"/>
      <c r="M496" s="613"/>
      <c r="N496" s="618" t="s">
        <v>1005</v>
      </c>
      <c r="O496" s="618" t="s">
        <v>417</v>
      </c>
      <c r="P496" s="613" t="s">
        <v>1944</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1003</v>
      </c>
      <c r="K497" s="617"/>
      <c r="L497" s="612"/>
      <c r="M497" s="613"/>
      <c r="N497" s="618" t="s">
        <v>1635</v>
      </c>
      <c r="O497" s="618" t="s">
        <v>2335</v>
      </c>
      <c r="P497" s="613" t="s">
        <v>1945</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1004</v>
      </c>
      <c r="K498" s="617"/>
      <c r="L498" s="612"/>
      <c r="M498" s="613"/>
      <c r="N498" s="618" t="s">
        <v>225</v>
      </c>
      <c r="O498" s="618" t="s">
        <v>2188</v>
      </c>
      <c r="P498" s="613" t="s">
        <v>1946</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1634</v>
      </c>
      <c r="K499" s="617"/>
      <c r="L499" s="612"/>
      <c r="M499" s="613"/>
      <c r="N499" s="618" t="s">
        <v>3467</v>
      </c>
      <c r="O499" s="618" t="s">
        <v>2334</v>
      </c>
      <c r="P499" s="613" t="s">
        <v>1947</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224</v>
      </c>
      <c r="K500" s="617"/>
      <c r="L500" s="612"/>
      <c r="M500" s="613"/>
      <c r="N500" s="618" t="s">
        <v>3471</v>
      </c>
      <c r="O500" s="618" t="s">
        <v>426</v>
      </c>
      <c r="P500" s="613" t="s">
        <v>1948</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3466</v>
      </c>
      <c r="K501" s="617"/>
      <c r="L501" s="612"/>
      <c r="M501" s="613"/>
      <c r="N501" s="618" t="s">
        <v>3473</v>
      </c>
      <c r="O501" s="618" t="s">
        <v>3155</v>
      </c>
      <c r="P501" s="613" t="s">
        <v>1949</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219</v>
      </c>
      <c r="K502" s="617"/>
      <c r="L502" s="612"/>
      <c r="M502" s="613"/>
      <c r="N502" s="618" t="s">
        <v>634</v>
      </c>
      <c r="O502" s="618" t="s">
        <v>3405</v>
      </c>
      <c r="P502" s="613" t="s">
        <v>1950</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3472</v>
      </c>
      <c r="K503" s="617"/>
      <c r="L503" s="612"/>
      <c r="M503" s="613"/>
      <c r="N503" s="618" t="s">
        <v>1470</v>
      </c>
      <c r="O503" s="618" t="s">
        <v>409</v>
      </c>
      <c r="P503" s="613" t="s">
        <v>1951</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3474</v>
      </c>
      <c r="K504" s="617"/>
      <c r="L504" s="612"/>
      <c r="M504" s="613"/>
      <c r="N504" s="618" t="s">
        <v>1472</v>
      </c>
      <c r="O504" s="618" t="s">
        <v>180</v>
      </c>
      <c r="P504" s="613" t="s">
        <v>1472</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1469</v>
      </c>
      <c r="K505" s="617"/>
      <c r="L505" s="612"/>
      <c r="M505" s="613"/>
      <c r="N505" s="618" t="s">
        <v>2013</v>
      </c>
      <c r="O505" s="618" t="s">
        <v>2546</v>
      </c>
      <c r="P505" s="613" t="s">
        <v>3605</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1471</v>
      </c>
      <c r="K506" s="617"/>
      <c r="L506" s="612"/>
      <c r="M506" s="613"/>
      <c r="N506" s="618" t="s">
        <v>1475</v>
      </c>
      <c r="O506" s="618" t="s">
        <v>2188</v>
      </c>
      <c r="P506" s="613" t="s">
        <v>3606</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1473</v>
      </c>
      <c r="K507" s="617"/>
      <c r="L507" s="612"/>
      <c r="M507" s="613"/>
      <c r="N507" s="618" t="s">
        <v>1477</v>
      </c>
      <c r="O507" s="618" t="s">
        <v>131</v>
      </c>
      <c r="P507" s="613" t="s">
        <v>3607</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1474</v>
      </c>
      <c r="K508" s="617"/>
      <c r="L508" s="612"/>
      <c r="M508" s="613"/>
      <c r="N508" s="618" t="s">
        <v>3166</v>
      </c>
      <c r="O508" s="618" t="s">
        <v>2220</v>
      </c>
      <c r="P508" s="613" t="s">
        <v>3608</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1476</v>
      </c>
      <c r="K509" s="617"/>
      <c r="L509" s="612"/>
      <c r="M509" s="613"/>
      <c r="N509" s="500" t="s">
        <v>276</v>
      </c>
      <c r="O509" s="500" t="s">
        <v>3158</v>
      </c>
      <c r="P509" s="1360" t="s">
        <v>2509</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1478</v>
      </c>
      <c r="K510" s="617"/>
      <c r="L510" s="612"/>
      <c r="M510" s="613"/>
      <c r="N510" s="618" t="s">
        <v>1392</v>
      </c>
      <c r="O510" s="618" t="s">
        <v>1391</v>
      </c>
      <c r="P510" s="613" t="s">
        <v>3609</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3534</v>
      </c>
      <c r="K511" s="617"/>
      <c r="L511" s="612"/>
      <c r="M511" s="613"/>
      <c r="N511" s="618" t="s">
        <v>2016</v>
      </c>
      <c r="O511" s="618" t="s">
        <v>1130</v>
      </c>
      <c r="P511" s="613" t="s">
        <v>3610</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3535</v>
      </c>
      <c r="K512" s="617"/>
      <c r="L512" s="612"/>
      <c r="M512" s="613"/>
      <c r="N512" s="618" t="s">
        <v>3538</v>
      </c>
      <c r="O512" s="618" t="s">
        <v>2554</v>
      </c>
      <c r="P512" s="613" t="s">
        <v>1689</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3536</v>
      </c>
      <c r="K513" s="617"/>
      <c r="L513" s="612"/>
      <c r="M513" s="613"/>
      <c r="N513" s="618" t="s">
        <v>3540</v>
      </c>
      <c r="O513" s="618" t="s">
        <v>2188</v>
      </c>
      <c r="P513" s="613" t="s">
        <v>1690</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3537</v>
      </c>
      <c r="K514" s="617"/>
      <c r="L514" s="612"/>
      <c r="M514" s="613"/>
      <c r="N514" s="618" t="s">
        <v>1673</v>
      </c>
      <c r="O514" s="618" t="s">
        <v>1135</v>
      </c>
      <c r="P514" s="613" t="s">
        <v>1691</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3539</v>
      </c>
      <c r="K515" s="617"/>
      <c r="L515" s="612"/>
      <c r="M515" s="613"/>
      <c r="N515" s="618" t="s">
        <v>2397</v>
      </c>
      <c r="O515" s="618" t="s">
        <v>3158</v>
      </c>
      <c r="P515" s="613" t="s">
        <v>1692</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3541</v>
      </c>
      <c r="K516" s="617"/>
      <c r="L516" s="612"/>
      <c r="M516" s="613"/>
      <c r="N516" s="618" t="s">
        <v>2399</v>
      </c>
      <c r="O516" s="618" t="s">
        <v>1392</v>
      </c>
      <c r="P516" s="613" t="s">
        <v>2645</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1672</v>
      </c>
      <c r="K517" s="617"/>
      <c r="L517" s="612"/>
      <c r="M517" s="613"/>
      <c r="N517" s="618" t="s">
        <v>222</v>
      </c>
      <c r="O517" s="618" t="s">
        <v>2544</v>
      </c>
      <c r="P517" s="613" t="s">
        <v>2646</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1674</v>
      </c>
      <c r="K518" s="617"/>
      <c r="L518" s="612"/>
      <c r="M518" s="613"/>
      <c r="N518" s="500" t="s">
        <v>1707</v>
      </c>
      <c r="O518" s="500" t="s">
        <v>3826</v>
      </c>
      <c r="P518" s="1360" t="s">
        <v>2509</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2398</v>
      </c>
      <c r="K519" s="617"/>
      <c r="L519" s="612"/>
      <c r="M519" s="613"/>
      <c r="N519" s="618" t="s">
        <v>1173</v>
      </c>
      <c r="O519" s="618" t="s">
        <v>1137</v>
      </c>
      <c r="P519" s="613" t="s">
        <v>2647</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221</v>
      </c>
      <c r="K520" s="617"/>
      <c r="L520" s="612"/>
      <c r="M520" s="613"/>
      <c r="N520" s="618" t="s">
        <v>1175</v>
      </c>
      <c r="O520" s="618" t="s">
        <v>1382</v>
      </c>
      <c r="P520" s="613" t="s">
        <v>2648</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223</v>
      </c>
      <c r="K521" s="617"/>
      <c r="L521" s="612"/>
      <c r="M521" s="613"/>
      <c r="N521" s="618" t="s">
        <v>1177</v>
      </c>
      <c r="O521" s="618" t="s">
        <v>2559</v>
      </c>
      <c r="P521" s="613" t="s">
        <v>2649</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1521</v>
      </c>
      <c r="K522" s="617"/>
      <c r="L522" s="612"/>
      <c r="M522" s="613"/>
      <c r="N522" s="618" t="s">
        <v>241</v>
      </c>
      <c r="O522" s="618" t="s">
        <v>417</v>
      </c>
      <c r="P522" s="613" t="s">
        <v>2650</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1172</v>
      </c>
      <c r="K523" s="617"/>
      <c r="L523" s="612"/>
      <c r="M523" s="613"/>
      <c r="N523" s="618" t="s">
        <v>2252</v>
      </c>
      <c r="O523" s="618" t="s">
        <v>2887</v>
      </c>
      <c r="P523" s="613" t="s">
        <v>2651</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1174</v>
      </c>
      <c r="K524" s="617"/>
      <c r="L524" s="612"/>
      <c r="M524" s="613"/>
      <c r="N524" s="618" t="s">
        <v>1870</v>
      </c>
      <c r="O524" s="618" t="s">
        <v>180</v>
      </c>
      <c r="P524" s="613" t="s">
        <v>2652</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1176</v>
      </c>
      <c r="K525" s="617"/>
      <c r="L525" s="612"/>
      <c r="M525" s="613"/>
      <c r="N525" s="618" t="s">
        <v>3071</v>
      </c>
      <c r="O525" s="618" t="s">
        <v>1183</v>
      </c>
      <c r="P525" s="613" t="s">
        <v>2653</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240</v>
      </c>
      <c r="K526" s="617"/>
      <c r="L526" s="612"/>
      <c r="M526" s="613"/>
      <c r="N526" s="618" t="s">
        <v>633</v>
      </c>
      <c r="O526" s="618" t="s">
        <v>1991</v>
      </c>
      <c r="P526" s="613" t="s">
        <v>2654</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2251</v>
      </c>
      <c r="K527" s="617"/>
      <c r="L527" s="612"/>
      <c r="M527" s="613"/>
      <c r="N527" s="618" t="s">
        <v>2597</v>
      </c>
      <c r="O527" s="618" t="s">
        <v>131</v>
      </c>
      <c r="P527" s="613" t="s">
        <v>2655</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1869</v>
      </c>
      <c r="K528" s="617"/>
      <c r="L528" s="612"/>
      <c r="M528" s="613"/>
      <c r="N528" s="618" t="s">
        <v>722</v>
      </c>
      <c r="O528" s="618" t="s">
        <v>2765</v>
      </c>
      <c r="P528" s="613" t="s">
        <v>2656</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3070</v>
      </c>
      <c r="K529" s="617"/>
      <c r="L529" s="612"/>
      <c r="M529" s="613"/>
      <c r="N529" s="618" t="s">
        <v>724</v>
      </c>
      <c r="O529" s="618" t="s">
        <v>1401</v>
      </c>
      <c r="P529" s="613" t="s">
        <v>2657</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632</v>
      </c>
      <c r="K530" s="617"/>
      <c r="L530" s="612"/>
      <c r="M530" s="613"/>
      <c r="N530" s="618" t="s">
        <v>726</v>
      </c>
      <c r="O530" s="618" t="s">
        <v>3402</v>
      </c>
      <c r="P530" s="613" t="s">
        <v>2658</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3325</v>
      </c>
      <c r="K531" s="617"/>
      <c r="L531" s="612"/>
      <c r="M531" s="613"/>
      <c r="N531" s="618" t="s">
        <v>728</v>
      </c>
      <c r="O531" s="618" t="s">
        <v>180</v>
      </c>
      <c r="P531" s="613" t="s">
        <v>2659</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878</v>
      </c>
      <c r="K532" s="617"/>
      <c r="L532" s="612"/>
      <c r="M532" s="613"/>
      <c r="N532" s="618" t="s">
        <v>730</v>
      </c>
      <c r="O532" s="618" t="s">
        <v>2114</v>
      </c>
      <c r="P532" s="613" t="s">
        <v>2660</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2598</v>
      </c>
      <c r="K533" s="617"/>
      <c r="L533" s="612"/>
      <c r="M533" s="613"/>
      <c r="N533" s="618" t="s">
        <v>744</v>
      </c>
      <c r="O533" s="618" t="s">
        <v>428</v>
      </c>
      <c r="P533" s="613" t="s">
        <v>2661</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2599</v>
      </c>
      <c r="K534" s="617"/>
      <c r="L534" s="612"/>
      <c r="M534" s="613"/>
      <c r="N534" s="618" t="s">
        <v>746</v>
      </c>
      <c r="O534" s="618" t="s">
        <v>561</v>
      </c>
      <c r="P534" s="613" t="s">
        <v>2662</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723</v>
      </c>
      <c r="K535" s="617"/>
      <c r="L535" s="612"/>
      <c r="M535" s="613"/>
      <c r="N535" s="620" t="s">
        <v>2604</v>
      </c>
      <c r="O535" s="618" t="s">
        <v>1302</v>
      </c>
      <c r="P535" s="613" t="s">
        <v>2663</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725</v>
      </c>
      <c r="K536" s="617"/>
      <c r="L536" s="612"/>
      <c r="M536" s="613"/>
      <c r="N536" s="621" t="s">
        <v>1011</v>
      </c>
      <c r="O536" s="618" t="s">
        <v>2559</v>
      </c>
      <c r="P536" s="1359" t="s">
        <v>1006</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727</v>
      </c>
      <c r="K537" s="617"/>
      <c r="L537" s="612"/>
      <c r="M537" s="613"/>
      <c r="N537" s="618" t="s">
        <v>1875</v>
      </c>
      <c r="O537" s="618" t="s">
        <v>2568</v>
      </c>
      <c r="P537" s="613" t="s">
        <v>2664</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729</v>
      </c>
      <c r="K538" s="617"/>
      <c r="L538" s="612"/>
      <c r="M538" s="613"/>
      <c r="N538" s="618" t="s">
        <v>3963</v>
      </c>
      <c r="O538" s="618" t="s">
        <v>1183</v>
      </c>
      <c r="P538" s="613" t="s">
        <v>2665</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743</v>
      </c>
      <c r="K539" s="617"/>
      <c r="L539" s="612"/>
      <c r="M539" s="613"/>
      <c r="N539" s="618" t="s">
        <v>1877</v>
      </c>
      <c r="O539" s="618" t="s">
        <v>2335</v>
      </c>
      <c r="P539" s="613" t="s">
        <v>2666</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745</v>
      </c>
      <c r="K540" s="617"/>
      <c r="L540" s="612"/>
      <c r="M540" s="613"/>
      <c r="N540" s="618" t="s">
        <v>609</v>
      </c>
      <c r="O540" s="618" t="s">
        <v>1392</v>
      </c>
      <c r="P540" s="613" t="s">
        <v>2667</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2628</v>
      </c>
      <c r="K541" s="617"/>
      <c r="L541" s="612"/>
      <c r="M541" s="613"/>
      <c r="N541" s="500" t="s">
        <v>2021</v>
      </c>
      <c r="O541" s="500" t="s">
        <v>128</v>
      </c>
      <c r="P541" s="1360" t="s">
        <v>2509</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797</v>
      </c>
      <c r="K542" s="617"/>
      <c r="L542" s="612"/>
      <c r="M542" s="613"/>
      <c r="N542" s="618" t="s">
        <v>3290</v>
      </c>
      <c r="O542" s="618" t="s">
        <v>423</v>
      </c>
      <c r="P542" s="613" t="s">
        <v>2668</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798</v>
      </c>
      <c r="K543" s="617"/>
      <c r="L543" s="612"/>
      <c r="M543" s="613"/>
      <c r="N543" s="618" t="s">
        <v>1039</v>
      </c>
      <c r="O543" s="618" t="s">
        <v>3399</v>
      </c>
      <c r="P543" s="613" t="s">
        <v>2669</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3962</v>
      </c>
      <c r="K544" s="617"/>
      <c r="L544" s="612"/>
      <c r="M544" s="613"/>
      <c r="N544" s="500" t="s">
        <v>278</v>
      </c>
      <c r="O544" s="500" t="s">
        <v>2012</v>
      </c>
      <c r="P544" s="1360" t="s">
        <v>2509</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607</v>
      </c>
      <c r="K545" s="617"/>
      <c r="L545" s="612"/>
      <c r="M545" s="613"/>
      <c r="N545" s="618" t="s">
        <v>1655</v>
      </c>
      <c r="O545" s="618" t="s">
        <v>3829</v>
      </c>
      <c r="P545" s="613" t="s">
        <v>2670</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608</v>
      </c>
      <c r="K546" s="617"/>
      <c r="L546" s="612"/>
      <c r="M546" s="613"/>
      <c r="N546" s="618" t="s">
        <v>1130</v>
      </c>
      <c r="O546" s="618" t="s">
        <v>1404</v>
      </c>
      <c r="P546" s="613" t="s">
        <v>2671</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3289</v>
      </c>
      <c r="K547" s="617"/>
      <c r="L547" s="612"/>
      <c r="M547" s="613"/>
      <c r="N547" s="618" t="s">
        <v>1658</v>
      </c>
      <c r="O547" s="618" t="s">
        <v>2559</v>
      </c>
      <c r="P547" s="613" t="s">
        <v>2672</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1038</v>
      </c>
      <c r="K548" s="617"/>
      <c r="L548" s="612"/>
      <c r="M548" s="613"/>
      <c r="N548" s="618" t="s">
        <v>1660</v>
      </c>
      <c r="O548" s="618" t="s">
        <v>3155</v>
      </c>
      <c r="P548" s="613" t="s">
        <v>2673</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1040</v>
      </c>
      <c r="K549" s="617"/>
      <c r="L549" s="612"/>
      <c r="M549" s="613"/>
      <c r="N549" s="618" t="s">
        <v>1141</v>
      </c>
      <c r="O549" s="618" t="s">
        <v>1396</v>
      </c>
      <c r="P549" s="613" t="s">
        <v>2674</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1041</v>
      </c>
      <c r="K550" s="617"/>
      <c r="L550" s="612"/>
      <c r="M550" s="613"/>
      <c r="N550" s="618" t="s">
        <v>3980</v>
      </c>
      <c r="O550" s="618" t="s">
        <v>3161</v>
      </c>
      <c r="P550" s="613" t="s">
        <v>2675</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1656</v>
      </c>
      <c r="K551" s="617"/>
      <c r="L551" s="612"/>
      <c r="M551" s="613"/>
      <c r="N551" s="618" t="s">
        <v>904</v>
      </c>
      <c r="O551" s="618" t="s">
        <v>1637</v>
      </c>
      <c r="P551" s="613" t="s">
        <v>2676</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1657</v>
      </c>
      <c r="K552" s="617"/>
      <c r="L552" s="612"/>
      <c r="M552" s="613"/>
      <c r="N552" s="618" t="s">
        <v>905</v>
      </c>
      <c r="O552" s="618" t="s">
        <v>2021</v>
      </c>
      <c r="P552" s="613" t="s">
        <v>2677</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1659</v>
      </c>
      <c r="K553" s="617"/>
      <c r="L553" s="612"/>
      <c r="M553" s="613"/>
      <c r="N553" s="618" t="s">
        <v>2617</v>
      </c>
      <c r="O553" s="618" t="s">
        <v>2767</v>
      </c>
      <c r="P553" s="613" t="s">
        <v>2678</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1140</v>
      </c>
      <c r="K554" s="617"/>
      <c r="L554" s="612"/>
      <c r="M554" s="613"/>
      <c r="N554" s="618" t="s">
        <v>2619</v>
      </c>
      <c r="O554" s="618" t="s">
        <v>1192</v>
      </c>
      <c r="P554" s="613" t="s">
        <v>2619</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3979</v>
      </c>
      <c r="K555" s="617"/>
      <c r="L555" s="612"/>
      <c r="M555" s="613"/>
      <c r="N555" s="618" t="s">
        <v>3659</v>
      </c>
      <c r="O555" s="618" t="s">
        <v>1302</v>
      </c>
      <c r="P555" s="613" t="s">
        <v>2679</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3981</v>
      </c>
      <c r="K556" s="617"/>
      <c r="L556" s="612"/>
      <c r="M556" s="613"/>
      <c r="N556" s="500" t="s">
        <v>3659</v>
      </c>
      <c r="O556" s="500" t="s">
        <v>1302</v>
      </c>
      <c r="P556" s="1360" t="s">
        <v>2509</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799</v>
      </c>
      <c r="K557" s="617"/>
      <c r="L557" s="612"/>
      <c r="M557" s="613"/>
      <c r="N557" s="618" t="s">
        <v>1556</v>
      </c>
      <c r="O557" s="618" t="s">
        <v>1395</v>
      </c>
      <c r="P557" s="613" t="s">
        <v>2680</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3091</v>
      </c>
      <c r="K558" s="617"/>
      <c r="L558" s="612"/>
      <c r="M558" s="613"/>
      <c r="N558" s="618" t="s">
        <v>3620</v>
      </c>
      <c r="O558" s="618" t="s">
        <v>1389</v>
      </c>
      <c r="P558" s="613" t="s">
        <v>2681</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2616</v>
      </c>
      <c r="K559" s="617"/>
      <c r="L559" s="612"/>
      <c r="M559" s="613"/>
      <c r="N559" s="618" t="s">
        <v>1012</v>
      </c>
      <c r="O559" s="618" t="s">
        <v>2012</v>
      </c>
      <c r="P559" s="1359" t="s">
        <v>1006</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2618</v>
      </c>
      <c r="K560" s="617"/>
      <c r="L560" s="612"/>
      <c r="M560" s="613"/>
      <c r="N560" s="618" t="s">
        <v>1111</v>
      </c>
      <c r="O560" s="618" t="s">
        <v>1180</v>
      </c>
      <c r="P560" s="613" t="s">
        <v>2682</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3658</v>
      </c>
      <c r="K561" s="617"/>
      <c r="L561" s="612"/>
      <c r="M561" s="613"/>
      <c r="N561" s="618" t="s">
        <v>465</v>
      </c>
      <c r="O561" s="618" t="s">
        <v>1135</v>
      </c>
      <c r="P561" s="613" t="s">
        <v>2683</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1554</v>
      </c>
      <c r="K562" s="617"/>
      <c r="L562" s="612"/>
      <c r="M562" s="613"/>
      <c r="N562" s="618" t="s">
        <v>467</v>
      </c>
      <c r="O562" s="618" t="s">
        <v>2539</v>
      </c>
      <c r="P562" s="613" t="s">
        <v>2684</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1555</v>
      </c>
      <c r="K563" s="617"/>
      <c r="L563" s="612"/>
      <c r="M563" s="613"/>
      <c r="N563" s="618" t="s">
        <v>469</v>
      </c>
      <c r="O563" s="618" t="s">
        <v>3829</v>
      </c>
      <c r="P563" s="613" t="s">
        <v>2685</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3619</v>
      </c>
      <c r="K564" s="617"/>
      <c r="L564" s="612"/>
      <c r="M564" s="613"/>
      <c r="N564" s="618" t="s">
        <v>1135</v>
      </c>
      <c r="O564" s="618" t="s">
        <v>2112</v>
      </c>
      <c r="P564" s="613" t="s">
        <v>2686</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3649</v>
      </c>
      <c r="K565" s="617"/>
      <c r="L565" s="612"/>
      <c r="M565" s="613"/>
      <c r="N565" s="618" t="s">
        <v>1679</v>
      </c>
      <c r="O565" s="618" t="s">
        <v>3159</v>
      </c>
      <c r="P565" s="613" t="s">
        <v>2687</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464</v>
      </c>
      <c r="K566" s="617"/>
      <c r="L566" s="612"/>
      <c r="M566" s="613"/>
      <c r="N566" s="618" t="s">
        <v>1681</v>
      </c>
      <c r="O566" s="618" t="s">
        <v>421</v>
      </c>
      <c r="P566" s="613" t="s">
        <v>2688</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466</v>
      </c>
      <c r="K567" s="617"/>
      <c r="L567" s="612"/>
      <c r="M567" s="613"/>
      <c r="N567" s="618" t="s">
        <v>3382</v>
      </c>
      <c r="O567" s="618" t="s">
        <v>1636</v>
      </c>
      <c r="P567" s="613" t="s">
        <v>2689</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468</v>
      </c>
      <c r="K568" s="617"/>
      <c r="L568" s="612"/>
      <c r="M568" s="613"/>
      <c r="N568" s="618" t="s">
        <v>2948</v>
      </c>
      <c r="O568" s="618" t="s">
        <v>3161</v>
      </c>
      <c r="P568" s="613" t="s">
        <v>2690</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470</v>
      </c>
      <c r="K569" s="617"/>
      <c r="L569" s="612"/>
      <c r="M569" s="613"/>
      <c r="N569" s="500" t="s">
        <v>279</v>
      </c>
      <c r="O569" s="500" t="s">
        <v>853</v>
      </c>
      <c r="P569" s="1360" t="s">
        <v>2509</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1678</v>
      </c>
      <c r="K570" s="617"/>
      <c r="L570" s="612"/>
      <c r="M570" s="613"/>
      <c r="N570" s="500" t="s">
        <v>280</v>
      </c>
      <c r="O570" s="500" t="s">
        <v>853</v>
      </c>
      <c r="P570" s="1360" t="s">
        <v>2509</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1680</v>
      </c>
      <c r="K571" s="617"/>
      <c r="L571" s="612"/>
      <c r="M571" s="613"/>
      <c r="N571" s="500" t="s">
        <v>281</v>
      </c>
      <c r="O571" s="500" t="s">
        <v>853</v>
      </c>
      <c r="P571" s="1360" t="s">
        <v>2509</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1682</v>
      </c>
      <c r="K572" s="617"/>
      <c r="L572" s="612"/>
      <c r="M572" s="613"/>
      <c r="N572" s="618" t="s">
        <v>2154</v>
      </c>
      <c r="O572" s="618" t="s">
        <v>1136</v>
      </c>
      <c r="P572" s="613" t="s">
        <v>2691</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1139</v>
      </c>
      <c r="K573" s="617"/>
      <c r="L573" s="612"/>
      <c r="M573" s="613"/>
      <c r="N573" s="618" t="s">
        <v>304</v>
      </c>
      <c r="O573" s="618" t="s">
        <v>1619</v>
      </c>
      <c r="P573" s="613" t="s">
        <v>2692</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3757</v>
      </c>
      <c r="K574" s="617"/>
      <c r="L574" s="612"/>
      <c r="M574" s="613"/>
      <c r="N574" s="618" t="s">
        <v>306</v>
      </c>
      <c r="O574" s="618" t="s">
        <v>3614</v>
      </c>
      <c r="P574" s="613" t="s">
        <v>2693</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303</v>
      </c>
      <c r="K575" s="617"/>
      <c r="L575" s="612"/>
      <c r="M575" s="613"/>
      <c r="N575" s="618" t="s">
        <v>309</v>
      </c>
      <c r="O575" s="618" t="s">
        <v>3614</v>
      </c>
      <c r="P575" s="613" t="s">
        <v>2694</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305</v>
      </c>
      <c r="K576" s="617"/>
      <c r="L576" s="612"/>
      <c r="M576" s="613"/>
      <c r="N576" s="618" t="s">
        <v>311</v>
      </c>
      <c r="O576" s="618" t="s">
        <v>409</v>
      </c>
      <c r="P576" s="613" t="s">
        <v>2695</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307</v>
      </c>
      <c r="K577" s="617"/>
      <c r="L577" s="612"/>
      <c r="M577" s="613"/>
      <c r="N577" s="618" t="s">
        <v>313</v>
      </c>
      <c r="O577" s="618" t="s">
        <v>1991</v>
      </c>
      <c r="P577" s="613" t="s">
        <v>2696</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308</v>
      </c>
      <c r="K578" s="617"/>
      <c r="L578" s="612"/>
      <c r="M578" s="613"/>
      <c r="N578" s="618" t="s">
        <v>315</v>
      </c>
      <c r="O578" s="618" t="s">
        <v>419</v>
      </c>
      <c r="P578" s="613" t="s">
        <v>2697</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310</v>
      </c>
      <c r="K579" s="617"/>
      <c r="L579" s="612"/>
      <c r="M579" s="613"/>
      <c r="N579" s="618" t="s">
        <v>1136</v>
      </c>
      <c r="O579" s="618" t="s">
        <v>1621</v>
      </c>
      <c r="P579" s="613" t="s">
        <v>2698</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312</v>
      </c>
      <c r="K580" s="617"/>
      <c r="L580" s="612"/>
      <c r="M580" s="613"/>
      <c r="N580" s="618" t="s">
        <v>3881</v>
      </c>
      <c r="O580" s="618" t="s">
        <v>1623</v>
      </c>
      <c r="P580" s="613" t="s">
        <v>2699</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314</v>
      </c>
      <c r="K581" s="617"/>
      <c r="L581" s="612"/>
      <c r="M581" s="613"/>
      <c r="N581" s="618" t="s">
        <v>250</v>
      </c>
      <c r="O581" s="618" t="s">
        <v>1181</v>
      </c>
      <c r="P581" s="613" t="s">
        <v>2700</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316</v>
      </c>
      <c r="K582" s="617"/>
      <c r="L582" s="612"/>
      <c r="M582" s="613"/>
      <c r="N582" s="618" t="s">
        <v>1137</v>
      </c>
      <c r="O582" s="618" t="s">
        <v>1392</v>
      </c>
      <c r="P582" s="613" t="s">
        <v>2701</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317</v>
      </c>
      <c r="K583" s="617"/>
      <c r="L583" s="612"/>
      <c r="M583" s="613"/>
      <c r="N583" s="618" t="s">
        <v>1962</v>
      </c>
      <c r="O583" s="618" t="s">
        <v>2539</v>
      </c>
      <c r="P583" s="613" t="s">
        <v>2702</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249</v>
      </c>
      <c r="K584" s="617"/>
      <c r="L584" s="612"/>
      <c r="M584" s="613"/>
      <c r="N584" s="618" t="s">
        <v>1013</v>
      </c>
      <c r="O584" s="618" t="s">
        <v>2546</v>
      </c>
      <c r="P584" s="1359" t="s">
        <v>1006</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1960</v>
      </c>
      <c r="K585" s="617"/>
      <c r="L585" s="612"/>
      <c r="M585" s="613"/>
      <c r="N585" s="618" t="s">
        <v>3646</v>
      </c>
      <c r="O585" s="618" t="s">
        <v>1993</v>
      </c>
      <c r="P585" s="613" t="s">
        <v>2703</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1961</v>
      </c>
      <c r="K586" s="617"/>
      <c r="L586" s="612"/>
      <c r="M586" s="613"/>
      <c r="N586" s="618" t="s">
        <v>3648</v>
      </c>
      <c r="O586" s="618" t="s">
        <v>2543</v>
      </c>
      <c r="P586" s="613" t="s">
        <v>2704</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1963</v>
      </c>
      <c r="K587" s="617"/>
      <c r="L587" s="612"/>
      <c r="M587" s="613"/>
      <c r="N587" s="618" t="s">
        <v>764</v>
      </c>
      <c r="O587" s="618" t="s">
        <v>1135</v>
      </c>
      <c r="P587" s="613" t="s">
        <v>2705</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3647</v>
      </c>
      <c r="K588" s="617"/>
      <c r="L588" s="612"/>
      <c r="M588" s="613"/>
      <c r="N588" s="618" t="s">
        <v>766</v>
      </c>
      <c r="O588" s="618" t="s">
        <v>1302</v>
      </c>
      <c r="P588" s="613" t="s">
        <v>2706</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763</v>
      </c>
      <c r="K589" s="617"/>
      <c r="L589" s="612"/>
      <c r="M589" s="613"/>
      <c r="N589" s="500" t="s">
        <v>282</v>
      </c>
      <c r="O589" s="500" t="s">
        <v>853</v>
      </c>
      <c r="P589" s="1360" t="s">
        <v>2509</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765</v>
      </c>
      <c r="K590" s="617"/>
      <c r="L590" s="612"/>
      <c r="M590" s="613"/>
      <c r="N590" s="618" t="s">
        <v>768</v>
      </c>
      <c r="O590" s="618" t="s">
        <v>1990</v>
      </c>
      <c r="P590" s="613" t="s">
        <v>2707</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767</v>
      </c>
      <c r="K591" s="617"/>
      <c r="L591" s="612"/>
      <c r="M591" s="613"/>
      <c r="N591" s="618" t="s">
        <v>1275</v>
      </c>
      <c r="O591" s="618" t="s">
        <v>1181</v>
      </c>
      <c r="P591" s="613" t="s">
        <v>2708</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2414</v>
      </c>
      <c r="K592" s="617"/>
      <c r="L592" s="612"/>
      <c r="M592" s="613"/>
      <c r="N592" s="618" t="s">
        <v>3393</v>
      </c>
      <c r="O592" s="618" t="s">
        <v>1991</v>
      </c>
      <c r="P592" s="613" t="s">
        <v>2709</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3392</v>
      </c>
      <c r="K593" s="617"/>
      <c r="L593" s="612"/>
      <c r="M593" s="613"/>
      <c r="N593" s="618" t="s">
        <v>3395</v>
      </c>
      <c r="O593" s="618" t="s">
        <v>1391</v>
      </c>
      <c r="P593" s="613" t="s">
        <v>3395</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3394</v>
      </c>
      <c r="K594" s="617"/>
      <c r="L594" s="612"/>
      <c r="M594" s="613"/>
      <c r="N594" s="618" t="s">
        <v>3397</v>
      </c>
      <c r="O594" s="618" t="s">
        <v>2561</v>
      </c>
      <c r="P594" s="613" t="s">
        <v>3397</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3396</v>
      </c>
      <c r="K595" s="617"/>
      <c r="L595" s="612"/>
      <c r="M595" s="613"/>
      <c r="N595" s="618" t="s">
        <v>1677</v>
      </c>
      <c r="O595" s="618" t="s">
        <v>2108</v>
      </c>
      <c r="P595" s="613" t="s">
        <v>2710</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1676</v>
      </c>
      <c r="K596" s="617"/>
      <c r="L596" s="612"/>
      <c r="M596" s="613"/>
      <c r="N596" s="618" t="s">
        <v>2487</v>
      </c>
      <c r="O596" s="618" t="s">
        <v>1875</v>
      </c>
      <c r="P596" s="613" t="s">
        <v>2711</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2486</v>
      </c>
      <c r="K597" s="617"/>
      <c r="L597" s="612"/>
      <c r="M597" s="613"/>
      <c r="N597" s="618" t="s">
        <v>2489</v>
      </c>
      <c r="O597" s="618" t="s">
        <v>1397</v>
      </c>
      <c r="P597" s="613" t="s">
        <v>2712</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2488</v>
      </c>
      <c r="K598" s="617"/>
      <c r="L598" s="612"/>
      <c r="M598" s="613"/>
      <c r="N598" s="618" t="s">
        <v>3383</v>
      </c>
      <c r="O598" s="618" t="s">
        <v>421</v>
      </c>
      <c r="P598" s="613" t="s">
        <v>2713</v>
      </c>
      <c r="Q598" s="599"/>
      <c r="R598" s="500" t="s">
        <v>1607</v>
      </c>
      <c r="S598" s="500" t="s">
        <v>1609</v>
      </c>
      <c r="T598" s="500" t="s">
        <v>1608</v>
      </c>
      <c r="U598" s="599"/>
      <c r="V598" s="599"/>
      <c r="W598" s="599"/>
      <c r="X598" s="599"/>
      <c r="Y598" s="599"/>
      <c r="Z598" s="599"/>
      <c r="AA598" s="599"/>
    </row>
    <row r="599" spans="1:27" ht="12" customHeight="1">
      <c r="A599" s="599"/>
      <c r="B599" s="600"/>
      <c r="C599" s="599"/>
      <c r="D599" s="599"/>
      <c r="E599" s="599"/>
      <c r="F599" s="599"/>
      <c r="G599" s="599"/>
      <c r="H599" s="599"/>
      <c r="I599" s="599"/>
      <c r="J599" s="616" t="s">
        <v>2490</v>
      </c>
      <c r="K599" s="617"/>
      <c r="L599" s="612"/>
      <c r="M599" s="613"/>
      <c r="N599" s="618" t="s">
        <v>3385</v>
      </c>
      <c r="O599" s="618" t="s">
        <v>418</v>
      </c>
      <c r="P599" s="613" t="s">
        <v>2714</v>
      </c>
      <c r="Q599" s="599"/>
      <c r="R599" s="500" t="s">
        <v>3123</v>
      </c>
      <c r="S599" s="500" t="s">
        <v>853</v>
      </c>
      <c r="T599" s="1360" t="s">
        <v>2509</v>
      </c>
      <c r="U599" s="599"/>
      <c r="V599" s="599"/>
      <c r="W599" s="599"/>
      <c r="X599" s="599"/>
      <c r="Y599" s="599"/>
      <c r="Z599" s="599"/>
      <c r="AA599" s="599"/>
    </row>
    <row r="600" spans="1:27" ht="12" customHeight="1">
      <c r="A600" s="599"/>
      <c r="B600" s="600"/>
      <c r="C600" s="599"/>
      <c r="D600" s="599"/>
      <c r="E600" s="599"/>
      <c r="F600" s="599"/>
      <c r="G600" s="599"/>
      <c r="H600" s="599"/>
      <c r="I600" s="599"/>
      <c r="J600" s="616" t="s">
        <v>3384</v>
      </c>
      <c r="K600" s="617"/>
      <c r="L600" s="612"/>
      <c r="M600" s="613"/>
      <c r="N600" s="500" t="s">
        <v>283</v>
      </c>
      <c r="O600" s="500" t="s">
        <v>1993</v>
      </c>
      <c r="P600" s="1360" t="s">
        <v>2509</v>
      </c>
      <c r="Q600" s="599"/>
      <c r="R600" s="500" t="s">
        <v>3124</v>
      </c>
      <c r="S600" s="500" t="s">
        <v>417</v>
      </c>
      <c r="T600" s="1360" t="s">
        <v>2509</v>
      </c>
      <c r="U600" s="599"/>
      <c r="V600" s="599"/>
      <c r="W600" s="599"/>
      <c r="X600" s="599"/>
      <c r="Y600" s="599"/>
      <c r="Z600" s="599"/>
      <c r="AA600" s="599"/>
    </row>
    <row r="601" spans="1:27" ht="12" customHeight="1">
      <c r="A601" s="599"/>
      <c r="B601" s="600"/>
      <c r="C601" s="599"/>
      <c r="D601" s="599"/>
      <c r="E601" s="599"/>
      <c r="F601" s="599"/>
      <c r="G601" s="599"/>
      <c r="H601" s="599"/>
      <c r="I601" s="599"/>
      <c r="J601" s="616" t="s">
        <v>3386</v>
      </c>
      <c r="K601" s="617"/>
      <c r="L601" s="612"/>
      <c r="M601" s="613"/>
      <c r="N601" s="618" t="s">
        <v>3387</v>
      </c>
      <c r="O601" s="618" t="s">
        <v>853</v>
      </c>
      <c r="P601" s="613" t="s">
        <v>2715</v>
      </c>
      <c r="Q601" s="599"/>
      <c r="R601" s="500" t="s">
        <v>3125</v>
      </c>
      <c r="S601" s="500" t="s">
        <v>3155</v>
      </c>
      <c r="T601" s="1360" t="s">
        <v>2509</v>
      </c>
      <c r="U601" s="599"/>
      <c r="V601" s="599"/>
      <c r="W601" s="599"/>
      <c r="X601" s="599"/>
      <c r="Y601" s="599"/>
      <c r="Z601" s="599"/>
      <c r="AA601" s="599"/>
    </row>
    <row r="602" spans="1:27" ht="12" customHeight="1">
      <c r="A602" s="599"/>
      <c r="B602" s="600"/>
      <c r="C602" s="599"/>
      <c r="D602" s="599"/>
      <c r="E602" s="599"/>
      <c r="F602" s="599"/>
      <c r="G602" s="599"/>
      <c r="H602" s="599"/>
      <c r="I602" s="599"/>
      <c r="J602" s="616" t="s">
        <v>3520</v>
      </c>
      <c r="K602" s="617"/>
      <c r="L602" s="612"/>
      <c r="M602" s="613"/>
      <c r="N602" s="618" t="s">
        <v>3521</v>
      </c>
      <c r="O602" s="618" t="s">
        <v>413</v>
      </c>
      <c r="P602" s="613" t="s">
        <v>2716</v>
      </c>
      <c r="Q602" s="599"/>
      <c r="R602" s="500" t="s">
        <v>3126</v>
      </c>
      <c r="S602" s="500"/>
      <c r="T602" s="1360" t="s">
        <v>2509</v>
      </c>
      <c r="U602" s="599"/>
      <c r="V602" s="599"/>
      <c r="W602" s="599"/>
      <c r="X602" s="599"/>
      <c r="Y602" s="599"/>
      <c r="Z602" s="599"/>
      <c r="AA602" s="599"/>
    </row>
    <row r="603" spans="1:27" ht="12" customHeight="1">
      <c r="A603" s="599"/>
      <c r="B603" s="600"/>
      <c r="C603" s="599"/>
      <c r="D603" s="599"/>
      <c r="E603" s="599"/>
      <c r="F603" s="599"/>
      <c r="G603" s="599"/>
      <c r="H603" s="599"/>
      <c r="I603" s="599"/>
      <c r="J603" s="616" t="s">
        <v>3522</v>
      </c>
      <c r="K603" s="617"/>
      <c r="L603" s="612"/>
      <c r="M603" s="613"/>
      <c r="N603" s="618" t="s">
        <v>2413</v>
      </c>
      <c r="O603" s="618" t="s">
        <v>3013</v>
      </c>
      <c r="P603" s="613" t="s">
        <v>2717</v>
      </c>
      <c r="Q603" s="599"/>
      <c r="R603" s="500" t="s">
        <v>3127</v>
      </c>
      <c r="S603" s="500" t="s">
        <v>2334</v>
      </c>
      <c r="T603" s="1360" t="s">
        <v>2509</v>
      </c>
      <c r="U603" s="599"/>
      <c r="V603" s="599"/>
      <c r="W603" s="599"/>
      <c r="X603" s="599"/>
      <c r="Y603" s="599"/>
      <c r="Z603" s="599"/>
      <c r="AA603" s="599"/>
    </row>
    <row r="604" spans="1:27" ht="12" customHeight="1">
      <c r="A604" s="599"/>
      <c r="B604" s="600"/>
      <c r="C604" s="599"/>
      <c r="D604" s="599"/>
      <c r="E604" s="599"/>
      <c r="F604" s="599"/>
      <c r="G604" s="599"/>
      <c r="H604" s="599"/>
      <c r="I604" s="599"/>
      <c r="J604" s="616" t="s">
        <v>2412</v>
      </c>
      <c r="K604" s="617"/>
      <c r="L604" s="612"/>
      <c r="M604" s="613"/>
      <c r="N604" s="618" t="s">
        <v>2179</v>
      </c>
      <c r="O604" s="618" t="s">
        <v>3886</v>
      </c>
      <c r="P604" s="613" t="s">
        <v>2718</v>
      </c>
      <c r="Q604" s="599"/>
      <c r="R604" s="500" t="s">
        <v>3128</v>
      </c>
      <c r="S604" s="500" t="s">
        <v>3155</v>
      </c>
      <c r="T604" s="1360" t="s">
        <v>2509</v>
      </c>
      <c r="U604" s="599"/>
      <c r="V604" s="599"/>
      <c r="W604" s="599"/>
      <c r="X604" s="599"/>
      <c r="Y604" s="599"/>
      <c r="Z604" s="599"/>
      <c r="AA604" s="599"/>
    </row>
    <row r="605" spans="1:27" ht="12" customHeight="1">
      <c r="A605" s="599"/>
      <c r="B605" s="600"/>
      <c r="C605" s="599"/>
      <c r="D605" s="599"/>
      <c r="E605" s="599"/>
      <c r="F605" s="599"/>
      <c r="G605" s="599"/>
      <c r="H605" s="599"/>
      <c r="I605" s="599"/>
      <c r="J605" s="616" t="s">
        <v>2178</v>
      </c>
      <c r="K605" s="617"/>
      <c r="L605" s="612"/>
      <c r="M605" s="613"/>
      <c r="N605" s="618" t="s">
        <v>2278</v>
      </c>
      <c r="O605" s="618" t="s">
        <v>3886</v>
      </c>
      <c r="P605" s="613" t="s">
        <v>2719</v>
      </c>
      <c r="Q605" s="599"/>
      <c r="R605" s="500" t="s">
        <v>3129</v>
      </c>
      <c r="S605" s="500" t="s">
        <v>1399</v>
      </c>
      <c r="T605" s="1360" t="s">
        <v>2509</v>
      </c>
      <c r="U605" s="599"/>
      <c r="V605" s="599"/>
      <c r="W605" s="599"/>
      <c r="X605" s="599"/>
      <c r="Y605" s="599"/>
      <c r="Z605" s="599"/>
      <c r="AA605" s="599"/>
    </row>
    <row r="606" spans="1:27" ht="12" customHeight="1">
      <c r="A606" s="599"/>
      <c r="B606" s="600"/>
      <c r="C606" s="599"/>
      <c r="D606" s="599"/>
      <c r="E606" s="599"/>
      <c r="F606" s="599"/>
      <c r="G606" s="599"/>
      <c r="H606" s="599"/>
      <c r="I606" s="599"/>
      <c r="J606" s="616" t="s">
        <v>2277</v>
      </c>
      <c r="K606" s="617"/>
      <c r="L606" s="612"/>
      <c r="M606" s="613"/>
      <c r="N606" s="618" t="s">
        <v>3689</v>
      </c>
      <c r="O606" s="618" t="s">
        <v>2548</v>
      </c>
      <c r="P606" s="613" t="s">
        <v>2720</v>
      </c>
      <c r="Q606" s="599"/>
      <c r="R606" s="500" t="s">
        <v>3130</v>
      </c>
      <c r="S606" s="500" t="s">
        <v>2336</v>
      </c>
      <c r="T606" s="1360" t="s">
        <v>2509</v>
      </c>
      <c r="U606" s="599"/>
      <c r="V606" s="599"/>
      <c r="W606" s="599"/>
      <c r="X606" s="599"/>
      <c r="Y606" s="599"/>
      <c r="Z606" s="599"/>
      <c r="AA606" s="599"/>
    </row>
    <row r="607" spans="1:27" ht="12" customHeight="1">
      <c r="A607" s="599"/>
      <c r="B607" s="600"/>
      <c r="C607" s="599"/>
      <c r="D607" s="599"/>
      <c r="E607" s="599"/>
      <c r="F607" s="599"/>
      <c r="G607" s="599"/>
      <c r="H607" s="599"/>
      <c r="I607" s="599"/>
      <c r="J607" s="616" t="s">
        <v>3688</v>
      </c>
      <c r="K607" s="617"/>
      <c r="L607" s="612"/>
      <c r="M607" s="613"/>
      <c r="N607" s="618" t="s">
        <v>2254</v>
      </c>
      <c r="O607" s="618" t="s">
        <v>2571</v>
      </c>
      <c r="P607" s="613" t="s">
        <v>2721</v>
      </c>
      <c r="Q607" s="599"/>
      <c r="R607" s="500" t="s">
        <v>3131</v>
      </c>
      <c r="S607" s="500" t="s">
        <v>2570</v>
      </c>
      <c r="T607" s="1360" t="s">
        <v>2509</v>
      </c>
      <c r="U607" s="599"/>
      <c r="V607" s="599"/>
      <c r="W607" s="599"/>
      <c r="X607" s="599"/>
      <c r="Y607" s="599"/>
      <c r="Z607" s="599"/>
      <c r="AA607" s="599"/>
    </row>
    <row r="608" spans="1:27" ht="12" customHeight="1">
      <c r="A608" s="599"/>
      <c r="B608" s="600"/>
      <c r="C608" s="599"/>
      <c r="D608" s="599"/>
      <c r="E608" s="599"/>
      <c r="F608" s="599"/>
      <c r="G608" s="599"/>
      <c r="H608" s="599"/>
      <c r="I608" s="599"/>
      <c r="J608" s="616" t="s">
        <v>2253</v>
      </c>
      <c r="K608" s="617"/>
      <c r="L608" s="612"/>
      <c r="M608" s="613"/>
      <c r="N608" s="618" t="s">
        <v>1280</v>
      </c>
      <c r="O608" s="618" t="s">
        <v>128</v>
      </c>
      <c r="P608" s="613" t="s">
        <v>2722</v>
      </c>
      <c r="Q608" s="599"/>
      <c r="R608" s="500" t="s">
        <v>3132</v>
      </c>
      <c r="S608" s="500" t="s">
        <v>853</v>
      </c>
      <c r="T608" s="1360" t="s">
        <v>2509</v>
      </c>
      <c r="U608" s="599"/>
      <c r="V608" s="599"/>
      <c r="W608" s="599"/>
      <c r="X608" s="599"/>
      <c r="Y608" s="599"/>
      <c r="Z608" s="599"/>
      <c r="AA608" s="599"/>
    </row>
    <row r="609" spans="1:27" ht="12" customHeight="1">
      <c r="A609" s="599"/>
      <c r="B609" s="600"/>
      <c r="C609" s="599"/>
      <c r="D609" s="599"/>
      <c r="E609" s="599"/>
      <c r="F609" s="599"/>
      <c r="G609" s="599"/>
      <c r="H609" s="599"/>
      <c r="I609" s="599"/>
      <c r="J609" s="616" t="s">
        <v>2273</v>
      </c>
      <c r="K609" s="617"/>
      <c r="L609" s="612"/>
      <c r="M609" s="613"/>
      <c r="N609" s="618" t="s">
        <v>3224</v>
      </c>
      <c r="O609" s="618" t="s">
        <v>128</v>
      </c>
      <c r="P609" s="613" t="s">
        <v>2723</v>
      </c>
      <c r="Q609" s="599"/>
      <c r="R609" s="500" t="s">
        <v>3133</v>
      </c>
      <c r="S609" s="500" t="s">
        <v>2543</v>
      </c>
      <c r="T609" s="1360" t="s">
        <v>2509</v>
      </c>
      <c r="U609" s="599"/>
      <c r="V609" s="599"/>
      <c r="W609" s="599"/>
      <c r="X609" s="599"/>
      <c r="Y609" s="599"/>
      <c r="Z609" s="599"/>
      <c r="AA609" s="599"/>
    </row>
    <row r="610" spans="1:27" ht="12" customHeight="1">
      <c r="A610" s="599"/>
      <c r="B610" s="600"/>
      <c r="C610" s="599"/>
      <c r="D610" s="599"/>
      <c r="E610" s="599"/>
      <c r="F610" s="599"/>
      <c r="G610" s="599"/>
      <c r="H610" s="599"/>
      <c r="I610" s="599"/>
      <c r="J610" s="616" t="s">
        <v>3223</v>
      </c>
      <c r="K610" s="617"/>
      <c r="L610" s="612"/>
      <c r="M610" s="613"/>
      <c r="N610" s="618" t="s">
        <v>2778</v>
      </c>
      <c r="O610" s="618" t="s">
        <v>1399</v>
      </c>
      <c r="P610" s="613" t="s">
        <v>2724</v>
      </c>
      <c r="Q610" s="599"/>
      <c r="R610" s="500" t="s">
        <v>3134</v>
      </c>
      <c r="S610" s="500" t="s">
        <v>3829</v>
      </c>
      <c r="T610" s="1360" t="s">
        <v>2509</v>
      </c>
      <c r="U610" s="599"/>
      <c r="V610" s="599"/>
      <c r="W610" s="599"/>
      <c r="X610" s="599"/>
      <c r="Y610" s="599"/>
      <c r="Z610" s="599"/>
      <c r="AA610" s="599"/>
    </row>
    <row r="611" spans="1:27" ht="12" customHeight="1">
      <c r="A611" s="599"/>
      <c r="B611" s="600"/>
      <c r="C611" s="599"/>
      <c r="D611" s="599"/>
      <c r="E611" s="599"/>
      <c r="F611" s="599"/>
      <c r="G611" s="599"/>
      <c r="H611" s="599"/>
      <c r="I611" s="599"/>
      <c r="J611" s="616" t="s">
        <v>2777</v>
      </c>
      <c r="K611" s="617"/>
      <c r="L611" s="612"/>
      <c r="M611" s="613"/>
      <c r="N611" s="618" t="s">
        <v>220</v>
      </c>
      <c r="O611" s="618" t="s">
        <v>1135</v>
      </c>
      <c r="P611" s="613" t="s">
        <v>2725</v>
      </c>
      <c r="Q611" s="599"/>
      <c r="R611" s="500" t="s">
        <v>3616</v>
      </c>
      <c r="S611" s="500" t="s">
        <v>3826</v>
      </c>
      <c r="T611" s="1360" t="s">
        <v>2509</v>
      </c>
      <c r="U611" s="599"/>
      <c r="V611" s="599"/>
      <c r="W611" s="599"/>
      <c r="X611" s="599"/>
      <c r="Y611" s="599"/>
      <c r="Z611" s="599"/>
      <c r="AA611" s="599"/>
    </row>
    <row r="612" spans="1:27" ht="12" customHeight="1">
      <c r="A612" s="599"/>
      <c r="B612" s="600"/>
      <c r="C612" s="599"/>
      <c r="D612" s="599"/>
      <c r="E612" s="599"/>
      <c r="F612" s="599"/>
      <c r="G612" s="599"/>
      <c r="H612" s="599"/>
      <c r="I612" s="599"/>
      <c r="J612" s="616" t="s">
        <v>2779</v>
      </c>
      <c r="K612" s="617"/>
      <c r="L612" s="612"/>
      <c r="M612" s="613"/>
      <c r="N612" s="618" t="s">
        <v>1106</v>
      </c>
      <c r="O612" s="618" t="s">
        <v>2889</v>
      </c>
      <c r="P612" s="613" t="s">
        <v>2726</v>
      </c>
      <c r="Q612" s="599"/>
      <c r="R612" s="500" t="s">
        <v>3135</v>
      </c>
      <c r="S612" s="500" t="s">
        <v>2543</v>
      </c>
      <c r="T612" s="1360" t="s">
        <v>2509</v>
      </c>
      <c r="U612" s="599"/>
      <c r="V612" s="599"/>
      <c r="W612" s="599"/>
      <c r="X612" s="599"/>
      <c r="Y612" s="599"/>
      <c r="Z612" s="599"/>
      <c r="AA612" s="599"/>
    </row>
    <row r="613" spans="1:27" ht="12" customHeight="1">
      <c r="A613" s="599"/>
      <c r="B613" s="600"/>
      <c r="C613" s="599"/>
      <c r="D613" s="599"/>
      <c r="E613" s="599"/>
      <c r="F613" s="599"/>
      <c r="G613" s="599"/>
      <c r="H613" s="599"/>
      <c r="I613" s="599"/>
      <c r="J613" s="616" t="s">
        <v>1076</v>
      </c>
      <c r="K613" s="617"/>
      <c r="L613" s="612"/>
      <c r="M613" s="613"/>
      <c r="N613" s="618" t="s">
        <v>2080</v>
      </c>
      <c r="O613" s="618" t="s">
        <v>3158</v>
      </c>
      <c r="P613" s="613" t="s">
        <v>2727</v>
      </c>
      <c r="Q613" s="599"/>
      <c r="R613" s="500" t="s">
        <v>3136</v>
      </c>
      <c r="S613" s="500" t="s">
        <v>3158</v>
      </c>
      <c r="T613" s="1360" t="s">
        <v>2509</v>
      </c>
      <c r="U613" s="599"/>
      <c r="V613" s="599"/>
      <c r="W613" s="599"/>
      <c r="X613" s="599"/>
      <c r="Y613" s="599"/>
      <c r="Z613" s="599"/>
      <c r="AA613" s="599"/>
    </row>
    <row r="614" spans="1:27" ht="12" customHeight="1">
      <c r="A614" s="599"/>
      <c r="B614" s="600"/>
      <c r="C614" s="599"/>
      <c r="D614" s="599"/>
      <c r="E614" s="599"/>
      <c r="F614" s="599"/>
      <c r="G614" s="599"/>
      <c r="H614" s="599"/>
      <c r="I614" s="599"/>
      <c r="J614" s="616" t="s">
        <v>1107</v>
      </c>
      <c r="K614" s="617"/>
      <c r="L614" s="612"/>
      <c r="M614" s="613"/>
      <c r="N614" s="618" t="s">
        <v>2147</v>
      </c>
      <c r="O614" s="618" t="s">
        <v>1625</v>
      </c>
      <c r="P614" s="1359" t="s">
        <v>1006</v>
      </c>
      <c r="Q614" s="599"/>
      <c r="R614" s="500" t="s">
        <v>3137</v>
      </c>
      <c r="S614" s="500" t="s">
        <v>2334</v>
      </c>
      <c r="T614" s="1360" t="s">
        <v>2509</v>
      </c>
      <c r="U614" s="599"/>
      <c r="V614" s="599"/>
      <c r="W614" s="599"/>
      <c r="X614" s="599"/>
      <c r="Y614" s="599"/>
      <c r="Z614" s="599"/>
      <c r="AA614" s="599"/>
    </row>
    <row r="615" spans="1:27" ht="12" customHeight="1">
      <c r="A615" s="599"/>
      <c r="B615" s="600"/>
      <c r="C615" s="599"/>
      <c r="D615" s="599"/>
      <c r="E615" s="599"/>
      <c r="F615" s="599"/>
      <c r="G615" s="599"/>
      <c r="H615" s="599"/>
      <c r="I615" s="599"/>
      <c r="J615" s="616" t="s">
        <v>2146</v>
      </c>
      <c r="K615" s="617"/>
      <c r="L615" s="612"/>
      <c r="M615" s="613"/>
      <c r="N615" s="618" t="s">
        <v>1186</v>
      </c>
      <c r="O615" s="618" t="s">
        <v>2765</v>
      </c>
      <c r="P615" s="613" t="s">
        <v>2728</v>
      </c>
      <c r="Q615" s="599"/>
      <c r="R615" s="500" t="s">
        <v>264</v>
      </c>
      <c r="S615" s="500" t="s">
        <v>3402</v>
      </c>
      <c r="T615" s="1360" t="s">
        <v>2509</v>
      </c>
      <c r="U615" s="599"/>
      <c r="V615" s="599"/>
      <c r="W615" s="599"/>
      <c r="X615" s="599"/>
      <c r="Y615" s="599"/>
      <c r="Z615" s="599"/>
      <c r="AA615" s="599"/>
    </row>
    <row r="616" spans="1:27" ht="12" customHeight="1">
      <c r="A616" s="599"/>
      <c r="B616" s="600"/>
      <c r="C616" s="599"/>
      <c r="D616" s="599"/>
      <c r="E616" s="599"/>
      <c r="F616" s="599"/>
      <c r="G616" s="599"/>
      <c r="H616" s="599"/>
      <c r="I616" s="599"/>
      <c r="J616" s="616" t="s">
        <v>2148</v>
      </c>
      <c r="K616" s="617"/>
      <c r="L616" s="612"/>
      <c r="M616" s="613"/>
      <c r="N616" s="500" t="s">
        <v>284</v>
      </c>
      <c r="O616" s="500" t="s">
        <v>3015</v>
      </c>
      <c r="P616" s="1360" t="s">
        <v>2509</v>
      </c>
      <c r="Q616" s="599"/>
      <c r="R616" s="500" t="s">
        <v>917</v>
      </c>
      <c r="S616" s="500" t="s">
        <v>1190</v>
      </c>
      <c r="T616" s="1360" t="s">
        <v>2509</v>
      </c>
      <c r="U616" s="599"/>
      <c r="V616" s="599"/>
      <c r="W616" s="599"/>
      <c r="X616" s="599"/>
      <c r="Y616" s="599"/>
      <c r="Z616" s="599"/>
      <c r="AA616" s="599"/>
    </row>
    <row r="617" spans="1:27" ht="12" customHeight="1">
      <c r="A617" s="599"/>
      <c r="B617" s="600"/>
      <c r="C617" s="599"/>
      <c r="D617" s="599"/>
      <c r="E617" s="599"/>
      <c r="F617" s="599"/>
      <c r="G617" s="599"/>
      <c r="H617" s="599"/>
      <c r="I617" s="599"/>
      <c r="J617" s="616" t="s">
        <v>2149</v>
      </c>
      <c r="K617" s="617"/>
      <c r="L617" s="612"/>
      <c r="M617" s="613"/>
      <c r="N617" s="618" t="s">
        <v>1190</v>
      </c>
      <c r="O617" s="618" t="s">
        <v>1396</v>
      </c>
      <c r="P617" s="613" t="s">
        <v>2729</v>
      </c>
      <c r="Q617" s="599"/>
      <c r="R617" s="500" t="s">
        <v>265</v>
      </c>
      <c r="S617" s="500" t="s">
        <v>853</v>
      </c>
      <c r="T617" s="1360" t="s">
        <v>2509</v>
      </c>
      <c r="U617" s="599"/>
      <c r="V617" s="599"/>
      <c r="W617" s="599"/>
      <c r="X617" s="599"/>
      <c r="Y617" s="599"/>
      <c r="Z617" s="599"/>
      <c r="AA617" s="599"/>
    </row>
    <row r="618" spans="1:27" ht="12" customHeight="1">
      <c r="A618" s="599"/>
      <c r="B618" s="600"/>
      <c r="C618" s="599"/>
      <c r="D618" s="599"/>
      <c r="E618" s="599"/>
      <c r="F618" s="599"/>
      <c r="G618" s="599"/>
      <c r="H618" s="599"/>
      <c r="I618" s="599"/>
      <c r="J618" s="616" t="s">
        <v>1227</v>
      </c>
      <c r="K618" s="617"/>
      <c r="L618" s="612"/>
      <c r="M618" s="613"/>
      <c r="N618" s="618" t="s">
        <v>474</v>
      </c>
      <c r="O618" s="618" t="s">
        <v>2571</v>
      </c>
      <c r="P618" s="613" t="s">
        <v>2730</v>
      </c>
      <c r="Q618" s="599"/>
      <c r="R618" s="500" t="s">
        <v>266</v>
      </c>
      <c r="S618" s="500" t="s">
        <v>2222</v>
      </c>
      <c r="T618" s="1360" t="s">
        <v>2509</v>
      </c>
      <c r="U618" s="599"/>
      <c r="V618" s="599"/>
      <c r="W618" s="599"/>
      <c r="X618" s="599"/>
      <c r="Y618" s="599"/>
      <c r="Z618" s="599"/>
      <c r="AA618" s="599"/>
    </row>
    <row r="619" spans="1:27" ht="12" customHeight="1">
      <c r="A619" s="599"/>
      <c r="B619" s="600"/>
      <c r="C619" s="599"/>
      <c r="D619" s="599"/>
      <c r="E619" s="599"/>
      <c r="F619" s="599"/>
      <c r="G619" s="599"/>
      <c r="H619" s="599"/>
      <c r="I619" s="599"/>
      <c r="J619" s="616" t="s">
        <v>473</v>
      </c>
      <c r="K619" s="617"/>
      <c r="L619" s="612"/>
      <c r="M619" s="613"/>
      <c r="N619" s="500" t="s">
        <v>285</v>
      </c>
      <c r="O619" s="500" t="s">
        <v>1637</v>
      </c>
      <c r="P619" s="1360" t="s">
        <v>2509</v>
      </c>
      <c r="Q619" s="599"/>
      <c r="R619" s="500" t="s">
        <v>267</v>
      </c>
      <c r="S619" s="500" t="s">
        <v>2332</v>
      </c>
      <c r="T619" s="1360" t="s">
        <v>2509</v>
      </c>
      <c r="U619" s="599"/>
      <c r="V619" s="599"/>
      <c r="W619" s="599"/>
      <c r="X619" s="599"/>
      <c r="Y619" s="599"/>
      <c r="Z619" s="599"/>
      <c r="AA619" s="599"/>
    </row>
    <row r="620" spans="1:27" ht="12" customHeight="1">
      <c r="A620" s="599"/>
      <c r="B620" s="600"/>
      <c r="C620" s="599"/>
      <c r="D620" s="599"/>
      <c r="E620" s="599"/>
      <c r="F620" s="599"/>
      <c r="G620" s="599"/>
      <c r="H620" s="599"/>
      <c r="I620" s="599"/>
      <c r="J620" s="616" t="s">
        <v>1510</v>
      </c>
      <c r="K620" s="617"/>
      <c r="L620" s="612"/>
      <c r="M620" s="613"/>
      <c r="N620" s="618" t="s">
        <v>1511</v>
      </c>
      <c r="O620" s="618" t="s">
        <v>1389</v>
      </c>
      <c r="P620" s="613" t="s">
        <v>1511</v>
      </c>
      <c r="Q620" s="599"/>
      <c r="R620" s="500" t="s">
        <v>268</v>
      </c>
      <c r="S620" s="500" t="s">
        <v>1183</v>
      </c>
      <c r="T620" s="1360" t="s">
        <v>2509</v>
      </c>
      <c r="U620" s="599"/>
      <c r="V620" s="599"/>
      <c r="W620" s="599"/>
      <c r="X620" s="599"/>
      <c r="Y620" s="599"/>
      <c r="Z620" s="599"/>
      <c r="AA620" s="599"/>
    </row>
    <row r="621" spans="1:27" ht="12" customHeight="1">
      <c r="A621" s="599"/>
      <c r="B621" s="600"/>
      <c r="C621" s="599"/>
      <c r="D621" s="599"/>
      <c r="E621" s="599"/>
      <c r="F621" s="599"/>
      <c r="G621" s="599"/>
      <c r="H621" s="599"/>
      <c r="I621" s="599"/>
      <c r="J621" s="616" t="s">
        <v>1512</v>
      </c>
      <c r="K621" s="617"/>
      <c r="L621" s="612"/>
      <c r="M621" s="613"/>
      <c r="N621" s="618" t="s">
        <v>1513</v>
      </c>
      <c r="O621" s="618" t="s">
        <v>2885</v>
      </c>
      <c r="P621" s="613" t="s">
        <v>2731</v>
      </c>
      <c r="Q621" s="1361"/>
      <c r="R621" s="500" t="s">
        <v>269</v>
      </c>
      <c r="S621" s="500" t="s">
        <v>3482</v>
      </c>
      <c r="T621" s="1360" t="s">
        <v>2509</v>
      </c>
      <c r="U621" s="599"/>
      <c r="V621" s="599"/>
      <c r="W621" s="599"/>
      <c r="X621" s="599"/>
      <c r="Y621" s="599"/>
      <c r="Z621" s="599"/>
      <c r="AA621" s="599"/>
    </row>
    <row r="622" spans="1:27" ht="12" customHeight="1">
      <c r="A622" s="599"/>
      <c r="B622" s="600"/>
      <c r="C622" s="599"/>
      <c r="D622" s="599"/>
      <c r="E622" s="599"/>
      <c r="F622" s="599"/>
      <c r="G622" s="599"/>
      <c r="H622" s="599"/>
      <c r="I622" s="599"/>
      <c r="J622" s="616" t="s">
        <v>1514</v>
      </c>
      <c r="K622" s="617"/>
      <c r="L622" s="612"/>
      <c r="M622" s="613"/>
      <c r="N622" s="618" t="s">
        <v>1515</v>
      </c>
      <c r="O622" s="618" t="s">
        <v>2228</v>
      </c>
      <c r="P622" s="613" t="s">
        <v>2732</v>
      </c>
      <c r="Q622" s="599"/>
      <c r="R622" s="500" t="s">
        <v>270</v>
      </c>
      <c r="S622" s="500" t="s">
        <v>3155</v>
      </c>
      <c r="T622" s="1360" t="s">
        <v>2509</v>
      </c>
      <c r="U622" s="599"/>
      <c r="V622" s="599"/>
      <c r="W622" s="599"/>
      <c r="X622" s="599"/>
      <c r="Y622" s="599"/>
      <c r="Z622" s="599"/>
      <c r="AA622" s="599"/>
    </row>
    <row r="623" spans="1:27" ht="12" customHeight="1">
      <c r="A623" s="599"/>
      <c r="B623" s="600"/>
      <c r="C623" s="599"/>
      <c r="D623" s="599"/>
      <c r="E623" s="599"/>
      <c r="F623" s="599"/>
      <c r="G623" s="599"/>
      <c r="H623" s="599"/>
      <c r="I623" s="599"/>
      <c r="J623" s="616" t="s">
        <v>1516</v>
      </c>
      <c r="K623" s="617"/>
      <c r="L623" s="612"/>
      <c r="M623" s="613"/>
      <c r="N623" s="500" t="s">
        <v>286</v>
      </c>
      <c r="O623" s="500" t="s">
        <v>853</v>
      </c>
      <c r="P623" s="1360" t="s">
        <v>2509</v>
      </c>
      <c r="Q623" s="599"/>
      <c r="R623" s="500" t="s">
        <v>271</v>
      </c>
      <c r="S623" s="500" t="s">
        <v>128</v>
      </c>
      <c r="T623" s="1360" t="s">
        <v>2509</v>
      </c>
      <c r="U623" s="599"/>
      <c r="V623" s="599"/>
      <c r="W623" s="599"/>
      <c r="X623" s="599"/>
      <c r="Y623" s="599"/>
      <c r="Z623" s="599"/>
      <c r="AA623" s="599"/>
    </row>
    <row r="624" spans="1:27" ht="12" customHeight="1">
      <c r="A624" s="599"/>
      <c r="B624" s="600"/>
      <c r="C624" s="599"/>
      <c r="D624" s="599"/>
      <c r="E624" s="599"/>
      <c r="F624" s="599"/>
      <c r="G624" s="599"/>
      <c r="H624" s="599"/>
      <c r="I624" s="599"/>
      <c r="J624" s="616" t="s">
        <v>2512</v>
      </c>
      <c r="K624" s="617"/>
      <c r="L624" s="612"/>
      <c r="M624" s="613"/>
      <c r="N624" s="500" t="s">
        <v>287</v>
      </c>
      <c r="O624" s="500" t="s">
        <v>414</v>
      </c>
      <c r="P624" s="1360" t="s">
        <v>2509</v>
      </c>
      <c r="Q624" s="599"/>
      <c r="R624" s="500" t="s">
        <v>272</v>
      </c>
      <c r="S624" s="500" t="s">
        <v>1406</v>
      </c>
      <c r="T624" s="1360" t="s">
        <v>2509</v>
      </c>
      <c r="U624" s="599"/>
      <c r="V624" s="599"/>
      <c r="W624" s="599"/>
      <c r="X624" s="599"/>
      <c r="Y624" s="599"/>
      <c r="Z624" s="599"/>
      <c r="AA624" s="599"/>
    </row>
    <row r="625" spans="1:27" ht="12" customHeight="1">
      <c r="A625" s="599"/>
      <c r="B625" s="600"/>
      <c r="C625" s="599"/>
      <c r="D625" s="599"/>
      <c r="E625" s="599"/>
      <c r="F625" s="599"/>
      <c r="G625" s="599"/>
      <c r="H625" s="599"/>
      <c r="I625" s="599"/>
      <c r="J625" s="616" t="s">
        <v>2514</v>
      </c>
      <c r="K625" s="617"/>
      <c r="L625" s="612"/>
      <c r="M625" s="613"/>
      <c r="N625" s="618" t="s">
        <v>2511</v>
      </c>
      <c r="O625" s="618" t="s">
        <v>1399</v>
      </c>
      <c r="P625" s="613" t="s">
        <v>2733</v>
      </c>
      <c r="Q625" s="599"/>
      <c r="R625" s="500" t="s">
        <v>273</v>
      </c>
      <c r="S625" s="500" t="s">
        <v>3482</v>
      </c>
      <c r="T625" s="1360" t="s">
        <v>2509</v>
      </c>
      <c r="U625" s="599"/>
      <c r="V625" s="599"/>
      <c r="W625" s="599"/>
      <c r="X625" s="599"/>
      <c r="Y625" s="599"/>
      <c r="Z625" s="599"/>
      <c r="AA625" s="599"/>
    </row>
    <row r="626" spans="1:27" ht="12" customHeight="1">
      <c r="A626" s="599"/>
      <c r="B626" s="600"/>
      <c r="C626" s="599"/>
      <c r="D626" s="599"/>
      <c r="E626" s="599"/>
      <c r="F626" s="599"/>
      <c r="G626" s="599"/>
      <c r="H626" s="599"/>
      <c r="I626" s="599"/>
      <c r="J626" s="616" t="s">
        <v>2516</v>
      </c>
      <c r="K626" s="617"/>
      <c r="L626" s="612"/>
      <c r="M626" s="613"/>
      <c r="N626" s="618" t="s">
        <v>2513</v>
      </c>
      <c r="O626" s="618" t="s">
        <v>2554</v>
      </c>
      <c r="P626" s="613" t="s">
        <v>2734</v>
      </c>
      <c r="Q626" s="599"/>
      <c r="R626" s="500" t="s">
        <v>274</v>
      </c>
      <c r="S626" s="500" t="s">
        <v>1197</v>
      </c>
      <c r="T626" s="1360" t="s">
        <v>2509</v>
      </c>
      <c r="U626" s="599"/>
      <c r="V626" s="599"/>
      <c r="W626" s="599"/>
      <c r="X626" s="599"/>
      <c r="Y626" s="599"/>
      <c r="Z626" s="599"/>
      <c r="AA626" s="599"/>
    </row>
    <row r="627" spans="1:27" ht="12" customHeight="1">
      <c r="A627" s="599"/>
      <c r="B627" s="600"/>
      <c r="C627" s="599"/>
      <c r="D627" s="599"/>
      <c r="E627" s="599"/>
      <c r="F627" s="599"/>
      <c r="G627" s="599"/>
      <c r="H627" s="599"/>
      <c r="I627" s="599"/>
      <c r="J627" s="616" t="s">
        <v>2518</v>
      </c>
      <c r="K627" s="617"/>
      <c r="L627" s="612"/>
      <c r="M627" s="613"/>
      <c r="N627" s="618" t="s">
        <v>2515</v>
      </c>
      <c r="O627" s="618" t="s">
        <v>2012</v>
      </c>
      <c r="P627" s="613" t="s">
        <v>2735</v>
      </c>
      <c r="Q627" s="599"/>
      <c r="R627" s="500" t="s">
        <v>275</v>
      </c>
      <c r="S627" s="500" t="s">
        <v>2332</v>
      </c>
      <c r="T627" s="1360" t="s">
        <v>2509</v>
      </c>
      <c r="U627" s="599"/>
      <c r="V627" s="599"/>
      <c r="W627" s="599"/>
      <c r="X627" s="599"/>
      <c r="Y627" s="599"/>
      <c r="Z627" s="599"/>
      <c r="AA627" s="599"/>
    </row>
    <row r="628" spans="1:27" ht="12" customHeight="1">
      <c r="A628" s="599"/>
      <c r="B628" s="600"/>
      <c r="C628" s="599"/>
      <c r="D628" s="599"/>
      <c r="E628" s="599"/>
      <c r="F628" s="599"/>
      <c r="G628" s="599"/>
      <c r="H628" s="599"/>
      <c r="I628" s="599"/>
      <c r="J628" s="616" t="s">
        <v>2520</v>
      </c>
      <c r="K628" s="617"/>
      <c r="L628" s="612"/>
      <c r="M628" s="613"/>
      <c r="N628" s="618" t="s">
        <v>2517</v>
      </c>
      <c r="O628" s="618" t="s">
        <v>3399</v>
      </c>
      <c r="P628" s="613" t="s">
        <v>2736</v>
      </c>
      <c r="Q628" s="599"/>
      <c r="R628" s="618" t="s">
        <v>1010</v>
      </c>
      <c r="S628" s="618" t="s">
        <v>182</v>
      </c>
      <c r="T628" s="1360" t="s">
        <v>2509</v>
      </c>
      <c r="U628" s="599"/>
      <c r="V628" s="599"/>
      <c r="W628" s="599"/>
      <c r="X628" s="599"/>
      <c r="Y628" s="599"/>
      <c r="Z628" s="599"/>
      <c r="AA628" s="599"/>
    </row>
    <row r="629" spans="1:27" ht="12" customHeight="1">
      <c r="A629" s="599"/>
      <c r="B629" s="600"/>
      <c r="C629" s="599"/>
      <c r="D629" s="599"/>
      <c r="E629" s="599"/>
      <c r="F629" s="599"/>
      <c r="G629" s="599"/>
      <c r="H629" s="599"/>
      <c r="I629" s="599"/>
      <c r="J629" s="616" t="s">
        <v>1600</v>
      </c>
      <c r="K629" s="617"/>
      <c r="L629" s="612"/>
      <c r="M629" s="613"/>
      <c r="N629" s="618" t="s">
        <v>2519</v>
      </c>
      <c r="O629" s="618" t="s">
        <v>2571</v>
      </c>
      <c r="P629" s="613" t="s">
        <v>2737</v>
      </c>
      <c r="Q629" s="599"/>
      <c r="R629" s="500" t="s">
        <v>276</v>
      </c>
      <c r="S629" s="500" t="s">
        <v>3158</v>
      </c>
      <c r="T629" s="1360" t="s">
        <v>2509</v>
      </c>
      <c r="U629" s="599"/>
      <c r="V629" s="599"/>
      <c r="W629" s="599"/>
      <c r="X629" s="599"/>
      <c r="Y629" s="599"/>
      <c r="Z629" s="599"/>
      <c r="AA629" s="599"/>
    </row>
    <row r="630" spans="1:27" ht="12" customHeight="1">
      <c r="A630" s="599"/>
      <c r="B630" s="600"/>
      <c r="C630" s="599"/>
      <c r="D630" s="599"/>
      <c r="E630" s="599"/>
      <c r="F630" s="599"/>
      <c r="G630" s="599"/>
      <c r="H630" s="599"/>
      <c r="I630" s="599"/>
      <c r="J630" s="616" t="s">
        <v>2344</v>
      </c>
      <c r="K630" s="617"/>
      <c r="L630" s="612"/>
      <c r="M630" s="613"/>
      <c r="N630" s="618" t="s">
        <v>1601</v>
      </c>
      <c r="O630" s="618" t="s">
        <v>1636</v>
      </c>
      <c r="P630" s="613" t="s">
        <v>2738</v>
      </c>
      <c r="Q630" s="599"/>
      <c r="R630" s="500" t="s">
        <v>1707</v>
      </c>
      <c r="S630" s="500" t="s">
        <v>3826</v>
      </c>
      <c r="T630" s="1360" t="s">
        <v>2509</v>
      </c>
      <c r="U630" s="599"/>
      <c r="V630" s="599"/>
      <c r="W630" s="599"/>
      <c r="X630" s="599"/>
      <c r="Y630" s="599"/>
      <c r="Z630" s="599"/>
      <c r="AA630" s="599"/>
    </row>
    <row r="631" spans="1:27" ht="12" customHeight="1">
      <c r="A631" s="599"/>
      <c r="B631" s="600"/>
      <c r="C631" s="599"/>
      <c r="D631" s="599"/>
      <c r="E631" s="599"/>
      <c r="F631" s="599"/>
      <c r="G631" s="599"/>
      <c r="H631" s="599"/>
      <c r="I631" s="599"/>
      <c r="J631" s="616" t="s">
        <v>3476</v>
      </c>
      <c r="K631" s="617"/>
      <c r="L631" s="612"/>
      <c r="M631" s="613"/>
      <c r="N631" s="618" t="s">
        <v>3475</v>
      </c>
      <c r="O631" s="618" t="s">
        <v>2556</v>
      </c>
      <c r="P631" s="613" t="s">
        <v>2739</v>
      </c>
      <c r="Q631" s="599"/>
      <c r="R631" s="500" t="s">
        <v>277</v>
      </c>
      <c r="S631" s="500"/>
      <c r="T631" s="1360" t="s">
        <v>2509</v>
      </c>
      <c r="U631" s="599"/>
      <c r="V631" s="599"/>
      <c r="W631" s="599"/>
      <c r="X631" s="599"/>
      <c r="Y631" s="599"/>
      <c r="Z631" s="599"/>
      <c r="AA631" s="599"/>
    </row>
    <row r="632" spans="1:27" ht="12" customHeight="1">
      <c r="A632" s="599"/>
      <c r="B632" s="600"/>
      <c r="C632" s="599"/>
      <c r="D632" s="599"/>
      <c r="E632" s="599"/>
      <c r="F632" s="599"/>
      <c r="G632" s="599"/>
      <c r="H632" s="599"/>
      <c r="I632" s="599"/>
      <c r="J632" s="616" t="s">
        <v>3478</v>
      </c>
      <c r="K632" s="617"/>
      <c r="L632" s="612"/>
      <c r="M632" s="613"/>
      <c r="N632" s="618" t="s">
        <v>3477</v>
      </c>
      <c r="O632" s="618" t="s">
        <v>2037</v>
      </c>
      <c r="P632" s="613" t="s">
        <v>2740</v>
      </c>
      <c r="Q632" s="599"/>
      <c r="R632" s="500" t="s">
        <v>2021</v>
      </c>
      <c r="S632" s="500" t="s">
        <v>128</v>
      </c>
      <c r="T632" s="1360" t="s">
        <v>2509</v>
      </c>
      <c r="U632" s="599"/>
      <c r="V632" s="599"/>
      <c r="W632" s="599"/>
      <c r="X632" s="599"/>
      <c r="Y632" s="599"/>
      <c r="Z632" s="599"/>
      <c r="AA632" s="599"/>
    </row>
    <row r="633" spans="1:27" ht="12" customHeight="1">
      <c r="A633" s="599"/>
      <c r="B633" s="600"/>
      <c r="C633" s="599"/>
      <c r="D633" s="599"/>
      <c r="E633" s="599"/>
      <c r="F633" s="599"/>
      <c r="G633" s="599"/>
      <c r="H633" s="599"/>
      <c r="I633" s="599"/>
      <c r="J633" s="616" t="s">
        <v>3480</v>
      </c>
      <c r="K633" s="617"/>
      <c r="L633" s="612"/>
      <c r="M633" s="613"/>
      <c r="N633" s="618" t="s">
        <v>3479</v>
      </c>
      <c r="O633" s="618" t="s">
        <v>3402</v>
      </c>
      <c r="P633" s="613" t="s">
        <v>2741</v>
      </c>
      <c r="Q633" s="599"/>
      <c r="R633" s="500" t="s">
        <v>278</v>
      </c>
      <c r="S633" s="500" t="s">
        <v>2012</v>
      </c>
      <c r="T633" s="1360" t="s">
        <v>2509</v>
      </c>
      <c r="U633" s="599"/>
      <c r="V633" s="599"/>
      <c r="W633" s="599"/>
      <c r="X633" s="599"/>
      <c r="Y633" s="599"/>
      <c r="Z633" s="599"/>
      <c r="AA633" s="599"/>
    </row>
    <row r="634" spans="1:27" ht="12" customHeight="1">
      <c r="A634" s="599"/>
      <c r="B634" s="600"/>
      <c r="C634" s="599"/>
      <c r="D634" s="599"/>
      <c r="E634" s="599"/>
      <c r="F634" s="599"/>
      <c r="G634" s="599"/>
      <c r="H634" s="599"/>
      <c r="I634" s="599"/>
      <c r="J634" s="616" t="s">
        <v>1574</v>
      </c>
      <c r="K634" s="617"/>
      <c r="L634" s="612"/>
      <c r="M634" s="613"/>
      <c r="N634" s="618" t="s">
        <v>3481</v>
      </c>
      <c r="O634" s="618" t="s">
        <v>2546</v>
      </c>
      <c r="P634" s="613" t="s">
        <v>2742</v>
      </c>
      <c r="Q634" s="599"/>
      <c r="R634" s="500" t="s">
        <v>3659</v>
      </c>
      <c r="S634" s="500" t="s">
        <v>1302</v>
      </c>
      <c r="T634" s="1360" t="s">
        <v>2509</v>
      </c>
      <c r="U634" s="599"/>
      <c r="V634" s="599"/>
      <c r="W634" s="599"/>
      <c r="X634" s="599"/>
      <c r="Y634" s="599"/>
      <c r="Z634" s="599"/>
      <c r="AA634" s="599"/>
    </row>
    <row r="635" spans="1:27" ht="12" customHeight="1">
      <c r="A635" s="599"/>
      <c r="B635" s="600"/>
      <c r="C635" s="599"/>
      <c r="D635" s="599"/>
      <c r="E635" s="599"/>
      <c r="F635" s="599"/>
      <c r="G635" s="599"/>
      <c r="H635" s="599"/>
      <c r="I635" s="599"/>
      <c r="J635" s="616" t="s">
        <v>1576</v>
      </c>
      <c r="K635" s="617"/>
      <c r="L635" s="612"/>
      <c r="M635" s="613"/>
      <c r="N635" s="618" t="s">
        <v>1575</v>
      </c>
      <c r="O635" s="618" t="s">
        <v>1397</v>
      </c>
      <c r="P635" s="613" t="s">
        <v>2743</v>
      </c>
      <c r="Q635" s="599"/>
      <c r="R635" s="500" t="s">
        <v>279</v>
      </c>
      <c r="S635" s="500" t="s">
        <v>853</v>
      </c>
      <c r="T635" s="1360" t="s">
        <v>2509</v>
      </c>
      <c r="U635" s="599"/>
      <c r="V635" s="599"/>
      <c r="W635" s="599"/>
      <c r="X635" s="599"/>
      <c r="Y635" s="599"/>
      <c r="Z635" s="599"/>
      <c r="AA635" s="599"/>
    </row>
    <row r="636" spans="1:27" ht="12" customHeight="1">
      <c r="A636" s="599"/>
      <c r="B636" s="600"/>
      <c r="C636" s="599"/>
      <c r="D636" s="599"/>
      <c r="E636" s="599"/>
      <c r="F636" s="599"/>
      <c r="G636" s="599"/>
      <c r="H636" s="599"/>
      <c r="I636" s="599"/>
      <c r="J636" s="616" t="s">
        <v>1578</v>
      </c>
      <c r="K636" s="617"/>
      <c r="L636" s="612"/>
      <c r="M636" s="613"/>
      <c r="N636" s="618" t="s">
        <v>1577</v>
      </c>
      <c r="O636" s="618" t="s">
        <v>1621</v>
      </c>
      <c r="P636" s="613" t="s">
        <v>2744</v>
      </c>
      <c r="Q636" s="599"/>
      <c r="R636" s="500" t="s">
        <v>280</v>
      </c>
      <c r="S636" s="500" t="s">
        <v>853</v>
      </c>
      <c r="T636" s="1360" t="s">
        <v>2509</v>
      </c>
      <c r="U636" s="599"/>
      <c r="V636" s="599"/>
      <c r="W636" s="599"/>
      <c r="X636" s="599"/>
      <c r="Y636" s="599"/>
      <c r="Z636" s="599"/>
      <c r="AA636" s="599"/>
    </row>
    <row r="637" spans="1:27" ht="12" customHeight="1">
      <c r="A637" s="599"/>
      <c r="B637" s="600"/>
      <c r="C637" s="599"/>
      <c r="D637" s="599"/>
      <c r="E637" s="599"/>
      <c r="F637" s="599"/>
      <c r="G637" s="599"/>
      <c r="H637" s="599"/>
      <c r="I637" s="599"/>
      <c r="J637" s="616" t="s">
        <v>1580</v>
      </c>
      <c r="K637" s="617"/>
      <c r="L637" s="612"/>
      <c r="M637" s="613"/>
      <c r="N637" s="618" t="s">
        <v>1579</v>
      </c>
      <c r="O637" s="618" t="s">
        <v>186</v>
      </c>
      <c r="P637" s="613" t="s">
        <v>2745</v>
      </c>
      <c r="Q637" s="599"/>
      <c r="R637" s="500" t="s">
        <v>281</v>
      </c>
      <c r="S637" s="500" t="s">
        <v>853</v>
      </c>
      <c r="T637" s="1360" t="s">
        <v>2509</v>
      </c>
      <c r="U637" s="599"/>
      <c r="V637" s="599"/>
      <c r="W637" s="599"/>
      <c r="X637" s="599"/>
      <c r="Y637" s="599"/>
      <c r="Z637" s="599"/>
      <c r="AA637" s="599"/>
    </row>
    <row r="638" spans="1:27" ht="12" customHeight="1">
      <c r="A638" s="599"/>
      <c r="B638" s="600"/>
      <c r="C638" s="599"/>
      <c r="D638" s="599"/>
      <c r="E638" s="599"/>
      <c r="F638" s="599"/>
      <c r="G638" s="599"/>
      <c r="H638" s="599"/>
      <c r="I638" s="599"/>
      <c r="J638" s="616" t="s">
        <v>1582</v>
      </c>
      <c r="K638" s="617"/>
      <c r="L638" s="612"/>
      <c r="M638" s="613"/>
      <c r="N638" s="618" t="s">
        <v>1581</v>
      </c>
      <c r="O638" s="618" t="s">
        <v>3482</v>
      </c>
      <c r="P638" s="613" t="s">
        <v>2746</v>
      </c>
      <c r="Q638" s="599"/>
      <c r="R638" s="500" t="s">
        <v>282</v>
      </c>
      <c r="S638" s="500" t="s">
        <v>853</v>
      </c>
      <c r="T638" s="1360" t="s">
        <v>2509</v>
      </c>
      <c r="U638" s="599"/>
      <c r="V638" s="599"/>
      <c r="W638" s="599"/>
      <c r="X638" s="599"/>
      <c r="Y638" s="599"/>
      <c r="Z638" s="599"/>
      <c r="AA638" s="599"/>
    </row>
    <row r="639" spans="1:27" ht="12" customHeight="1">
      <c r="A639" s="599"/>
      <c r="B639" s="600"/>
      <c r="C639" s="599"/>
      <c r="D639" s="599"/>
      <c r="E639" s="599"/>
      <c r="F639" s="599"/>
      <c r="G639" s="599"/>
      <c r="H639" s="599"/>
      <c r="I639" s="599"/>
      <c r="J639" s="616" t="s">
        <v>954</v>
      </c>
      <c r="K639" s="617"/>
      <c r="L639" s="612"/>
      <c r="M639" s="613"/>
      <c r="N639" s="618" t="s">
        <v>955</v>
      </c>
      <c r="O639" s="618" t="s">
        <v>3155</v>
      </c>
      <c r="P639" s="613" t="s">
        <v>2747</v>
      </c>
      <c r="Q639" s="599"/>
      <c r="R639" s="500" t="s">
        <v>283</v>
      </c>
      <c r="S639" s="500" t="s">
        <v>1993</v>
      </c>
      <c r="T639" s="1360" t="s">
        <v>2509</v>
      </c>
      <c r="U639" s="599"/>
      <c r="V639" s="599"/>
      <c r="W639" s="599"/>
      <c r="X639" s="599"/>
      <c r="Y639" s="599"/>
      <c r="Z639" s="599"/>
      <c r="AA639" s="599"/>
    </row>
    <row r="640" spans="1:27" ht="12" customHeight="1">
      <c r="A640" s="599"/>
      <c r="B640" s="600"/>
      <c r="C640" s="599"/>
      <c r="D640" s="599"/>
      <c r="E640" s="599"/>
      <c r="F640" s="599"/>
      <c r="G640" s="599"/>
      <c r="H640" s="599"/>
      <c r="I640" s="599"/>
      <c r="J640" s="616" t="s">
        <v>2761</v>
      </c>
      <c r="K640" s="617"/>
      <c r="L640" s="612"/>
      <c r="M640" s="613"/>
      <c r="N640" s="618" t="s">
        <v>2762</v>
      </c>
      <c r="O640" s="618" t="s">
        <v>3161</v>
      </c>
      <c r="P640" s="613" t="s">
        <v>2748</v>
      </c>
      <c r="Q640" s="599"/>
      <c r="R640" s="500" t="s">
        <v>284</v>
      </c>
      <c r="S640" s="500" t="s">
        <v>3015</v>
      </c>
      <c r="T640" s="1360" t="s">
        <v>2509</v>
      </c>
      <c r="U640" s="599"/>
      <c r="V640" s="599"/>
      <c r="W640" s="599"/>
      <c r="X640" s="599"/>
      <c r="Y640" s="599"/>
      <c r="Z640" s="599"/>
      <c r="AA640" s="599"/>
    </row>
    <row r="641" spans="1:27" ht="12" customHeight="1">
      <c r="A641" s="599"/>
      <c r="B641" s="600"/>
      <c r="C641" s="599"/>
      <c r="D641" s="599"/>
      <c r="E641" s="599"/>
      <c r="F641" s="599"/>
      <c r="G641" s="599"/>
      <c r="H641" s="599"/>
      <c r="I641" s="599"/>
      <c r="J641" s="616" t="s">
        <v>2763</v>
      </c>
      <c r="K641" s="617"/>
      <c r="L641" s="612"/>
      <c r="M641" s="613"/>
      <c r="N641" s="618" t="s">
        <v>3000</v>
      </c>
      <c r="O641" s="618" t="s">
        <v>3830</v>
      </c>
      <c r="P641" s="613" t="s">
        <v>2749</v>
      </c>
      <c r="Q641" s="599"/>
      <c r="R641" s="500" t="s">
        <v>285</v>
      </c>
      <c r="S641" s="500" t="s">
        <v>1637</v>
      </c>
      <c r="T641" s="1360" t="s">
        <v>2509</v>
      </c>
      <c r="U641" s="599"/>
      <c r="V641" s="599"/>
      <c r="W641" s="599"/>
      <c r="X641" s="599"/>
      <c r="Y641" s="599"/>
      <c r="Z641" s="599"/>
      <c r="AA641" s="599"/>
    </row>
    <row r="642" spans="1:27" ht="12" customHeight="1">
      <c r="A642" s="599"/>
      <c r="B642" s="600"/>
      <c r="C642" s="599"/>
      <c r="D642" s="599"/>
      <c r="E642" s="599"/>
      <c r="F642" s="599"/>
      <c r="G642" s="599"/>
      <c r="H642" s="599"/>
      <c r="I642" s="599"/>
      <c r="J642" s="616" t="s">
        <v>1276</v>
      </c>
      <c r="K642" s="617"/>
      <c r="L642" s="612"/>
      <c r="M642" s="613"/>
      <c r="N642" s="500" t="s">
        <v>288</v>
      </c>
      <c r="O642" s="500" t="s">
        <v>418</v>
      </c>
      <c r="P642" s="1360" t="s">
        <v>2509</v>
      </c>
      <c r="Q642" s="599"/>
      <c r="R642" s="500" t="s">
        <v>286</v>
      </c>
      <c r="S642" s="500" t="s">
        <v>853</v>
      </c>
      <c r="T642" s="1360" t="s">
        <v>2509</v>
      </c>
      <c r="U642" s="599"/>
      <c r="V642" s="599"/>
      <c r="W642" s="599"/>
      <c r="X642" s="599"/>
      <c r="Y642" s="599"/>
      <c r="Z642" s="599"/>
      <c r="AA642" s="599"/>
    </row>
    <row r="643" spans="1:27" ht="12" customHeight="1">
      <c r="A643" s="599"/>
      <c r="B643" s="600"/>
      <c r="C643" s="599"/>
      <c r="D643" s="599"/>
      <c r="E643" s="599"/>
      <c r="F643" s="599"/>
      <c r="G643" s="599"/>
      <c r="H643" s="599"/>
      <c r="I643" s="599"/>
      <c r="J643" s="616" t="s">
        <v>258</v>
      </c>
      <c r="K643" s="617"/>
      <c r="L643" s="612"/>
      <c r="M643" s="613"/>
      <c r="N643" s="618" t="s">
        <v>1277</v>
      </c>
      <c r="O643" s="618" t="s">
        <v>3886</v>
      </c>
      <c r="P643" s="613" t="s">
        <v>2750</v>
      </c>
      <c r="Q643" s="599"/>
      <c r="R643" s="500" t="s">
        <v>287</v>
      </c>
      <c r="S643" s="500" t="s">
        <v>414</v>
      </c>
      <c r="T643" s="1360" t="s">
        <v>2509</v>
      </c>
      <c r="U643" s="599"/>
      <c r="V643" s="599"/>
      <c r="W643" s="599"/>
      <c r="X643" s="599"/>
      <c r="Y643" s="599"/>
      <c r="Z643" s="599"/>
      <c r="AA643" s="599"/>
    </row>
    <row r="644" spans="1:27" ht="12" customHeight="1">
      <c r="A644" s="599"/>
      <c r="B644" s="600"/>
      <c r="C644" s="599"/>
      <c r="D644" s="599"/>
      <c r="E644" s="599"/>
      <c r="F644" s="599"/>
      <c r="G644" s="599"/>
      <c r="H644" s="599"/>
      <c r="I644" s="599"/>
      <c r="J644" s="616" t="s">
        <v>259</v>
      </c>
      <c r="K644" s="617"/>
      <c r="L644" s="612"/>
      <c r="M644" s="613"/>
      <c r="N644" s="618" t="s">
        <v>260</v>
      </c>
      <c r="O644" s="618" t="s">
        <v>1184</v>
      </c>
      <c r="P644" s="613" t="s">
        <v>2751</v>
      </c>
      <c r="Q644" s="599"/>
      <c r="R644" s="500" t="s">
        <v>288</v>
      </c>
      <c r="S644" s="500" t="s">
        <v>418</v>
      </c>
      <c r="T644" s="1360" t="s">
        <v>2509</v>
      </c>
      <c r="U644" s="599"/>
      <c r="V644" s="599"/>
      <c r="W644" s="599"/>
      <c r="X644" s="599"/>
      <c r="Y644" s="599"/>
      <c r="Z644" s="599"/>
      <c r="AA644" s="599"/>
    </row>
    <row r="645" spans="1:27" ht="12" customHeight="1">
      <c r="A645" s="599"/>
      <c r="B645" s="600"/>
      <c r="C645" s="599"/>
      <c r="D645" s="599"/>
      <c r="E645" s="599"/>
      <c r="F645" s="599"/>
      <c r="G645" s="599"/>
      <c r="H645" s="599"/>
      <c r="I645" s="599"/>
      <c r="J645" s="616" t="s">
        <v>261</v>
      </c>
      <c r="K645" s="617"/>
      <c r="L645" s="612"/>
      <c r="M645" s="613"/>
      <c r="N645" s="618" t="s">
        <v>3640</v>
      </c>
      <c r="O645" s="618" t="s">
        <v>2539</v>
      </c>
      <c r="P645" s="613" t="s">
        <v>2752</v>
      </c>
      <c r="Q645" s="599"/>
      <c r="R645" s="500" t="s">
        <v>1014</v>
      </c>
      <c r="S645" s="500" t="s">
        <v>1385</v>
      </c>
      <c r="T645" s="1360" t="s">
        <v>2509</v>
      </c>
      <c r="U645" s="599"/>
      <c r="V645" s="599"/>
      <c r="W645" s="599"/>
      <c r="X645" s="599"/>
      <c r="Y645" s="599"/>
      <c r="Z645" s="599"/>
      <c r="AA645" s="599"/>
    </row>
    <row r="646" spans="1:27" ht="12" customHeight="1">
      <c r="A646" s="599"/>
      <c r="B646" s="600"/>
      <c r="C646" s="599"/>
      <c r="D646" s="599"/>
      <c r="E646" s="599"/>
      <c r="F646" s="599"/>
      <c r="G646" s="599"/>
      <c r="H646" s="599"/>
      <c r="I646" s="599"/>
      <c r="J646" s="616" t="s">
        <v>3639</v>
      </c>
      <c r="K646" s="617"/>
      <c r="L646" s="612"/>
      <c r="M646" s="613"/>
      <c r="N646" s="618" t="s">
        <v>3642</v>
      </c>
      <c r="O646" s="618" t="s">
        <v>2562</v>
      </c>
      <c r="P646" s="613" t="s">
        <v>2753</v>
      </c>
      <c r="Q646" s="599"/>
      <c r="R646" s="500" t="s">
        <v>289</v>
      </c>
      <c r="S646" s="500" t="s">
        <v>2570</v>
      </c>
      <c r="T646" s="1360" t="s">
        <v>2509</v>
      </c>
      <c r="U646" s="599"/>
      <c r="V646" s="599"/>
      <c r="W646" s="599"/>
      <c r="X646" s="599"/>
      <c r="Y646" s="599"/>
      <c r="Z646" s="599"/>
      <c r="AA646" s="599"/>
    </row>
    <row r="647" spans="1:27" ht="12" customHeight="1">
      <c r="A647" s="599"/>
      <c r="B647" s="600"/>
      <c r="C647" s="599"/>
      <c r="D647" s="599"/>
      <c r="E647" s="599"/>
      <c r="F647" s="599"/>
      <c r="G647" s="599"/>
      <c r="H647" s="599"/>
      <c r="I647" s="599"/>
      <c r="J647" s="616" t="s">
        <v>3641</v>
      </c>
      <c r="K647" s="617"/>
      <c r="L647" s="612"/>
      <c r="M647" s="613"/>
      <c r="N647" s="618" t="s">
        <v>2101</v>
      </c>
      <c r="O647" s="618" t="s">
        <v>2767</v>
      </c>
      <c r="P647" s="613" t="s">
        <v>2754</v>
      </c>
      <c r="Q647" s="599"/>
      <c r="R647" s="500" t="s">
        <v>290</v>
      </c>
      <c r="S647" s="500" t="s">
        <v>3482</v>
      </c>
      <c r="T647" s="1360" t="s">
        <v>2509</v>
      </c>
      <c r="U647" s="599"/>
      <c r="V647" s="599"/>
      <c r="W647" s="599"/>
      <c r="X647" s="599"/>
      <c r="Y647" s="599"/>
      <c r="Z647" s="599"/>
      <c r="AA647" s="599"/>
    </row>
    <row r="648" spans="1:27" ht="12" customHeight="1">
      <c r="A648" s="599"/>
      <c r="B648" s="600"/>
      <c r="C648" s="599"/>
      <c r="D648" s="599"/>
      <c r="E648" s="599"/>
      <c r="F648" s="599"/>
      <c r="G648" s="599"/>
      <c r="H648" s="599"/>
      <c r="I648" s="599"/>
      <c r="J648" s="616" t="s">
        <v>2100</v>
      </c>
      <c r="K648" s="617"/>
      <c r="L648" s="612"/>
      <c r="M648" s="613"/>
      <c r="N648" s="618" t="s">
        <v>3817</v>
      </c>
      <c r="O648" s="618" t="s">
        <v>2334</v>
      </c>
      <c r="P648" s="613" t="s">
        <v>2755</v>
      </c>
      <c r="Q648" s="599"/>
      <c r="R648" s="500" t="s">
        <v>291</v>
      </c>
      <c r="S648" s="500" t="s">
        <v>853</v>
      </c>
      <c r="T648" s="1360" t="s">
        <v>2509</v>
      </c>
      <c r="U648" s="599"/>
      <c r="V648" s="599"/>
      <c r="W648" s="599"/>
      <c r="X648" s="599"/>
      <c r="Y648" s="599"/>
      <c r="Z648" s="599"/>
      <c r="AA648" s="599"/>
    </row>
    <row r="649" spans="1:27" ht="12" customHeight="1">
      <c r="A649" s="599"/>
      <c r="B649" s="600"/>
      <c r="C649" s="599"/>
      <c r="D649" s="599"/>
      <c r="E649" s="599"/>
      <c r="F649" s="599"/>
      <c r="G649" s="599"/>
      <c r="H649" s="599"/>
      <c r="I649" s="599"/>
      <c r="J649" s="616" t="s">
        <v>3816</v>
      </c>
      <c r="K649" s="617"/>
      <c r="L649" s="612"/>
      <c r="M649" s="613"/>
      <c r="N649" s="618" t="s">
        <v>2533</v>
      </c>
      <c r="O649" s="618" t="s">
        <v>1302</v>
      </c>
      <c r="P649" s="613" t="s">
        <v>2756</v>
      </c>
      <c r="Q649" s="599"/>
      <c r="R649" s="500" t="s">
        <v>292</v>
      </c>
      <c r="S649" s="500" t="s">
        <v>2562</v>
      </c>
      <c r="T649" s="1360" t="s">
        <v>2509</v>
      </c>
      <c r="U649" s="599"/>
      <c r="V649" s="599"/>
      <c r="W649" s="599"/>
      <c r="X649" s="599"/>
      <c r="Y649" s="599"/>
      <c r="Z649" s="599"/>
      <c r="AA649" s="599"/>
    </row>
    <row r="650" spans="1:27" ht="12" customHeight="1">
      <c r="A650" s="599"/>
      <c r="B650" s="600"/>
      <c r="C650" s="599"/>
      <c r="D650" s="599"/>
      <c r="E650" s="599"/>
      <c r="F650" s="599"/>
      <c r="G650" s="599"/>
      <c r="H650" s="599"/>
      <c r="I650" s="599"/>
      <c r="J650" s="616" t="s">
        <v>2532</v>
      </c>
      <c r="K650" s="617"/>
      <c r="L650" s="612"/>
      <c r="M650" s="613"/>
      <c r="N650" s="618" t="s">
        <v>1852</v>
      </c>
      <c r="O650" s="618" t="s">
        <v>2564</v>
      </c>
      <c r="P650" s="613" t="s">
        <v>667</v>
      </c>
      <c r="Q650" s="599"/>
      <c r="R650" s="500" t="s">
        <v>293</v>
      </c>
      <c r="S650" s="500" t="s">
        <v>128</v>
      </c>
      <c r="T650" s="1360" t="s">
        <v>2509</v>
      </c>
      <c r="U650" s="599"/>
      <c r="V650" s="599"/>
      <c r="W650" s="599"/>
      <c r="X650" s="599"/>
      <c r="Y650" s="599"/>
      <c r="Z650" s="599"/>
      <c r="AA650" s="599"/>
    </row>
    <row r="651" spans="1:27" ht="12" customHeight="1">
      <c r="A651" s="599"/>
      <c r="B651" s="600"/>
      <c r="C651" s="599"/>
      <c r="D651" s="599"/>
      <c r="E651" s="599"/>
      <c r="F651" s="599"/>
      <c r="G651" s="599"/>
      <c r="H651" s="599"/>
      <c r="I651" s="599"/>
      <c r="J651" s="616" t="s">
        <v>1850</v>
      </c>
      <c r="K651" s="617"/>
      <c r="L651" s="612"/>
      <c r="M651" s="613"/>
      <c r="N651" s="618" t="s">
        <v>1014</v>
      </c>
      <c r="O651" s="618" t="s">
        <v>1385</v>
      </c>
      <c r="P651" s="1359" t="s">
        <v>1006</v>
      </c>
      <c r="Q651" s="599"/>
      <c r="R651" s="500" t="s">
        <v>294</v>
      </c>
      <c r="S651" s="500" t="s">
        <v>2222</v>
      </c>
      <c r="T651" s="1360" t="s">
        <v>2509</v>
      </c>
      <c r="U651" s="599"/>
      <c r="V651" s="599"/>
      <c r="W651" s="599"/>
      <c r="X651" s="599"/>
      <c r="Y651" s="599"/>
      <c r="Z651" s="599"/>
      <c r="AA651" s="599"/>
    </row>
    <row r="652" spans="1:27" ht="12" customHeight="1">
      <c r="A652" s="599"/>
      <c r="B652" s="600"/>
      <c r="C652" s="599"/>
      <c r="D652" s="599"/>
      <c r="E652" s="599"/>
      <c r="F652" s="599"/>
      <c r="G652" s="599"/>
      <c r="H652" s="599"/>
      <c r="I652" s="599"/>
      <c r="J652" s="616" t="s">
        <v>1851</v>
      </c>
      <c r="K652" s="617"/>
      <c r="L652" s="612"/>
      <c r="M652" s="613"/>
      <c r="N652" s="500" t="s">
        <v>1014</v>
      </c>
      <c r="O652" s="500" t="s">
        <v>1385</v>
      </c>
      <c r="P652" s="1360" t="s">
        <v>2509</v>
      </c>
      <c r="Q652" s="599"/>
      <c r="R652" s="500" t="s">
        <v>295</v>
      </c>
      <c r="S652" s="500" t="s">
        <v>2332</v>
      </c>
      <c r="T652" s="1360" t="s">
        <v>2509</v>
      </c>
      <c r="U652" s="599"/>
      <c r="V652" s="599"/>
      <c r="W652" s="599"/>
      <c r="X652" s="599"/>
      <c r="Y652" s="599"/>
      <c r="Z652" s="599"/>
      <c r="AA652" s="599"/>
    </row>
    <row r="653" spans="1:27" ht="12" customHeight="1">
      <c r="A653" s="599"/>
      <c r="B653" s="600"/>
      <c r="C653" s="599"/>
      <c r="D653" s="599"/>
      <c r="E653" s="599"/>
      <c r="F653" s="599"/>
      <c r="G653" s="599"/>
      <c r="H653" s="599"/>
      <c r="I653" s="599"/>
      <c r="J653" s="616" t="s">
        <v>1853</v>
      </c>
      <c r="K653" s="617"/>
      <c r="L653" s="612"/>
      <c r="M653" s="613"/>
      <c r="N653" s="618" t="s">
        <v>1855</v>
      </c>
      <c r="O653" s="618" t="s">
        <v>1130</v>
      </c>
      <c r="P653" s="613" t="s">
        <v>668</v>
      </c>
      <c r="Q653" s="599"/>
      <c r="R653" s="500" t="s">
        <v>296</v>
      </c>
      <c r="S653" s="500" t="s">
        <v>853</v>
      </c>
      <c r="T653" s="1360" t="s">
        <v>2509</v>
      </c>
      <c r="U653" s="599"/>
      <c r="V653" s="599"/>
      <c r="W653" s="599"/>
      <c r="X653" s="599"/>
      <c r="Y653" s="599"/>
      <c r="Z653" s="599"/>
      <c r="AA653" s="599"/>
    </row>
    <row r="654" spans="1:27" ht="12" customHeight="1">
      <c r="A654" s="599"/>
      <c r="B654" s="600"/>
      <c r="C654" s="599"/>
      <c r="D654" s="599"/>
      <c r="E654" s="599"/>
      <c r="F654" s="599"/>
      <c r="G654" s="599"/>
      <c r="H654" s="599"/>
      <c r="I654" s="599"/>
      <c r="J654" s="616" t="s">
        <v>1854</v>
      </c>
      <c r="K654" s="617"/>
      <c r="L654" s="612"/>
      <c r="M654" s="613"/>
      <c r="N654" s="618" t="s">
        <v>1858</v>
      </c>
      <c r="O654" s="618" t="s">
        <v>1875</v>
      </c>
      <c r="P654" s="613" t="s">
        <v>1858</v>
      </c>
      <c r="Q654" s="599"/>
      <c r="R654" s="500" t="s">
        <v>297</v>
      </c>
      <c r="S654" s="500" t="s">
        <v>1993</v>
      </c>
      <c r="T654" s="1360" t="s">
        <v>2509</v>
      </c>
      <c r="U654" s="599"/>
      <c r="V654" s="599"/>
      <c r="W654" s="599"/>
      <c r="X654" s="599"/>
      <c r="Y654" s="599"/>
      <c r="Z654" s="599"/>
      <c r="AA654" s="599"/>
    </row>
    <row r="655" spans="1:27" ht="12" customHeight="1">
      <c r="A655" s="599"/>
      <c r="B655" s="600"/>
      <c r="C655" s="599"/>
      <c r="D655" s="599"/>
      <c r="E655" s="599"/>
      <c r="F655" s="599"/>
      <c r="G655" s="599"/>
      <c r="H655" s="599"/>
      <c r="I655" s="599"/>
      <c r="J655" s="616" t="s">
        <v>1856</v>
      </c>
      <c r="K655" s="617"/>
      <c r="L655" s="612"/>
      <c r="M655" s="613"/>
      <c r="N655" s="500" t="s">
        <v>290</v>
      </c>
      <c r="O655" s="500" t="s">
        <v>3482</v>
      </c>
      <c r="P655" s="1360" t="s">
        <v>2509</v>
      </c>
      <c r="Q655" s="599"/>
      <c r="R655" s="500" t="s">
        <v>298</v>
      </c>
      <c r="S655" s="500" t="s">
        <v>3158</v>
      </c>
      <c r="T655" s="1360" t="s">
        <v>2509</v>
      </c>
      <c r="U655" s="599"/>
      <c r="V655" s="599"/>
      <c r="W655" s="599"/>
      <c r="X655" s="599"/>
      <c r="Y655" s="599"/>
      <c r="Z655" s="599"/>
      <c r="AA655" s="599"/>
    </row>
    <row r="656" spans="1:27" ht="12" customHeight="1">
      <c r="A656" s="599"/>
      <c r="B656" s="600"/>
      <c r="C656" s="599"/>
      <c r="D656" s="599"/>
      <c r="E656" s="599"/>
      <c r="F656" s="599"/>
      <c r="G656" s="599"/>
      <c r="H656" s="599"/>
      <c r="I656" s="599"/>
      <c r="J656" s="616" t="s">
        <v>1857</v>
      </c>
      <c r="K656" s="617"/>
      <c r="L656" s="612"/>
      <c r="M656" s="613"/>
      <c r="N656" s="618" t="s">
        <v>2910</v>
      </c>
      <c r="O656" s="618" t="s">
        <v>1621</v>
      </c>
      <c r="P656" s="613" t="s">
        <v>669</v>
      </c>
      <c r="Q656" s="599"/>
      <c r="R656" s="500" t="s">
        <v>299</v>
      </c>
      <c r="S656" s="500" t="s">
        <v>128</v>
      </c>
      <c r="T656" s="1360" t="s">
        <v>2509</v>
      </c>
      <c r="U656" s="599"/>
      <c r="V656" s="599"/>
      <c r="W656" s="599"/>
      <c r="X656" s="599"/>
      <c r="Y656" s="599"/>
      <c r="Z656" s="599"/>
      <c r="AA656" s="599"/>
    </row>
    <row r="657" spans="1:27" ht="12" customHeight="1">
      <c r="A657" s="599"/>
      <c r="B657" s="600"/>
      <c r="C657" s="599"/>
      <c r="D657" s="599"/>
      <c r="E657" s="599"/>
      <c r="F657" s="599"/>
      <c r="G657" s="599"/>
      <c r="H657" s="599"/>
      <c r="I657" s="599"/>
      <c r="J657" s="616" t="s">
        <v>1859</v>
      </c>
      <c r="K657" s="617"/>
      <c r="L657" s="612"/>
      <c r="M657" s="613"/>
      <c r="N657" s="618" t="s">
        <v>996</v>
      </c>
      <c r="O657" s="618" t="s">
        <v>1302</v>
      </c>
      <c r="P657" s="613" t="s">
        <v>670</v>
      </c>
      <c r="Q657" s="599"/>
      <c r="R657" s="500" t="s">
        <v>300</v>
      </c>
      <c r="S657" s="500" t="s">
        <v>128</v>
      </c>
      <c r="T657" s="1360" t="s">
        <v>2509</v>
      </c>
      <c r="U657" s="599"/>
      <c r="V657" s="599"/>
      <c r="W657" s="599"/>
      <c r="X657" s="599"/>
      <c r="Y657" s="599"/>
      <c r="Z657" s="599"/>
      <c r="AA657" s="599"/>
    </row>
    <row r="658" spans="1:27" ht="12" customHeight="1">
      <c r="A658" s="599"/>
      <c r="B658" s="600"/>
      <c r="C658" s="599"/>
      <c r="D658" s="599"/>
      <c r="E658" s="599"/>
      <c r="F658" s="599"/>
      <c r="G658" s="599"/>
      <c r="H658" s="599"/>
      <c r="I658" s="599"/>
      <c r="J658" s="616" t="s">
        <v>2911</v>
      </c>
      <c r="K658" s="617"/>
      <c r="L658" s="612"/>
      <c r="M658" s="613"/>
      <c r="N658" s="618" t="s">
        <v>3327</v>
      </c>
      <c r="O658" s="618" t="s">
        <v>2220</v>
      </c>
      <c r="P658" s="613" t="s">
        <v>671</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136</v>
      </c>
      <c r="K659" s="617"/>
      <c r="L659" s="612"/>
      <c r="M659" s="613"/>
      <c r="N659" s="618" t="s">
        <v>137</v>
      </c>
      <c r="O659" s="618" t="s">
        <v>1401</v>
      </c>
      <c r="P659" s="613" t="s">
        <v>672</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1032</v>
      </c>
      <c r="K660" s="617"/>
      <c r="L660" s="612"/>
      <c r="M660" s="613"/>
      <c r="N660" s="618" t="s">
        <v>1034</v>
      </c>
      <c r="O660" s="618" t="s">
        <v>1990</v>
      </c>
      <c r="P660" s="613" t="s">
        <v>673</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1033</v>
      </c>
      <c r="K661" s="617"/>
      <c r="L661" s="612"/>
      <c r="M661" s="613"/>
      <c r="N661" s="618" t="s">
        <v>1398</v>
      </c>
      <c r="O661" s="618" t="s">
        <v>128</v>
      </c>
      <c r="P661" s="613" t="s">
        <v>674</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1035</v>
      </c>
      <c r="K662" s="617"/>
      <c r="L662" s="612"/>
      <c r="M662" s="613"/>
      <c r="N662" s="618" t="s">
        <v>3824</v>
      </c>
      <c r="O662" s="618" t="s">
        <v>180</v>
      </c>
      <c r="P662" s="613" t="s">
        <v>675</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2864</v>
      </c>
      <c r="K663" s="617"/>
      <c r="L663" s="612"/>
      <c r="M663" s="613"/>
      <c r="N663" s="500" t="s">
        <v>291</v>
      </c>
      <c r="O663" s="500" t="s">
        <v>853</v>
      </c>
      <c r="P663" s="1360" t="s">
        <v>2509</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3823</v>
      </c>
      <c r="K664" s="617"/>
      <c r="L664" s="612"/>
      <c r="M664" s="613"/>
      <c r="N664" s="618" t="s">
        <v>2539</v>
      </c>
      <c r="O664" s="618" t="s">
        <v>1623</v>
      </c>
      <c r="P664" s="613" t="s">
        <v>676</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2327</v>
      </c>
      <c r="K665" s="617"/>
      <c r="L665" s="612"/>
      <c r="M665" s="613"/>
      <c r="N665" s="618" t="s">
        <v>1709</v>
      </c>
      <c r="O665" s="618" t="s">
        <v>1708</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3003</v>
      </c>
      <c r="K666" s="617"/>
      <c r="L666" s="612"/>
      <c r="M666" s="613"/>
      <c r="N666" s="618" t="s">
        <v>3421</v>
      </c>
      <c r="O666" s="618" t="s">
        <v>3829</v>
      </c>
      <c r="P666" s="613" t="s">
        <v>677</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93</v>
      </c>
      <c r="K667" s="617"/>
      <c r="L667" s="612"/>
      <c r="M667" s="613"/>
      <c r="N667" s="618" t="s">
        <v>3423</v>
      </c>
      <c r="O667" s="618" t="s">
        <v>423</v>
      </c>
      <c r="P667" s="613" t="s">
        <v>678</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3420</v>
      </c>
      <c r="K668" s="617"/>
      <c r="L668" s="612"/>
      <c r="M668" s="613"/>
      <c r="N668" s="500" t="s">
        <v>292</v>
      </c>
      <c r="O668" s="500" t="s">
        <v>2562</v>
      </c>
      <c r="P668" s="1360" t="s">
        <v>2509</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3422</v>
      </c>
      <c r="K669" s="617"/>
      <c r="L669" s="612"/>
      <c r="M669" s="613"/>
      <c r="N669" s="618" t="s">
        <v>1378</v>
      </c>
      <c r="O669" s="618" t="s">
        <v>2552</v>
      </c>
      <c r="P669" s="613" t="s">
        <v>679</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3424</v>
      </c>
      <c r="K670" s="617"/>
      <c r="L670" s="612"/>
      <c r="M670" s="613"/>
      <c r="N670" s="618" t="s">
        <v>1380</v>
      </c>
      <c r="O670" s="618" t="s">
        <v>3829</v>
      </c>
      <c r="P670" s="613" t="s">
        <v>680</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1377</v>
      </c>
      <c r="K671" s="617"/>
      <c r="L671" s="612"/>
      <c r="M671" s="613"/>
      <c r="N671" s="618" t="s">
        <v>2318</v>
      </c>
      <c r="O671" s="618" t="s">
        <v>1194</v>
      </c>
      <c r="P671" s="613" t="s">
        <v>681</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1379</v>
      </c>
      <c r="K672" s="617"/>
      <c r="L672" s="612"/>
      <c r="M672" s="613"/>
      <c r="N672" s="618" t="s">
        <v>2769</v>
      </c>
      <c r="O672" s="618" t="s">
        <v>413</v>
      </c>
      <c r="P672" s="613" t="s">
        <v>682</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2317</v>
      </c>
      <c r="K673" s="617"/>
      <c r="L673" s="612"/>
      <c r="M673" s="613"/>
      <c r="N673" s="618" t="s">
        <v>1353</v>
      </c>
      <c r="O673" s="618" t="s">
        <v>2575</v>
      </c>
      <c r="P673" s="613" t="s">
        <v>683</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2768</v>
      </c>
      <c r="K674" s="617"/>
      <c r="L674" s="612"/>
      <c r="M674" s="613"/>
      <c r="N674" s="500" t="s">
        <v>293</v>
      </c>
      <c r="O674" s="500" t="s">
        <v>128</v>
      </c>
      <c r="P674" s="1360" t="s">
        <v>2509</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1352</v>
      </c>
      <c r="K675" s="617"/>
      <c r="L675" s="612"/>
      <c r="M675" s="613"/>
      <c r="N675" s="618" t="s">
        <v>2194</v>
      </c>
      <c r="O675" s="618" t="s">
        <v>1192</v>
      </c>
      <c r="P675" s="613" t="s">
        <v>684</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2192</v>
      </c>
      <c r="K676" s="617"/>
      <c r="L676" s="612"/>
      <c r="M676" s="613"/>
      <c r="N676" s="618" t="s">
        <v>2196</v>
      </c>
      <c r="O676" s="618" t="s">
        <v>3401</v>
      </c>
      <c r="P676" s="613" t="s">
        <v>685</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2193</v>
      </c>
      <c r="K677" s="617"/>
      <c r="L677" s="612"/>
      <c r="M677" s="613"/>
      <c r="N677" s="618" t="s">
        <v>2198</v>
      </c>
      <c r="O677" s="618" t="s">
        <v>3158</v>
      </c>
      <c r="P677" s="613" t="s">
        <v>686</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2195</v>
      </c>
      <c r="K678" s="617"/>
      <c r="L678" s="612"/>
      <c r="M678" s="613"/>
      <c r="N678" s="618" t="s">
        <v>2200</v>
      </c>
      <c r="O678" s="618" t="s">
        <v>1636</v>
      </c>
      <c r="P678" s="613" t="s">
        <v>687</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2197</v>
      </c>
      <c r="K679" s="617"/>
      <c r="L679" s="612"/>
      <c r="M679" s="613"/>
      <c r="N679" s="618" t="s">
        <v>662</v>
      </c>
      <c r="O679" s="618" t="s">
        <v>2335</v>
      </c>
      <c r="P679" s="613" t="s">
        <v>688</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2199</v>
      </c>
      <c r="K680" s="617"/>
      <c r="L680" s="612"/>
      <c r="M680" s="613"/>
      <c r="N680" s="618" t="s">
        <v>3834</v>
      </c>
      <c r="O680" s="618" t="s">
        <v>2224</v>
      </c>
      <c r="P680" s="613" t="s">
        <v>689</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661</v>
      </c>
      <c r="K681" s="617"/>
      <c r="L681" s="612"/>
      <c r="M681" s="613"/>
      <c r="N681" s="618" t="s">
        <v>3836</v>
      </c>
      <c r="O681" s="618" t="s">
        <v>3827</v>
      </c>
      <c r="P681" s="613" t="s">
        <v>690</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3833</v>
      </c>
      <c r="K682" s="617"/>
      <c r="L682" s="612"/>
      <c r="M682" s="613"/>
      <c r="N682" s="618" t="s">
        <v>1251</v>
      </c>
      <c r="O682" s="618" t="s">
        <v>410</v>
      </c>
      <c r="P682" s="613" t="s">
        <v>691</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3835</v>
      </c>
      <c r="K683" s="617"/>
      <c r="L683" s="612"/>
      <c r="M683" s="613"/>
      <c r="N683" s="618" t="s">
        <v>3813</v>
      </c>
      <c r="O683" s="618" t="s">
        <v>186</v>
      </c>
      <c r="P683" s="613" t="s">
        <v>692</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1250</v>
      </c>
      <c r="K684" s="617"/>
      <c r="L684" s="612"/>
      <c r="M684" s="613"/>
      <c r="N684" s="618" t="s">
        <v>997</v>
      </c>
      <c r="O684" s="618" t="s">
        <v>1406</v>
      </c>
      <c r="P684" s="613" t="s">
        <v>693</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3812</v>
      </c>
      <c r="K685" s="617"/>
      <c r="L685" s="612"/>
      <c r="M685" s="613"/>
      <c r="N685" s="500" t="s">
        <v>289</v>
      </c>
      <c r="O685" s="500" t="s">
        <v>2570</v>
      </c>
      <c r="P685" s="1360" t="s">
        <v>2509</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3814</v>
      </c>
      <c r="K686" s="617"/>
      <c r="L686" s="612"/>
      <c r="M686" s="613"/>
      <c r="N686" s="618" t="s">
        <v>3495</v>
      </c>
      <c r="O686" s="618" t="s">
        <v>426</v>
      </c>
      <c r="P686" s="613" t="s">
        <v>694</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3493</v>
      </c>
      <c r="K687" s="617"/>
      <c r="L687" s="612"/>
      <c r="M687" s="613"/>
      <c r="N687" s="618" t="s">
        <v>2468</v>
      </c>
      <c r="O687" s="618" t="s">
        <v>1399</v>
      </c>
      <c r="P687" s="613" t="s">
        <v>695</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3494</v>
      </c>
      <c r="K688" s="617"/>
      <c r="L688" s="612"/>
      <c r="M688" s="613"/>
      <c r="N688" s="618" t="s">
        <v>1862</v>
      </c>
      <c r="O688" s="618" t="s">
        <v>1385</v>
      </c>
      <c r="P688" s="613" t="s">
        <v>696</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2466</v>
      </c>
      <c r="K689" s="617"/>
      <c r="L689" s="612"/>
      <c r="M689" s="613"/>
      <c r="N689" s="618" t="s">
        <v>951</v>
      </c>
      <c r="O689" s="618" t="s">
        <v>3614</v>
      </c>
      <c r="P689" s="613" t="s">
        <v>697</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2467</v>
      </c>
      <c r="K690" s="617"/>
      <c r="L690" s="612"/>
      <c r="M690" s="613"/>
      <c r="N690" s="618" t="s">
        <v>953</v>
      </c>
      <c r="O690" s="618" t="s">
        <v>417</v>
      </c>
      <c r="P690" s="613" t="s">
        <v>2445</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1861</v>
      </c>
      <c r="K691" s="617"/>
      <c r="L691" s="612"/>
      <c r="M691" s="613"/>
      <c r="N691" s="618" t="s">
        <v>3176</v>
      </c>
      <c r="O691" s="618" t="s">
        <v>853</v>
      </c>
      <c r="P691" s="613" t="s">
        <v>2446</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1863</v>
      </c>
      <c r="K692" s="617"/>
      <c r="L692" s="612"/>
      <c r="M692" s="613"/>
      <c r="N692" s="618" t="s">
        <v>2210</v>
      </c>
      <c r="O692" s="618" t="s">
        <v>1636</v>
      </c>
      <c r="P692" s="613" t="s">
        <v>2447</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950</v>
      </c>
      <c r="K693" s="617"/>
      <c r="L693" s="612"/>
      <c r="M693" s="613"/>
      <c r="N693" s="618" t="s">
        <v>2213</v>
      </c>
      <c r="O693" s="618" t="s">
        <v>3614</v>
      </c>
      <c r="P693" s="613" t="s">
        <v>2448</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952</v>
      </c>
      <c r="K694" s="617"/>
      <c r="L694" s="612"/>
      <c r="M694" s="613"/>
      <c r="N694" s="618" t="s">
        <v>2215</v>
      </c>
      <c r="O694" s="618" t="s">
        <v>131</v>
      </c>
      <c r="P694" s="613" t="s">
        <v>2449</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2999</v>
      </c>
      <c r="K695" s="617"/>
      <c r="L695" s="612"/>
      <c r="M695" s="613"/>
      <c r="N695" s="618" t="s">
        <v>874</v>
      </c>
      <c r="O695" s="618" t="s">
        <v>2889</v>
      </c>
      <c r="P695" s="613" t="s">
        <v>2450</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3175</v>
      </c>
      <c r="K696" s="617"/>
      <c r="L696" s="612"/>
      <c r="M696" s="613"/>
      <c r="N696" s="618" t="s">
        <v>998</v>
      </c>
      <c r="O696" s="618" t="s">
        <v>2543</v>
      </c>
      <c r="P696" s="613" t="s">
        <v>2451</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3177</v>
      </c>
      <c r="K697" s="617"/>
      <c r="L697" s="612"/>
      <c r="M697" s="613"/>
      <c r="N697" s="500" t="s">
        <v>294</v>
      </c>
      <c r="O697" s="500" t="s">
        <v>2222</v>
      </c>
      <c r="P697" s="1360" t="s">
        <v>2509</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3178</v>
      </c>
      <c r="K698" s="617"/>
      <c r="L698" s="612"/>
      <c r="M698" s="613"/>
      <c r="N698" s="500" t="s">
        <v>295</v>
      </c>
      <c r="O698" s="500" t="s">
        <v>2332</v>
      </c>
      <c r="P698" s="1360" t="s">
        <v>2509</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2211</v>
      </c>
      <c r="K699" s="617"/>
      <c r="L699" s="612"/>
      <c r="M699" s="613"/>
      <c r="N699" s="618" t="s">
        <v>3410</v>
      </c>
      <c r="O699" s="618" t="s">
        <v>1306</v>
      </c>
      <c r="P699" s="613" t="s">
        <v>2452</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2212</v>
      </c>
      <c r="K700" s="617"/>
      <c r="L700" s="612"/>
      <c r="M700" s="613"/>
      <c r="N700" s="618" t="s">
        <v>3054</v>
      </c>
      <c r="O700" s="618" t="s">
        <v>1636</v>
      </c>
      <c r="P700" s="613" t="s">
        <v>2453</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2214</v>
      </c>
      <c r="K701" s="617"/>
      <c r="L701" s="612"/>
      <c r="M701" s="613"/>
      <c r="N701" s="618" t="s">
        <v>1492</v>
      </c>
      <c r="O701" s="618" t="s">
        <v>3614</v>
      </c>
      <c r="P701" s="613" t="s">
        <v>2454</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873</v>
      </c>
      <c r="K702" s="617"/>
      <c r="L702" s="612"/>
      <c r="M702" s="613"/>
      <c r="N702" s="618" t="s">
        <v>3629</v>
      </c>
      <c r="O702" s="618" t="s">
        <v>2228</v>
      </c>
      <c r="P702" s="613" t="s">
        <v>2455</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875</v>
      </c>
      <c r="K703" s="617"/>
      <c r="L703" s="612"/>
      <c r="M703" s="613"/>
      <c r="N703" s="618" t="s">
        <v>3631</v>
      </c>
      <c r="O703" s="618" t="s">
        <v>2539</v>
      </c>
      <c r="P703" s="613" t="s">
        <v>2456</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876</v>
      </c>
      <c r="K704" s="617"/>
      <c r="L704" s="612"/>
      <c r="M704" s="613"/>
      <c r="N704" s="618" t="s">
        <v>3633</v>
      </c>
      <c r="O704" s="618" t="s">
        <v>2889</v>
      </c>
      <c r="P704" s="613" t="s">
        <v>2457</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3053</v>
      </c>
      <c r="K705" s="617"/>
      <c r="L705" s="612"/>
      <c r="M705" s="613"/>
      <c r="N705" s="618" t="s">
        <v>1203</v>
      </c>
      <c r="O705" s="618" t="s">
        <v>2550</v>
      </c>
      <c r="P705" s="613" t="s">
        <v>2458</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1583</v>
      </c>
      <c r="K706" s="617"/>
      <c r="L706" s="612"/>
      <c r="M706" s="613"/>
      <c r="N706" s="618" t="s">
        <v>1205</v>
      </c>
      <c r="O706" s="618" t="s">
        <v>1180</v>
      </c>
      <c r="P706" s="613" t="s">
        <v>2459</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1493</v>
      </c>
      <c r="K707" s="617"/>
      <c r="L707" s="612"/>
      <c r="M707" s="613"/>
      <c r="N707" s="618" t="s">
        <v>2406</v>
      </c>
      <c r="O707" s="618" t="s">
        <v>412</v>
      </c>
      <c r="P707" s="613" t="s">
        <v>2460</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3630</v>
      </c>
      <c r="K708" s="617"/>
      <c r="L708" s="612"/>
      <c r="M708" s="613"/>
      <c r="N708" s="618" t="s">
        <v>2294</v>
      </c>
      <c r="O708" s="618" t="s">
        <v>1637</v>
      </c>
      <c r="P708" s="613" t="s">
        <v>2461</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3632</v>
      </c>
      <c r="K709" s="617"/>
      <c r="L709" s="612"/>
      <c r="M709" s="613"/>
      <c r="N709" s="618" t="s">
        <v>2296</v>
      </c>
      <c r="O709" s="618" t="s">
        <v>421</v>
      </c>
      <c r="P709" s="613" t="s">
        <v>2462</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242</v>
      </c>
      <c r="K710" s="617"/>
      <c r="L710" s="612"/>
      <c r="M710" s="613"/>
      <c r="N710" s="618" t="s">
        <v>2298</v>
      </c>
      <c r="O710" s="618" t="s">
        <v>2021</v>
      </c>
      <c r="P710" s="613" t="s">
        <v>491</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1204</v>
      </c>
      <c r="K711" s="617"/>
      <c r="L711" s="612"/>
      <c r="M711" s="613"/>
      <c r="N711" s="618" t="s">
        <v>594</v>
      </c>
      <c r="O711" s="618" t="s">
        <v>1386</v>
      </c>
      <c r="P711" s="613" t="s">
        <v>492</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2405</v>
      </c>
      <c r="K712" s="617"/>
      <c r="L712" s="612"/>
      <c r="M712" s="613"/>
      <c r="N712" s="618" t="s">
        <v>2464</v>
      </c>
      <c r="O712" s="618" t="s">
        <v>2767</v>
      </c>
      <c r="P712" s="613" t="s">
        <v>493</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2293</v>
      </c>
      <c r="K713" s="617"/>
      <c r="L713" s="612"/>
      <c r="M713" s="613"/>
      <c r="N713" s="618" t="s">
        <v>2492</v>
      </c>
      <c r="O713" s="618" t="s">
        <v>1621</v>
      </c>
      <c r="P713" s="613" t="s">
        <v>1068</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2295</v>
      </c>
      <c r="K714" s="617"/>
      <c r="L714" s="612"/>
      <c r="M714" s="613"/>
      <c r="N714" s="618" t="s">
        <v>1015</v>
      </c>
      <c r="O714" s="618" t="s">
        <v>2332</v>
      </c>
      <c r="P714" s="1359" t="s">
        <v>1006</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2297</v>
      </c>
      <c r="K715" s="617"/>
      <c r="L715" s="612"/>
      <c r="M715" s="613"/>
      <c r="N715" s="618" t="s">
        <v>2493</v>
      </c>
      <c r="O715" s="618" t="s">
        <v>2332</v>
      </c>
      <c r="P715" s="613" t="s">
        <v>494</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651</v>
      </c>
      <c r="K716" s="617"/>
      <c r="L716" s="612"/>
      <c r="M716" s="613"/>
      <c r="N716" s="618" t="s">
        <v>2494</v>
      </c>
      <c r="O716" s="618" t="s">
        <v>1991</v>
      </c>
      <c r="P716" s="613" t="s">
        <v>495</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593</v>
      </c>
      <c r="K717" s="617"/>
      <c r="L717" s="612"/>
      <c r="M717" s="613"/>
      <c r="N717" s="618" t="s">
        <v>3080</v>
      </c>
      <c r="O717" s="618" t="s">
        <v>2186</v>
      </c>
      <c r="P717" s="613" t="s">
        <v>496</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2463</v>
      </c>
      <c r="K718" s="617"/>
      <c r="L718" s="612"/>
      <c r="M718" s="613"/>
      <c r="N718" s="618" t="s">
        <v>3081</v>
      </c>
      <c r="O718" s="618" t="s">
        <v>128</v>
      </c>
      <c r="P718" s="613" t="s">
        <v>497</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2491</v>
      </c>
      <c r="K719" s="617"/>
      <c r="L719" s="612"/>
      <c r="M719" s="613"/>
      <c r="N719" s="618" t="s">
        <v>3082</v>
      </c>
      <c r="O719" s="618" t="s">
        <v>1993</v>
      </c>
      <c r="P719" s="613" t="s">
        <v>498</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885"/>
      <c r="K720" s="886"/>
      <c r="L720" s="886"/>
      <c r="M720" s="887"/>
      <c r="N720" s="618" t="s">
        <v>3083</v>
      </c>
      <c r="O720" s="618" t="s">
        <v>1192</v>
      </c>
      <c r="P720" s="613" t="s">
        <v>499</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3084</v>
      </c>
      <c r="O721" s="618" t="s">
        <v>2885</v>
      </c>
      <c r="P721" s="613" t="s">
        <v>500</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3634</v>
      </c>
      <c r="O722" s="618" t="s">
        <v>2544</v>
      </c>
      <c r="P722" s="613" t="s">
        <v>501</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1867</v>
      </c>
      <c r="O723" s="618" t="s">
        <v>2887</v>
      </c>
      <c r="P723" s="613" t="s">
        <v>502</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1868</v>
      </c>
      <c r="O724" s="618" t="s">
        <v>2032</v>
      </c>
      <c r="P724" s="613" t="s">
        <v>503</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3690</v>
      </c>
      <c r="O725" s="618" t="s">
        <v>131</v>
      </c>
      <c r="P725" s="613" t="s">
        <v>504</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296</v>
      </c>
      <c r="O726" s="500" t="s">
        <v>853</v>
      </c>
      <c r="P726" s="1360" t="s">
        <v>2509</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999</v>
      </c>
      <c r="O727" s="618" t="s">
        <v>3885</v>
      </c>
      <c r="P727" s="613" t="s">
        <v>505</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3691</v>
      </c>
      <c r="O728" s="618" t="s">
        <v>3829</v>
      </c>
      <c r="P728" s="613" t="s">
        <v>506</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3692</v>
      </c>
      <c r="O729" s="618" t="s">
        <v>3614</v>
      </c>
      <c r="P729" s="613" t="s">
        <v>3692</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3693</v>
      </c>
      <c r="O730" s="618" t="s">
        <v>1993</v>
      </c>
      <c r="P730" s="613" t="s">
        <v>507</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3694</v>
      </c>
      <c r="O731" s="618" t="s">
        <v>128</v>
      </c>
      <c r="P731" s="613" t="s">
        <v>508</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3695</v>
      </c>
      <c r="O732" s="618" t="s">
        <v>2561</v>
      </c>
      <c r="P732" s="613" t="s">
        <v>509</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3696</v>
      </c>
      <c r="O733" s="618" t="s">
        <v>3013</v>
      </c>
      <c r="P733" s="613" t="s">
        <v>510</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3697</v>
      </c>
      <c r="O734" s="618" t="s">
        <v>1302</v>
      </c>
      <c r="P734" s="613" t="s">
        <v>3697</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3698</v>
      </c>
      <c r="O735" s="618" t="s">
        <v>2575</v>
      </c>
      <c r="P735" s="613" t="s">
        <v>511</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297</v>
      </c>
      <c r="O736" s="500" t="s">
        <v>1993</v>
      </c>
      <c r="P736" s="1360" t="s">
        <v>2509</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3699</v>
      </c>
      <c r="O737" s="618" t="s">
        <v>2021</v>
      </c>
      <c r="P737" s="613" t="s">
        <v>512</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3700</v>
      </c>
      <c r="O738" s="618" t="s">
        <v>2012</v>
      </c>
      <c r="P738" s="613" t="s">
        <v>513</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3701</v>
      </c>
      <c r="O739" s="618" t="s">
        <v>3885</v>
      </c>
      <c r="P739" s="613" t="s">
        <v>514</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3702</v>
      </c>
      <c r="O740" s="618" t="s">
        <v>128</v>
      </c>
      <c r="P740" s="613" t="s">
        <v>515</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3703</v>
      </c>
      <c r="O741" s="618" t="s">
        <v>2220</v>
      </c>
      <c r="P741" s="613" t="s">
        <v>516</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3704</v>
      </c>
      <c r="O742" s="618" t="s">
        <v>1401</v>
      </c>
      <c r="P742" s="1359" t="s">
        <v>1006</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3705</v>
      </c>
      <c r="O743" s="618" t="s">
        <v>3013</v>
      </c>
      <c r="P743" s="613" t="s">
        <v>517</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3706</v>
      </c>
      <c r="O744" s="618" t="s">
        <v>2767</v>
      </c>
      <c r="P744" s="613" t="s">
        <v>518</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298</v>
      </c>
      <c r="O745" s="500" t="s">
        <v>3158</v>
      </c>
      <c r="P745" s="1360" t="s">
        <v>2509</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3707</v>
      </c>
      <c r="O746" s="618" t="s">
        <v>412</v>
      </c>
      <c r="P746" s="613" t="s">
        <v>519</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3708</v>
      </c>
      <c r="O747" s="618" t="s">
        <v>426</v>
      </c>
      <c r="P747" s="613" t="s">
        <v>520</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3709</v>
      </c>
      <c r="O748" s="618" t="s">
        <v>133</v>
      </c>
      <c r="P748" s="613" t="s">
        <v>521</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3710</v>
      </c>
      <c r="O749" s="618" t="s">
        <v>2335</v>
      </c>
      <c r="P749" s="613" t="s">
        <v>522</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3711</v>
      </c>
      <c r="O750" s="618" t="s">
        <v>3402</v>
      </c>
      <c r="P750" s="613" t="s">
        <v>523</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3712</v>
      </c>
      <c r="O751" s="618" t="s">
        <v>2188</v>
      </c>
      <c r="P751" s="613" t="s">
        <v>524</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3713</v>
      </c>
      <c r="O752" s="618" t="s">
        <v>418</v>
      </c>
      <c r="P752" s="613" t="s">
        <v>525</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3714</v>
      </c>
      <c r="O753" s="618" t="s">
        <v>1619</v>
      </c>
      <c r="P753" s="613" t="s">
        <v>526</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389</v>
      </c>
      <c r="O754" s="618" t="s">
        <v>2889</v>
      </c>
      <c r="P754" s="613" t="s">
        <v>527</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1621</v>
      </c>
      <c r="O755" s="618" t="s">
        <v>2885</v>
      </c>
      <c r="P755" s="613" t="s">
        <v>528</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390</v>
      </c>
      <c r="O756" s="618" t="s">
        <v>1136</v>
      </c>
      <c r="P756" s="613" t="s">
        <v>529</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391</v>
      </c>
      <c r="O757" s="618" t="s">
        <v>413</v>
      </c>
      <c r="P757" s="613" t="s">
        <v>530</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392</v>
      </c>
      <c r="O758" s="618" t="s">
        <v>2336</v>
      </c>
      <c r="P758" s="613" t="s">
        <v>531</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393</v>
      </c>
      <c r="O759" s="618" t="s">
        <v>1401</v>
      </c>
      <c r="P759" s="613" t="s">
        <v>532</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394</v>
      </c>
      <c r="O760" s="618" t="s">
        <v>2226</v>
      </c>
      <c r="P760" s="613" t="s">
        <v>533</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395</v>
      </c>
      <c r="O761" s="618" t="s">
        <v>1625</v>
      </c>
      <c r="P761" s="1359" t="s">
        <v>1006</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396</v>
      </c>
      <c r="O762" s="618" t="s">
        <v>2573</v>
      </c>
      <c r="P762" s="613" t="s">
        <v>534</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1629</v>
      </c>
      <c r="O763" s="618" t="s">
        <v>1386</v>
      </c>
      <c r="P763" s="613" t="s">
        <v>535</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3504</v>
      </c>
      <c r="O764" s="618" t="s">
        <v>2575</v>
      </c>
      <c r="P764" s="613" t="s">
        <v>536</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299</v>
      </c>
      <c r="O765" s="500" t="s">
        <v>128</v>
      </c>
      <c r="P765" s="1360" t="s">
        <v>2509</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3505</v>
      </c>
      <c r="O766" s="618" t="s">
        <v>2767</v>
      </c>
      <c r="P766" s="613" t="s">
        <v>537</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3506</v>
      </c>
      <c r="O767" s="618" t="s">
        <v>2108</v>
      </c>
      <c r="P767" s="613" t="s">
        <v>538</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3507</v>
      </c>
      <c r="O768" s="618" t="s">
        <v>1183</v>
      </c>
      <c r="P768" s="613" t="s">
        <v>539</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300</v>
      </c>
      <c r="O769" s="500" t="s">
        <v>128</v>
      </c>
      <c r="P769" s="1360" t="s">
        <v>2509</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3508</v>
      </c>
      <c r="O770" s="618" t="s">
        <v>1385</v>
      </c>
      <c r="P770" s="613" t="s">
        <v>540</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3509</v>
      </c>
      <c r="O771" s="618" t="s">
        <v>134</v>
      </c>
      <c r="P771" s="613" t="s">
        <v>541</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3510</v>
      </c>
      <c r="O772" s="618" t="s">
        <v>1406</v>
      </c>
      <c r="P772" s="613" t="s">
        <v>542</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3511</v>
      </c>
      <c r="O773" s="618" t="s">
        <v>2188</v>
      </c>
      <c r="P773" s="613" t="s">
        <v>543</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3512</v>
      </c>
      <c r="O774" s="618" t="s">
        <v>2550</v>
      </c>
      <c r="P774" s="613" t="s">
        <v>544</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3513</v>
      </c>
      <c r="O775" s="618" t="s">
        <v>133</v>
      </c>
      <c r="P775" s="613" t="s">
        <v>545</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2865</v>
      </c>
      <c r="O776" s="618" t="s">
        <v>2575</v>
      </c>
      <c r="P776" s="613" t="s">
        <v>546</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2866</v>
      </c>
      <c r="O777" s="618" t="s">
        <v>2561</v>
      </c>
      <c r="P777" s="613" t="s">
        <v>547</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2867</v>
      </c>
      <c r="O778" s="618" t="s">
        <v>426</v>
      </c>
      <c r="P778" s="613" t="s">
        <v>548</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1018</v>
      </c>
      <c r="O779" s="618" t="s">
        <v>430</v>
      </c>
      <c r="P779" s="613" t="s">
        <v>549</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143</v>
      </c>
      <c r="O780" s="618" t="s">
        <v>2332</v>
      </c>
      <c r="P780" s="613" t="s">
        <v>550</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144</v>
      </c>
      <c r="O781" s="618" t="s">
        <v>2222</v>
      </c>
      <c r="P781" s="613" t="s">
        <v>551</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145</v>
      </c>
      <c r="O782" s="618" t="s">
        <v>1183</v>
      </c>
      <c r="P782" s="613" t="s">
        <v>552</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1606</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3183</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F116:I116"/>
    <mergeCell ref="Q171:U172"/>
    <mergeCell ref="O162:P162"/>
    <mergeCell ref="M147:O147"/>
    <mergeCell ref="M119:P119"/>
    <mergeCell ref="K171:P171"/>
    <mergeCell ref="O127:P127"/>
    <mergeCell ref="J119:L119"/>
    <mergeCell ref="E143:K143"/>
    <mergeCell ref="M118:P118"/>
    <mergeCell ref="I145:K145"/>
    <mergeCell ref="F119:I119"/>
    <mergeCell ref="J147:K147"/>
    <mergeCell ref="F115:I115"/>
    <mergeCell ref="E145:G145"/>
    <mergeCell ref="C153:D153"/>
    <mergeCell ref="E142:K142"/>
    <mergeCell ref="M104:P104"/>
    <mergeCell ref="O126:P126"/>
    <mergeCell ref="J118:L118"/>
    <mergeCell ref="J104:L104"/>
    <mergeCell ref="M113:P113"/>
    <mergeCell ref="M106:P106"/>
    <mergeCell ref="M108:P108"/>
    <mergeCell ref="M114:P114"/>
    <mergeCell ref="J106:L106"/>
    <mergeCell ref="M115:P115"/>
    <mergeCell ref="C110:P111"/>
    <mergeCell ref="C113:E113"/>
    <mergeCell ref="F113:I113"/>
    <mergeCell ref="M107:P107"/>
    <mergeCell ref="M105:P105"/>
    <mergeCell ref="J107:L107"/>
    <mergeCell ref="J105:L105"/>
    <mergeCell ref="M144:O144"/>
    <mergeCell ref="M142:P142"/>
    <mergeCell ref="M143:P143"/>
    <mergeCell ref="K69:L69"/>
    <mergeCell ref="K67:L67"/>
    <mergeCell ref="K71:L71"/>
    <mergeCell ref="J114:L114"/>
    <mergeCell ref="E87:L87"/>
    <mergeCell ref="J29:K29"/>
    <mergeCell ref="F29:G29"/>
    <mergeCell ref="I89:K89"/>
    <mergeCell ref="E89:G89"/>
    <mergeCell ref="C102:E102"/>
    <mergeCell ref="C108:E108"/>
    <mergeCell ref="C114:E114"/>
    <mergeCell ref="C25:D25"/>
    <mergeCell ref="J26:L26"/>
    <mergeCell ref="H30:I30"/>
    <mergeCell ref="M86:N86"/>
    <mergeCell ref="E86:L86"/>
    <mergeCell ref="H28:I28"/>
    <mergeCell ref="F30:G30"/>
    <mergeCell ref="J30:K30"/>
    <mergeCell ref="F23:L23"/>
    <mergeCell ref="J24:K24"/>
    <mergeCell ref="H29:I29"/>
    <mergeCell ref="L33:N33"/>
    <mergeCell ref="I48:I49"/>
    <mergeCell ref="F34:J34"/>
    <mergeCell ref="I35:K35"/>
    <mergeCell ref="L41:P41"/>
    <mergeCell ref="F35:G35"/>
    <mergeCell ref="L39:O39"/>
    <mergeCell ref="J28:K28"/>
    <mergeCell ref="N65:P65"/>
    <mergeCell ref="O86:P86"/>
    <mergeCell ref="K65:L65"/>
    <mergeCell ref="F33:J33"/>
    <mergeCell ref="F28:G28"/>
    <mergeCell ref="F17:H17"/>
    <mergeCell ref="F24:H24"/>
    <mergeCell ref="O25:P25"/>
    <mergeCell ref="N13:P13"/>
    <mergeCell ref="O22:P22"/>
    <mergeCell ref="O23:P23"/>
    <mergeCell ref="O24:P24"/>
    <mergeCell ref="J25:K25"/>
    <mergeCell ref="O90:P90"/>
    <mergeCell ref="L90:M90"/>
    <mergeCell ref="M87:N87"/>
    <mergeCell ref="K88:L88"/>
    <mergeCell ref="J16:K16"/>
    <mergeCell ref="I90:J90"/>
    <mergeCell ref="E90:G90"/>
    <mergeCell ref="F22:L22"/>
    <mergeCell ref="L17:P17"/>
    <mergeCell ref="O16:P16"/>
    <mergeCell ref="O87:P87"/>
    <mergeCell ref="M35:N35"/>
    <mergeCell ref="L34:N34"/>
    <mergeCell ref="F32:K32"/>
    <mergeCell ref="H75:J75"/>
    <mergeCell ref="H65:I65"/>
    <mergeCell ref="O4:P4"/>
    <mergeCell ref="O3:P3"/>
    <mergeCell ref="O6:P6"/>
    <mergeCell ref="O7:P7"/>
    <mergeCell ref="J6:K6"/>
    <mergeCell ref="J7:K7"/>
    <mergeCell ref="F14:L14"/>
    <mergeCell ref="F9:H9"/>
    <mergeCell ref="O15:P15"/>
    <mergeCell ref="F15:H15"/>
    <mergeCell ref="O14:P14"/>
    <mergeCell ref="J9:P9"/>
    <mergeCell ref="F13:L13"/>
    <mergeCell ref="A1:P1"/>
    <mergeCell ref="E88:G88"/>
    <mergeCell ref="M102:P102"/>
    <mergeCell ref="M117:P117"/>
    <mergeCell ref="J117:L117"/>
    <mergeCell ref="J116:L116"/>
    <mergeCell ref="J102:L102"/>
    <mergeCell ref="C104:E104"/>
    <mergeCell ref="F108:I108"/>
    <mergeCell ref="J108:L108"/>
    <mergeCell ref="M89:P89"/>
    <mergeCell ref="F104:I104"/>
    <mergeCell ref="F105:I105"/>
    <mergeCell ref="C106:E106"/>
    <mergeCell ref="C105:E105"/>
    <mergeCell ref="C103:E103"/>
    <mergeCell ref="M103:P103"/>
    <mergeCell ref="J103:L103"/>
    <mergeCell ref="F102:I102"/>
    <mergeCell ref="F114:I114"/>
    <mergeCell ref="F107:I107"/>
    <mergeCell ref="F103:I103"/>
    <mergeCell ref="C107:E107"/>
    <mergeCell ref="F106:I106"/>
    <mergeCell ref="J720:M720"/>
    <mergeCell ref="J113:L113"/>
    <mergeCell ref="C117:E117"/>
    <mergeCell ref="C118:E118"/>
    <mergeCell ref="C119:E119"/>
    <mergeCell ref="C115:E115"/>
    <mergeCell ref="M145:O145"/>
    <mergeCell ref="H125:I125"/>
    <mergeCell ref="F117:I117"/>
    <mergeCell ref="F118:I118"/>
    <mergeCell ref="M116:P116"/>
    <mergeCell ref="C116:E116"/>
    <mergeCell ref="A171:J171"/>
    <mergeCell ref="H168:I168"/>
    <mergeCell ref="H166:I166"/>
    <mergeCell ref="J115:L115"/>
    <mergeCell ref="H167:I167"/>
    <mergeCell ref="C152:D152"/>
    <mergeCell ref="C151:F151"/>
    <mergeCell ref="C154:D154"/>
    <mergeCell ref="E163:G163"/>
    <mergeCell ref="H128:I128"/>
    <mergeCell ref="E144:H144"/>
    <mergeCell ref="J144:K144"/>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17" t="str">
        <f>CONCATENATE("PART TWO - DEVELOPMENT TEAM INFORMATION","  -  ",'Part I-Project Information'!$O$4," ",'Part I-Project Information'!$F$22,", ",'Part I-Project Information'!F24,", ",'Part I-Project Information'!J25," County")</f>
        <v>PART TWO - DEVELOPMENT TEAM INFORMATION  -  2012-052 Freedom's Path I, Augusta, Richmond County</v>
      </c>
      <c r="B1" s="918"/>
      <c r="C1" s="918"/>
      <c r="D1" s="918"/>
      <c r="E1" s="918"/>
      <c r="F1" s="918"/>
      <c r="G1" s="918"/>
      <c r="H1" s="918"/>
      <c r="I1" s="918"/>
      <c r="J1" s="918"/>
      <c r="K1" s="918"/>
      <c r="L1" s="918"/>
      <c r="M1" s="918"/>
      <c r="N1" s="918"/>
      <c r="O1" s="918"/>
      <c r="P1" s="918"/>
      <c r="Q1" s="918"/>
      <c r="R1" s="918"/>
      <c r="S1" s="919"/>
    </row>
    <row r="3" spans="1:19" s="452" customFormat="1" ht="13.15" customHeight="1">
      <c r="A3" s="455" t="s">
        <v>839</v>
      </c>
      <c r="B3" s="459" t="s">
        <v>340</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2308</v>
      </c>
      <c r="C5" s="459" t="s">
        <v>336</v>
      </c>
      <c r="H5" s="1284" t="s">
        <v>370</v>
      </c>
      <c r="I5" s="1333"/>
      <c r="J5" s="1333"/>
      <c r="K5" s="1333"/>
      <c r="L5" s="1333"/>
      <c r="M5" s="1333"/>
      <c r="N5" s="1334"/>
      <c r="O5" s="826" t="s">
        <v>2315</v>
      </c>
      <c r="P5" s="826"/>
      <c r="Q5" s="1284" t="s">
        <v>4071</v>
      </c>
      <c r="R5" s="1333"/>
      <c r="S5" s="1334"/>
    </row>
    <row r="6" spans="1:19" s="452" customFormat="1" ht="12.6" customHeight="1">
      <c r="D6" s="501"/>
      <c r="E6" s="458" t="s">
        <v>1070</v>
      </c>
      <c r="F6" s="466"/>
      <c r="H6" s="1284" t="s">
        <v>4072</v>
      </c>
      <c r="I6" s="1333"/>
      <c r="J6" s="1333"/>
      <c r="K6" s="1333"/>
      <c r="L6" s="1333"/>
      <c r="M6" s="1333"/>
      <c r="N6" s="1334"/>
      <c r="O6" s="826" t="s">
        <v>2077</v>
      </c>
      <c r="Q6" s="1284" t="s">
        <v>4073</v>
      </c>
      <c r="R6" s="1333"/>
      <c r="S6" s="1334"/>
    </row>
    <row r="7" spans="1:19" s="452" customFormat="1" ht="12.6" customHeight="1">
      <c r="D7" s="501"/>
      <c r="E7" s="458" t="s">
        <v>842</v>
      </c>
      <c r="H7" s="1284" t="s">
        <v>4074</v>
      </c>
      <c r="I7" s="1333"/>
      <c r="J7" s="1334"/>
      <c r="K7" s="1362" t="s">
        <v>1</v>
      </c>
      <c r="L7" s="1284"/>
      <c r="M7" s="1333"/>
      <c r="N7" s="1334"/>
      <c r="O7" s="826" t="s">
        <v>2135</v>
      </c>
      <c r="Q7" s="1292">
        <v>9419291270</v>
      </c>
      <c r="R7" s="1297"/>
      <c r="S7" s="1293"/>
    </row>
    <row r="8" spans="1:19" s="452" customFormat="1" ht="12.6" customHeight="1">
      <c r="D8" s="501"/>
      <c r="E8" s="458" t="s">
        <v>2131</v>
      </c>
      <c r="H8" s="1298" t="s">
        <v>155</v>
      </c>
      <c r="I8" s="838" t="s">
        <v>3300</v>
      </c>
      <c r="J8" s="1295">
        <v>342310000</v>
      </c>
      <c r="K8" s="1334"/>
      <c r="L8" s="400" t="s">
        <v>3303</v>
      </c>
      <c r="N8" s="1335">
        <v>13</v>
      </c>
      <c r="O8" s="826" t="s">
        <v>2304</v>
      </c>
      <c r="Q8" s="1292">
        <v>9412282185</v>
      </c>
      <c r="R8" s="1297"/>
      <c r="S8" s="1293"/>
    </row>
    <row r="9" spans="1:19" s="452" customFormat="1" ht="12.6" customHeight="1">
      <c r="D9" s="501"/>
      <c r="E9" s="458" t="s">
        <v>2310</v>
      </c>
      <c r="H9" s="1292">
        <v>9419291270</v>
      </c>
      <c r="I9" s="1293"/>
      <c r="J9" s="1363">
        <v>110</v>
      </c>
      <c r="K9" s="838" t="s">
        <v>2134</v>
      </c>
      <c r="L9" s="1321">
        <v>9419291271</v>
      </c>
      <c r="M9" s="1334"/>
      <c r="N9" s="460" t="s">
        <v>2309</v>
      </c>
      <c r="O9" s="1299" t="s">
        <v>4075</v>
      </c>
      <c r="P9" s="1300"/>
      <c r="Q9" s="1300"/>
      <c r="R9" s="1300"/>
      <c r="S9" s="1301"/>
    </row>
    <row r="10" spans="1:19" s="452" customFormat="1" ht="13.15" customHeight="1">
      <c r="D10" s="501"/>
      <c r="E10" s="443" t="s">
        <v>885</v>
      </c>
      <c r="H10" s="494"/>
      <c r="L10" s="543" t="s">
        <v>3301</v>
      </c>
      <c r="N10" s="838"/>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2311</v>
      </c>
      <c r="C12" s="459" t="s">
        <v>337</v>
      </c>
      <c r="F12" s="459"/>
      <c r="G12" s="459"/>
      <c r="H12" s="459"/>
      <c r="I12" s="459"/>
      <c r="J12" s="459"/>
      <c r="K12" s="459"/>
      <c r="L12" s="399" t="s">
        <v>1372</v>
      </c>
      <c r="O12" s="1364" t="s">
        <v>3299</v>
      </c>
      <c r="P12" s="1364"/>
      <c r="Q12" s="1364"/>
      <c r="R12" s="1364"/>
      <c r="S12" s="1364"/>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2312</v>
      </c>
      <c r="D14" s="499" t="s">
        <v>2313</v>
      </c>
      <c r="H14" s="830"/>
      <c r="I14" s="830"/>
      <c r="J14" s="830"/>
      <c r="K14" s="453"/>
      <c r="L14" s="399" t="s">
        <v>3302</v>
      </c>
      <c r="M14" s="475"/>
      <c r="O14" s="1365" t="s">
        <v>1371</v>
      </c>
      <c r="P14" s="1365"/>
      <c r="Q14" s="1365"/>
      <c r="R14" s="1365"/>
      <c r="S14" s="1365"/>
    </row>
    <row r="15" spans="1:19" s="452" customFormat="1" ht="4.1500000000000004" customHeight="1">
      <c r="D15" s="503"/>
      <c r="E15" s="504"/>
      <c r="H15" s="1366"/>
      <c r="I15" s="1366"/>
      <c r="J15" s="1366"/>
      <c r="K15" s="828"/>
      <c r="L15" s="1366"/>
      <c r="M15" s="1366"/>
      <c r="N15" s="828"/>
      <c r="O15" s="861"/>
      <c r="P15" s="861"/>
      <c r="Q15" s="838"/>
      <c r="R15" s="861"/>
      <c r="S15" s="861"/>
    </row>
    <row r="16" spans="1:19" s="452" customFormat="1" ht="12.6" customHeight="1">
      <c r="D16" s="455" t="s">
        <v>2483</v>
      </c>
      <c r="E16" s="452" t="s">
        <v>338</v>
      </c>
      <c r="H16" s="1284" t="s">
        <v>4070</v>
      </c>
      <c r="I16" s="1333"/>
      <c r="J16" s="1333"/>
      <c r="K16" s="1333"/>
      <c r="L16" s="1333"/>
      <c r="M16" s="1333"/>
      <c r="N16" s="1334"/>
      <c r="O16" s="826" t="s">
        <v>2315</v>
      </c>
      <c r="P16" s="826"/>
      <c r="Q16" s="1284" t="s">
        <v>4076</v>
      </c>
      <c r="R16" s="1333"/>
      <c r="S16" s="1334"/>
    </row>
    <row r="17" spans="4:19" s="452" customFormat="1" ht="12.6" customHeight="1">
      <c r="D17" s="501"/>
      <c r="E17" s="458" t="s">
        <v>1070</v>
      </c>
      <c r="F17" s="466"/>
      <c r="H17" s="1284" t="s">
        <v>4077</v>
      </c>
      <c r="I17" s="1333"/>
      <c r="J17" s="1333"/>
      <c r="K17" s="1333"/>
      <c r="L17" s="1333"/>
      <c r="M17" s="1333"/>
      <c r="N17" s="1334"/>
      <c r="O17" s="826" t="s">
        <v>2077</v>
      </c>
      <c r="Q17" s="1284" t="s">
        <v>4078</v>
      </c>
      <c r="R17" s="1333"/>
      <c r="S17" s="1334"/>
    </row>
    <row r="18" spans="4:19" s="452" customFormat="1" ht="12.6" customHeight="1">
      <c r="D18" s="501"/>
      <c r="E18" s="458" t="s">
        <v>842</v>
      </c>
      <c r="H18" s="1284" t="s">
        <v>1301</v>
      </c>
      <c r="I18" s="1333"/>
      <c r="J18" s="1334"/>
      <c r="O18" s="826" t="s">
        <v>2135</v>
      </c>
      <c r="Q18" s="1292">
        <v>4048765895</v>
      </c>
      <c r="R18" s="1297"/>
      <c r="S18" s="1293"/>
    </row>
    <row r="19" spans="4:19" s="452" customFormat="1" ht="12.6" customHeight="1">
      <c r="D19" s="455"/>
      <c r="E19" s="458" t="s">
        <v>2131</v>
      </c>
      <c r="H19" s="1298" t="s">
        <v>156</v>
      </c>
      <c r="I19" s="838" t="s">
        <v>3300</v>
      </c>
      <c r="J19" s="1295">
        <v>303030000</v>
      </c>
      <c r="K19" s="1334"/>
      <c r="L19" s="400" t="s">
        <v>3303</v>
      </c>
      <c r="N19" s="1335" t="s">
        <v>4079</v>
      </c>
      <c r="O19" s="826" t="s">
        <v>2304</v>
      </c>
      <c r="Q19" s="1292">
        <v>4048765895</v>
      </c>
      <c r="R19" s="1297"/>
      <c r="S19" s="1293"/>
    </row>
    <row r="20" spans="4:19" s="452" customFormat="1" ht="12.6" customHeight="1">
      <c r="D20" s="501"/>
      <c r="E20" s="458" t="s">
        <v>2310</v>
      </c>
      <c r="H20" s="1292">
        <v>4048765895</v>
      </c>
      <c r="I20" s="1293"/>
      <c r="J20" s="1363"/>
      <c r="K20" s="838" t="s">
        <v>2134</v>
      </c>
      <c r="L20" s="1321">
        <v>4045212355</v>
      </c>
      <c r="M20" s="1334"/>
      <c r="N20" s="460" t="s">
        <v>2309</v>
      </c>
      <c r="O20" s="1299" t="s">
        <v>4080</v>
      </c>
      <c r="P20" s="1300"/>
      <c r="Q20" s="1300"/>
      <c r="R20" s="1300"/>
      <c r="S20" s="1301"/>
    </row>
    <row r="21" spans="4:19" ht="4.1500000000000004" customHeight="1">
      <c r="D21" s="484"/>
      <c r="H21" s="1367"/>
      <c r="I21" s="1367"/>
      <c r="J21" s="1367"/>
      <c r="K21" s="838"/>
      <c r="L21" s="1367"/>
      <c r="M21" s="1367"/>
      <c r="N21" s="828"/>
      <c r="O21" s="861"/>
      <c r="P21" s="861"/>
      <c r="Q21" s="838"/>
      <c r="R21" s="861"/>
      <c r="S21" s="861"/>
    </row>
    <row r="22" spans="4:19" s="452" customFormat="1" ht="12.6" customHeight="1">
      <c r="D22" s="455" t="s">
        <v>2484</v>
      </c>
      <c r="E22" s="452" t="s">
        <v>339</v>
      </c>
      <c r="F22" s="830"/>
      <c r="H22" s="1284" t="s">
        <v>4121</v>
      </c>
      <c r="I22" s="1333"/>
      <c r="J22" s="1333"/>
      <c r="K22" s="1333"/>
      <c r="L22" s="1333"/>
      <c r="M22" s="1333"/>
      <c r="N22" s="1334"/>
      <c r="O22" s="826" t="s">
        <v>2315</v>
      </c>
      <c r="P22" s="826"/>
      <c r="Q22" s="1284" t="s">
        <v>4071</v>
      </c>
      <c r="R22" s="1333"/>
      <c r="S22" s="1334"/>
    </row>
    <row r="23" spans="4:19" s="452" customFormat="1" ht="12.6" customHeight="1">
      <c r="D23" s="501"/>
      <c r="E23" s="458" t="s">
        <v>1070</v>
      </c>
      <c r="F23" s="466"/>
      <c r="H23" s="1284" t="s">
        <v>4072</v>
      </c>
      <c r="I23" s="1333"/>
      <c r="J23" s="1333"/>
      <c r="K23" s="1333"/>
      <c r="L23" s="1333"/>
      <c r="M23" s="1333"/>
      <c r="N23" s="1334"/>
      <c r="O23" s="826" t="s">
        <v>2077</v>
      </c>
      <c r="Q23" s="1284" t="s">
        <v>4073</v>
      </c>
      <c r="R23" s="1333"/>
      <c r="S23" s="1334"/>
    </row>
    <row r="24" spans="4:19" s="452" customFormat="1" ht="12.6" customHeight="1">
      <c r="D24" s="501"/>
      <c r="E24" s="458" t="s">
        <v>842</v>
      </c>
      <c r="H24" s="1284" t="s">
        <v>4074</v>
      </c>
      <c r="I24" s="1333"/>
      <c r="J24" s="1334"/>
      <c r="O24" s="826" t="s">
        <v>2135</v>
      </c>
      <c r="Q24" s="1292">
        <v>9419291270</v>
      </c>
      <c r="R24" s="1297"/>
      <c r="S24" s="1293"/>
    </row>
    <row r="25" spans="4:19" s="452" customFormat="1" ht="12.6" customHeight="1">
      <c r="E25" s="458" t="s">
        <v>2131</v>
      </c>
      <c r="H25" s="1298" t="s">
        <v>155</v>
      </c>
      <c r="I25" s="486" t="s">
        <v>2986</v>
      </c>
      <c r="J25" s="1295">
        <v>342310000</v>
      </c>
      <c r="K25" s="1334"/>
      <c r="O25" s="826" t="s">
        <v>2304</v>
      </c>
      <c r="Q25" s="1292">
        <v>9412282185</v>
      </c>
      <c r="R25" s="1297"/>
      <c r="S25" s="1293"/>
    </row>
    <row r="26" spans="4:19" s="452" customFormat="1" ht="12.6" customHeight="1">
      <c r="D26" s="501"/>
      <c r="E26" s="458" t="s">
        <v>2310</v>
      </c>
      <c r="H26" s="1292">
        <v>9419291270</v>
      </c>
      <c r="I26" s="1293"/>
      <c r="J26" s="1363">
        <v>110</v>
      </c>
      <c r="K26" s="838" t="s">
        <v>2134</v>
      </c>
      <c r="L26" s="1321">
        <v>9419291271</v>
      </c>
      <c r="M26" s="1334"/>
      <c r="N26" s="460" t="s">
        <v>2309</v>
      </c>
      <c r="O26" s="1299" t="s">
        <v>4075</v>
      </c>
      <c r="P26" s="1300"/>
      <c r="Q26" s="1300"/>
      <c r="R26" s="1300"/>
      <c r="S26" s="1301"/>
    </row>
    <row r="27" spans="4:19" s="452" customFormat="1" ht="4.1500000000000004" customHeight="1">
      <c r="D27" s="501"/>
      <c r="E27" s="830"/>
      <c r="F27" s="830"/>
      <c r="G27" s="826"/>
      <c r="H27" s="1367"/>
      <c r="I27" s="1367"/>
      <c r="J27" s="1367"/>
      <c r="K27" s="838"/>
      <c r="L27" s="1367"/>
      <c r="M27" s="1367"/>
      <c r="N27" s="828"/>
      <c r="O27" s="861"/>
      <c r="P27" s="861"/>
      <c r="Q27" s="838"/>
      <c r="R27" s="861"/>
      <c r="S27" s="861"/>
    </row>
    <row r="28" spans="4:19" s="452" customFormat="1" ht="12.6" customHeight="1">
      <c r="D28" s="455" t="s">
        <v>3744</v>
      </c>
      <c r="E28" s="452" t="s">
        <v>339</v>
      </c>
      <c r="F28" s="830"/>
      <c r="H28" s="1284" t="s">
        <v>889</v>
      </c>
      <c r="I28" s="1333"/>
      <c r="J28" s="1333"/>
      <c r="K28" s="1333"/>
      <c r="L28" s="1333"/>
      <c r="M28" s="1333"/>
      <c r="N28" s="1334"/>
      <c r="O28" s="826" t="s">
        <v>2315</v>
      </c>
      <c r="P28" s="826"/>
      <c r="Q28" s="1284" t="s">
        <v>890</v>
      </c>
      <c r="R28" s="1333"/>
      <c r="S28" s="1334"/>
    </row>
    <row r="29" spans="4:19" s="452" customFormat="1" ht="12.6" customHeight="1">
      <c r="D29" s="501"/>
      <c r="E29" s="458" t="s">
        <v>1070</v>
      </c>
      <c r="F29" s="466"/>
      <c r="H29" s="1284" t="s">
        <v>891</v>
      </c>
      <c r="I29" s="1333"/>
      <c r="J29" s="1333"/>
      <c r="K29" s="1333"/>
      <c r="L29" s="1333"/>
      <c r="M29" s="1333"/>
      <c r="N29" s="1334"/>
      <c r="O29" s="826" t="s">
        <v>2077</v>
      </c>
      <c r="Q29" s="1284" t="s">
        <v>4078</v>
      </c>
      <c r="R29" s="1333"/>
      <c r="S29" s="1334"/>
    </row>
    <row r="30" spans="4:19" s="452" customFormat="1" ht="12.6" customHeight="1">
      <c r="D30" s="501"/>
      <c r="E30" s="458" t="s">
        <v>842</v>
      </c>
      <c r="H30" s="1284" t="s">
        <v>1402</v>
      </c>
      <c r="I30" s="1333"/>
      <c r="J30" s="1334"/>
      <c r="O30" s="826" t="s">
        <v>2135</v>
      </c>
      <c r="Q30" s="1292">
        <v>7067379879</v>
      </c>
      <c r="R30" s="1297"/>
      <c r="S30" s="1293"/>
    </row>
    <row r="31" spans="4:19" s="452" customFormat="1" ht="12.6" customHeight="1">
      <c r="E31" s="458" t="s">
        <v>2131</v>
      </c>
      <c r="H31" s="1298" t="s">
        <v>156</v>
      </c>
      <c r="I31" s="486" t="s">
        <v>2986</v>
      </c>
      <c r="J31" s="1295">
        <v>309040000</v>
      </c>
      <c r="K31" s="1334"/>
      <c r="O31" s="826" t="s">
        <v>2304</v>
      </c>
      <c r="Q31" s="1292">
        <v>7069104768</v>
      </c>
      <c r="R31" s="1297"/>
      <c r="S31" s="1293"/>
    </row>
    <row r="32" spans="4:19" s="452" customFormat="1" ht="12.6" customHeight="1">
      <c r="D32" s="501"/>
      <c r="E32" s="458" t="s">
        <v>2310</v>
      </c>
      <c r="H32" s="1292">
        <v>7067379879</v>
      </c>
      <c r="I32" s="1293"/>
      <c r="J32" s="1363"/>
      <c r="K32" s="838" t="s">
        <v>2134</v>
      </c>
      <c r="L32" s="1321">
        <v>7067399830</v>
      </c>
      <c r="M32" s="1334"/>
      <c r="N32" s="460" t="s">
        <v>2309</v>
      </c>
      <c r="O32" s="1299" t="s">
        <v>892</v>
      </c>
      <c r="P32" s="1300"/>
      <c r="Q32" s="1300"/>
      <c r="R32" s="1300"/>
      <c r="S32" s="1301"/>
    </row>
    <row r="33" spans="3:19" ht="4.1500000000000004" customHeight="1"/>
    <row r="34" spans="3:19" s="452" customFormat="1" ht="13.15" customHeight="1">
      <c r="C34" s="503" t="s">
        <v>2314</v>
      </c>
      <c r="D34" s="499" t="s">
        <v>341</v>
      </c>
      <c r="H34" s="830"/>
      <c r="I34" s="830"/>
      <c r="J34" s="830"/>
      <c r="K34" s="830"/>
      <c r="L34" s="830"/>
      <c r="M34" s="830"/>
    </row>
    <row r="35" spans="3:19" s="452" customFormat="1" ht="4.1500000000000004" customHeight="1">
      <c r="C35" s="505"/>
      <c r="D35" s="499"/>
      <c r="H35" s="1366"/>
      <c r="I35" s="1366"/>
      <c r="J35" s="1366"/>
      <c r="K35" s="828"/>
      <c r="L35" s="1366"/>
      <c r="M35" s="1366"/>
      <c r="N35" s="828"/>
      <c r="O35" s="861"/>
      <c r="P35" s="861"/>
      <c r="Q35" s="838"/>
      <c r="R35" s="861"/>
      <c r="S35" s="861"/>
    </row>
    <row r="36" spans="3:19" s="452" customFormat="1" ht="12.6" customHeight="1">
      <c r="D36" s="455" t="s">
        <v>2483</v>
      </c>
      <c r="E36" s="452" t="s">
        <v>2784</v>
      </c>
      <c r="H36" s="1284" t="s">
        <v>4133</v>
      </c>
      <c r="I36" s="1333"/>
      <c r="J36" s="1333"/>
      <c r="K36" s="1333"/>
      <c r="L36" s="1333"/>
      <c r="M36" s="1333"/>
      <c r="N36" s="1334"/>
      <c r="O36" s="826" t="s">
        <v>2315</v>
      </c>
      <c r="P36" s="826"/>
      <c r="Q36" s="1284" t="s">
        <v>357</v>
      </c>
      <c r="R36" s="1333"/>
      <c r="S36" s="1334"/>
    </row>
    <row r="37" spans="3:19" s="452" customFormat="1" ht="12.6" customHeight="1">
      <c r="D37" s="501"/>
      <c r="E37" s="458" t="s">
        <v>1070</v>
      </c>
      <c r="F37" s="466"/>
      <c r="H37" s="1284" t="s">
        <v>378</v>
      </c>
      <c r="I37" s="1333"/>
      <c r="J37" s="1333"/>
      <c r="K37" s="1333"/>
      <c r="L37" s="1333"/>
      <c r="M37" s="1333"/>
      <c r="N37" s="1334"/>
      <c r="O37" s="826" t="s">
        <v>2077</v>
      </c>
      <c r="Q37" s="1284" t="s">
        <v>377</v>
      </c>
      <c r="R37" s="1333"/>
      <c r="S37" s="1334"/>
    </row>
    <row r="38" spans="3:19" s="452" customFormat="1" ht="12.6" customHeight="1">
      <c r="D38" s="501"/>
      <c r="E38" s="458" t="s">
        <v>842</v>
      </c>
      <c r="H38" s="1284" t="s">
        <v>379</v>
      </c>
      <c r="I38" s="1333"/>
      <c r="J38" s="1334"/>
      <c r="O38" s="826" t="s">
        <v>2135</v>
      </c>
      <c r="Q38" s="1292">
        <v>7275023622</v>
      </c>
      <c r="R38" s="1297"/>
      <c r="S38" s="1293"/>
    </row>
    <row r="39" spans="3:19" s="452" customFormat="1" ht="12.6" customHeight="1">
      <c r="E39" s="458" t="s">
        <v>2131</v>
      </c>
      <c r="H39" s="1298" t="s">
        <v>155</v>
      </c>
      <c r="I39" s="486" t="s">
        <v>2986</v>
      </c>
      <c r="J39" s="1295">
        <v>337014337</v>
      </c>
      <c r="K39" s="1334"/>
      <c r="O39" s="826" t="s">
        <v>2304</v>
      </c>
      <c r="Q39" s="1292">
        <v>2165444223</v>
      </c>
      <c r="R39" s="1297"/>
      <c r="S39" s="1293"/>
    </row>
    <row r="40" spans="3:19" s="452" customFormat="1" ht="12.6" customHeight="1">
      <c r="D40" s="501"/>
      <c r="E40" s="458" t="s">
        <v>2310</v>
      </c>
      <c r="H40" s="1292">
        <v>7275023622</v>
      </c>
      <c r="I40" s="1293"/>
      <c r="J40" s="1363"/>
      <c r="K40" s="838" t="s">
        <v>2134</v>
      </c>
      <c r="L40" s="1321"/>
      <c r="M40" s="1334"/>
      <c r="N40" s="460" t="s">
        <v>2309</v>
      </c>
      <c r="O40" s="1299" t="s">
        <v>380</v>
      </c>
      <c r="P40" s="1300"/>
      <c r="Q40" s="1300"/>
      <c r="R40" s="1300"/>
      <c r="S40" s="1301"/>
    </row>
    <row r="41" spans="3:19" ht="4.1500000000000004" customHeight="1">
      <c r="H41" s="1367"/>
      <c r="I41" s="1367"/>
      <c r="J41" s="1367"/>
      <c r="K41" s="838"/>
      <c r="L41" s="1367"/>
      <c r="M41" s="1367"/>
      <c r="N41" s="828"/>
      <c r="O41" s="861"/>
      <c r="P41" s="861"/>
      <c r="Q41" s="838"/>
      <c r="R41" s="861"/>
      <c r="S41" s="861"/>
    </row>
    <row r="42" spans="3:19" s="452" customFormat="1" ht="12.6" customHeight="1">
      <c r="D42" s="455" t="s">
        <v>2484</v>
      </c>
      <c r="E42" s="452" t="s">
        <v>2785</v>
      </c>
      <c r="F42" s="455"/>
      <c r="H42" s="1284" t="s">
        <v>4133</v>
      </c>
      <c r="I42" s="1333"/>
      <c r="J42" s="1333"/>
      <c r="K42" s="1333"/>
      <c r="L42" s="1333"/>
      <c r="M42" s="1333"/>
      <c r="N42" s="1334"/>
      <c r="O42" s="826" t="s">
        <v>2315</v>
      </c>
      <c r="P42" s="826"/>
      <c r="Q42" s="1284" t="s">
        <v>357</v>
      </c>
      <c r="R42" s="1333"/>
      <c r="S42" s="1334"/>
    </row>
    <row r="43" spans="3:19" s="452" customFormat="1" ht="12.6" customHeight="1">
      <c r="D43" s="501"/>
      <c r="E43" s="458" t="s">
        <v>1070</v>
      </c>
      <c r="F43" s="466"/>
      <c r="H43" s="1284" t="s">
        <v>378</v>
      </c>
      <c r="I43" s="1333"/>
      <c r="J43" s="1333"/>
      <c r="K43" s="1333"/>
      <c r="L43" s="1333"/>
      <c r="M43" s="1333"/>
      <c r="N43" s="1334"/>
      <c r="O43" s="826" t="s">
        <v>2077</v>
      </c>
      <c r="Q43" s="1284" t="s">
        <v>377</v>
      </c>
      <c r="R43" s="1333"/>
      <c r="S43" s="1334"/>
    </row>
    <row r="44" spans="3:19" s="452" customFormat="1" ht="12.6" customHeight="1">
      <c r="D44" s="501"/>
      <c r="E44" s="458" t="s">
        <v>842</v>
      </c>
      <c r="H44" s="1284" t="s">
        <v>379</v>
      </c>
      <c r="I44" s="1333"/>
      <c r="J44" s="1334"/>
      <c r="O44" s="826" t="s">
        <v>2135</v>
      </c>
      <c r="Q44" s="1292">
        <v>7275023622</v>
      </c>
      <c r="R44" s="1297"/>
      <c r="S44" s="1293"/>
    </row>
    <row r="45" spans="3:19" s="452" customFormat="1" ht="12.6" customHeight="1">
      <c r="D45" s="455"/>
      <c r="E45" s="458" t="s">
        <v>2131</v>
      </c>
      <c r="H45" s="1298" t="s">
        <v>155</v>
      </c>
      <c r="I45" s="486" t="s">
        <v>2986</v>
      </c>
      <c r="J45" s="1295">
        <v>337014337</v>
      </c>
      <c r="K45" s="1334"/>
      <c r="O45" s="826" t="s">
        <v>2304</v>
      </c>
      <c r="Q45" s="1292">
        <v>2165444223</v>
      </c>
      <c r="R45" s="1297"/>
      <c r="S45" s="1293"/>
    </row>
    <row r="46" spans="3:19" s="452" customFormat="1" ht="12.6" customHeight="1">
      <c r="D46" s="501"/>
      <c r="E46" s="458" t="s">
        <v>2310</v>
      </c>
      <c r="H46" s="1292">
        <v>7275023622</v>
      </c>
      <c r="I46" s="1293"/>
      <c r="J46" s="1363"/>
      <c r="K46" s="838" t="s">
        <v>2134</v>
      </c>
      <c r="L46" s="1321"/>
      <c r="M46" s="1334"/>
      <c r="N46" s="460" t="s">
        <v>2309</v>
      </c>
      <c r="O46" s="1299" t="s">
        <v>380</v>
      </c>
      <c r="P46" s="1300"/>
      <c r="Q46" s="1300"/>
      <c r="R46" s="1300"/>
      <c r="S46" s="1301"/>
    </row>
    <row r="47" spans="3:19" s="452" customFormat="1" ht="4.1500000000000004" customHeight="1">
      <c r="D47" s="501"/>
      <c r="E47" s="458"/>
      <c r="F47" s="455"/>
      <c r="H47" s="494"/>
      <c r="I47" s="494"/>
      <c r="J47" s="862"/>
      <c r="K47" s="838"/>
      <c r="L47" s="494"/>
      <c r="M47" s="494"/>
      <c r="N47" s="838"/>
      <c r="O47" s="494"/>
      <c r="P47" s="494"/>
      <c r="Q47" s="838"/>
      <c r="R47" s="494"/>
      <c r="S47" s="494"/>
    </row>
    <row r="48" spans="3:19" s="452" customFormat="1" ht="13.15" customHeight="1">
      <c r="C48" s="505" t="s">
        <v>3832</v>
      </c>
      <c r="D48" s="499" t="s">
        <v>882</v>
      </c>
      <c r="H48" s="830"/>
      <c r="I48" s="830"/>
      <c r="J48" s="830"/>
      <c r="K48" s="830"/>
      <c r="L48" s="830"/>
      <c r="M48" s="830"/>
    </row>
    <row r="49" spans="1:19" s="452" customFormat="1" ht="4.1500000000000004" customHeight="1">
      <c r="D49" s="505"/>
      <c r="E49" s="504"/>
      <c r="H49" s="1366"/>
      <c r="I49" s="1366"/>
      <c r="J49" s="1366"/>
      <c r="K49" s="828"/>
      <c r="L49" s="1366"/>
      <c r="M49" s="1366"/>
      <c r="N49" s="828"/>
      <c r="O49" s="861"/>
      <c r="P49" s="861"/>
      <c r="Q49" s="838"/>
      <c r="R49" s="861"/>
      <c r="S49" s="861"/>
    </row>
    <row r="50" spans="1:19" s="452" customFormat="1" ht="12.6" customHeight="1">
      <c r="E50" s="452" t="s">
        <v>1604</v>
      </c>
      <c r="H50" s="1284" t="s">
        <v>4070</v>
      </c>
      <c r="I50" s="1333"/>
      <c r="J50" s="1333"/>
      <c r="K50" s="1333"/>
      <c r="L50" s="1333"/>
      <c r="M50" s="1333"/>
      <c r="N50" s="1334"/>
      <c r="O50" s="826" t="s">
        <v>2315</v>
      </c>
      <c r="P50" s="826"/>
      <c r="Q50" s="1284" t="s">
        <v>4076</v>
      </c>
      <c r="R50" s="1333"/>
      <c r="S50" s="1334"/>
    </row>
    <row r="51" spans="1:19" s="452" customFormat="1" ht="12.6" customHeight="1">
      <c r="D51" s="501"/>
      <c r="E51" s="458" t="s">
        <v>1070</v>
      </c>
      <c r="F51" s="466"/>
      <c r="H51" s="1284" t="s">
        <v>4077</v>
      </c>
      <c r="I51" s="1333"/>
      <c r="J51" s="1333"/>
      <c r="K51" s="1333"/>
      <c r="L51" s="1333"/>
      <c r="M51" s="1333"/>
      <c r="N51" s="1334"/>
      <c r="O51" s="826" t="s">
        <v>2077</v>
      </c>
      <c r="Q51" s="1284" t="s">
        <v>4078</v>
      </c>
      <c r="R51" s="1333"/>
      <c r="S51" s="1334"/>
    </row>
    <row r="52" spans="1:19" s="452" customFormat="1" ht="12.6" customHeight="1">
      <c r="D52" s="501"/>
      <c r="E52" s="458" t="s">
        <v>842</v>
      </c>
      <c r="H52" s="1284" t="s">
        <v>1301</v>
      </c>
      <c r="I52" s="1333"/>
      <c r="J52" s="1334"/>
      <c r="O52" s="826" t="s">
        <v>2135</v>
      </c>
      <c r="Q52" s="1292">
        <v>4048765895</v>
      </c>
      <c r="R52" s="1297"/>
      <c r="S52" s="1293"/>
    </row>
    <row r="53" spans="1:19" s="452" customFormat="1" ht="12.6" customHeight="1">
      <c r="E53" s="458" t="s">
        <v>2131</v>
      </c>
      <c r="H53" s="1298" t="s">
        <v>156</v>
      </c>
      <c r="I53" s="486" t="s">
        <v>2986</v>
      </c>
      <c r="J53" s="1295">
        <v>303030000</v>
      </c>
      <c r="K53" s="1334"/>
      <c r="O53" s="826" t="s">
        <v>2304</v>
      </c>
      <c r="Q53" s="1292">
        <v>4048765895</v>
      </c>
      <c r="R53" s="1297"/>
      <c r="S53" s="1293"/>
    </row>
    <row r="54" spans="1:19" s="452" customFormat="1" ht="12.6" customHeight="1">
      <c r="D54" s="501"/>
      <c r="E54" s="458" t="s">
        <v>2310</v>
      </c>
      <c r="H54" s="1292">
        <v>4048765895</v>
      </c>
      <c r="I54" s="1293"/>
      <c r="J54" s="1363"/>
      <c r="K54" s="838" t="s">
        <v>2134</v>
      </c>
      <c r="L54" s="1321">
        <v>4045212355</v>
      </c>
      <c r="M54" s="1334"/>
      <c r="N54" s="460" t="s">
        <v>2309</v>
      </c>
      <c r="O54" s="1299" t="s">
        <v>4080</v>
      </c>
      <c r="P54" s="1300"/>
      <c r="Q54" s="1300"/>
      <c r="R54" s="1300"/>
      <c r="S54" s="1301"/>
    </row>
    <row r="55" spans="1:19" ht="13.15" customHeight="1"/>
    <row r="56" spans="1:19" s="452" customFormat="1" ht="13.15" customHeight="1">
      <c r="A56" s="455" t="s">
        <v>2774</v>
      </c>
      <c r="B56" s="455" t="s">
        <v>883</v>
      </c>
      <c r="F56" s="455"/>
      <c r="G56" s="838"/>
      <c r="H56" s="838"/>
      <c r="I56" s="838"/>
      <c r="J56" s="830"/>
      <c r="K56" s="830"/>
      <c r="L56" s="830"/>
      <c r="M56" s="830"/>
      <c r="N56" s="830"/>
      <c r="O56" s="830"/>
      <c r="P56" s="830"/>
      <c r="Q56" s="830"/>
      <c r="R56" s="830"/>
      <c r="S56" s="830"/>
    </row>
    <row r="57" spans="1:19" s="452" customFormat="1" ht="9" customHeight="1">
      <c r="A57" s="455"/>
      <c r="B57" s="455"/>
      <c r="F57" s="455"/>
      <c r="G57" s="838"/>
      <c r="H57" s="1366"/>
      <c r="I57" s="1366"/>
      <c r="J57" s="1366"/>
      <c r="K57" s="828"/>
      <c r="L57" s="1366"/>
      <c r="M57" s="1366"/>
      <c r="N57" s="828"/>
      <c r="O57" s="861"/>
      <c r="P57" s="861"/>
      <c r="Q57" s="838"/>
      <c r="R57" s="861"/>
      <c r="S57" s="861"/>
    </row>
    <row r="58" spans="1:19" s="452" customFormat="1" ht="13.15" customHeight="1">
      <c r="B58" s="455" t="s">
        <v>2308</v>
      </c>
      <c r="C58" s="455" t="s">
        <v>2284</v>
      </c>
      <c r="H58" s="1284" t="s">
        <v>4070</v>
      </c>
      <c r="I58" s="1333"/>
      <c r="J58" s="1333"/>
      <c r="K58" s="1333"/>
      <c r="L58" s="1333"/>
      <c r="M58" s="1333"/>
      <c r="N58" s="1334"/>
      <c r="O58" s="826" t="s">
        <v>2315</v>
      </c>
      <c r="P58" s="826"/>
      <c r="Q58" s="1284" t="s">
        <v>4076</v>
      </c>
      <c r="R58" s="1333"/>
      <c r="S58" s="1334"/>
    </row>
    <row r="59" spans="1:19" s="452" customFormat="1" ht="13.15" customHeight="1">
      <c r="D59" s="501"/>
      <c r="E59" s="458" t="s">
        <v>1070</v>
      </c>
      <c r="F59" s="466"/>
      <c r="H59" s="1284" t="s">
        <v>4077</v>
      </c>
      <c r="I59" s="1333"/>
      <c r="J59" s="1333"/>
      <c r="K59" s="1333"/>
      <c r="L59" s="1333"/>
      <c r="M59" s="1333"/>
      <c r="N59" s="1334"/>
      <c r="O59" s="826" t="s">
        <v>2077</v>
      </c>
      <c r="Q59" s="1284" t="s">
        <v>4078</v>
      </c>
      <c r="R59" s="1333"/>
      <c r="S59" s="1334"/>
    </row>
    <row r="60" spans="1:19" s="452" customFormat="1" ht="13.15" customHeight="1">
      <c r="D60" s="501"/>
      <c r="E60" s="458" t="s">
        <v>842</v>
      </c>
      <c r="H60" s="1284" t="s">
        <v>1301</v>
      </c>
      <c r="I60" s="1333"/>
      <c r="J60" s="1334"/>
      <c r="O60" s="826" t="s">
        <v>2135</v>
      </c>
      <c r="Q60" s="1292">
        <v>4048765895</v>
      </c>
      <c r="R60" s="1297"/>
      <c r="S60" s="1293"/>
    </row>
    <row r="61" spans="1:19" s="452" customFormat="1" ht="13.15" customHeight="1">
      <c r="E61" s="458" t="s">
        <v>2131</v>
      </c>
      <c r="H61" s="1298" t="s">
        <v>156</v>
      </c>
      <c r="I61" s="486" t="s">
        <v>2986</v>
      </c>
      <c r="J61" s="1295">
        <v>303030000</v>
      </c>
      <c r="K61" s="1334"/>
      <c r="O61" s="826" t="s">
        <v>2304</v>
      </c>
      <c r="Q61" s="1292">
        <v>4048765895</v>
      </c>
      <c r="R61" s="1297"/>
      <c r="S61" s="1293"/>
    </row>
    <row r="62" spans="1:19" s="452" customFormat="1" ht="13.15" customHeight="1">
      <c r="D62" s="501"/>
      <c r="E62" s="458" t="s">
        <v>2310</v>
      </c>
      <c r="H62" s="1292">
        <v>4048765895</v>
      </c>
      <c r="I62" s="1293"/>
      <c r="J62" s="1363"/>
      <c r="K62" s="838" t="s">
        <v>2134</v>
      </c>
      <c r="L62" s="1321">
        <v>4045212355</v>
      </c>
      <c r="M62" s="1334"/>
      <c r="N62" s="460" t="s">
        <v>2309</v>
      </c>
      <c r="O62" s="1299" t="s">
        <v>4080</v>
      </c>
      <c r="P62" s="1300"/>
      <c r="Q62" s="1300"/>
      <c r="R62" s="1300"/>
      <c r="S62" s="1301"/>
    </row>
    <row r="63" spans="1:19" s="452" customFormat="1" ht="6.6" customHeight="1">
      <c r="D63" s="501"/>
      <c r="E63" s="830"/>
      <c r="F63" s="830"/>
      <c r="G63" s="826"/>
      <c r="H63" s="1367"/>
      <c r="I63" s="1367"/>
      <c r="J63" s="1367"/>
      <c r="K63" s="838"/>
      <c r="L63" s="1367"/>
      <c r="M63" s="1367"/>
      <c r="N63" s="828"/>
      <c r="O63" s="861"/>
      <c r="P63" s="861"/>
      <c r="Q63" s="838"/>
      <c r="R63" s="861"/>
      <c r="S63" s="861"/>
    </row>
    <row r="64" spans="1:19" s="452" customFormat="1" ht="13.15" customHeight="1">
      <c r="B64" s="455" t="s">
        <v>2311</v>
      </c>
      <c r="C64" s="455" t="s">
        <v>2285</v>
      </c>
      <c r="H64" s="1284" t="s">
        <v>358</v>
      </c>
      <c r="I64" s="1333"/>
      <c r="J64" s="1333"/>
      <c r="K64" s="1333"/>
      <c r="L64" s="1333"/>
      <c r="M64" s="1333"/>
      <c r="N64" s="1334"/>
      <c r="O64" s="826" t="s">
        <v>2315</v>
      </c>
      <c r="P64" s="826"/>
      <c r="Q64" s="1284" t="s">
        <v>4071</v>
      </c>
      <c r="R64" s="1333"/>
      <c r="S64" s="1334"/>
    </row>
    <row r="65" spans="2:19" s="452" customFormat="1" ht="13.15" customHeight="1">
      <c r="D65" s="501"/>
      <c r="E65" s="458" t="s">
        <v>1070</v>
      </c>
      <c r="F65" s="466"/>
      <c r="H65" s="1284" t="s">
        <v>4072</v>
      </c>
      <c r="I65" s="1333"/>
      <c r="J65" s="1333"/>
      <c r="K65" s="1333"/>
      <c r="L65" s="1333"/>
      <c r="M65" s="1333"/>
      <c r="N65" s="1334"/>
      <c r="O65" s="826" t="s">
        <v>2077</v>
      </c>
      <c r="Q65" s="1284" t="s">
        <v>359</v>
      </c>
      <c r="R65" s="1333"/>
      <c r="S65" s="1334"/>
    </row>
    <row r="66" spans="2:19" s="452" customFormat="1" ht="13.15" customHeight="1">
      <c r="D66" s="501"/>
      <c r="E66" s="458" t="s">
        <v>842</v>
      </c>
      <c r="H66" s="1284" t="s">
        <v>4074</v>
      </c>
      <c r="I66" s="1333"/>
      <c r="J66" s="1334"/>
      <c r="O66" s="826" t="s">
        <v>2135</v>
      </c>
      <c r="Q66" s="1292">
        <v>9419291270</v>
      </c>
      <c r="R66" s="1297"/>
      <c r="S66" s="1293"/>
    </row>
    <row r="67" spans="2:19" s="452" customFormat="1" ht="13.15" customHeight="1">
      <c r="E67" s="458" t="s">
        <v>2131</v>
      </c>
      <c r="H67" s="1298" t="s">
        <v>155</v>
      </c>
      <c r="I67" s="486" t="s">
        <v>2986</v>
      </c>
      <c r="J67" s="1295">
        <v>342310000</v>
      </c>
      <c r="K67" s="1334"/>
      <c r="O67" s="826" t="s">
        <v>2304</v>
      </c>
      <c r="Q67" s="1292">
        <v>9412282185</v>
      </c>
      <c r="R67" s="1297"/>
      <c r="S67" s="1293"/>
    </row>
    <row r="68" spans="2:19" s="452" customFormat="1" ht="13.15" customHeight="1">
      <c r="D68" s="501"/>
      <c r="E68" s="458" t="s">
        <v>2310</v>
      </c>
      <c r="H68" s="1292">
        <v>9419291270</v>
      </c>
      <c r="I68" s="1293"/>
      <c r="J68" s="1363">
        <v>110</v>
      </c>
      <c r="K68" s="838" t="s">
        <v>2134</v>
      </c>
      <c r="L68" s="1321">
        <v>9419291271</v>
      </c>
      <c r="M68" s="1334"/>
      <c r="N68" s="460" t="s">
        <v>2309</v>
      </c>
      <c r="O68" s="1299" t="s">
        <v>4075</v>
      </c>
      <c r="P68" s="1300"/>
      <c r="Q68" s="1300"/>
      <c r="R68" s="1300"/>
      <c r="S68" s="1301"/>
    </row>
    <row r="69" spans="2:19" s="452" customFormat="1" ht="6.6" customHeight="1">
      <c r="D69" s="501"/>
      <c r="E69" s="830"/>
      <c r="F69" s="830"/>
      <c r="G69" s="826"/>
      <c r="H69" s="1367"/>
      <c r="I69" s="1367"/>
      <c r="J69" s="1367"/>
      <c r="K69" s="838"/>
      <c r="L69" s="1367"/>
      <c r="M69" s="1367"/>
      <c r="N69" s="828"/>
      <c r="O69" s="861"/>
      <c r="P69" s="861"/>
      <c r="Q69" s="838"/>
      <c r="R69" s="861"/>
      <c r="S69" s="861"/>
    </row>
    <row r="70" spans="2:19" s="452" customFormat="1" ht="13.15" customHeight="1">
      <c r="B70" s="455" t="s">
        <v>2783</v>
      </c>
      <c r="C70" s="455" t="s">
        <v>3490</v>
      </c>
      <c r="H70" s="1284" t="s">
        <v>889</v>
      </c>
      <c r="I70" s="1333"/>
      <c r="J70" s="1333"/>
      <c r="K70" s="1333"/>
      <c r="L70" s="1333"/>
      <c r="M70" s="1333"/>
      <c r="N70" s="1334"/>
      <c r="O70" s="826" t="s">
        <v>2315</v>
      </c>
      <c r="P70" s="826"/>
      <c r="Q70" s="1284" t="s">
        <v>890</v>
      </c>
      <c r="R70" s="1333"/>
      <c r="S70" s="1334"/>
    </row>
    <row r="71" spans="2:19" s="452" customFormat="1" ht="13.15" customHeight="1">
      <c r="D71" s="501"/>
      <c r="E71" s="458" t="s">
        <v>1070</v>
      </c>
      <c r="F71" s="466"/>
      <c r="H71" s="1284" t="s">
        <v>891</v>
      </c>
      <c r="I71" s="1333"/>
      <c r="J71" s="1333"/>
      <c r="K71" s="1333"/>
      <c r="L71" s="1333"/>
      <c r="M71" s="1333"/>
      <c r="N71" s="1334"/>
      <c r="O71" s="826" t="s">
        <v>2077</v>
      </c>
      <c r="Q71" s="1284" t="s">
        <v>4078</v>
      </c>
      <c r="R71" s="1333"/>
      <c r="S71" s="1334"/>
    </row>
    <row r="72" spans="2:19" s="452" customFormat="1" ht="13.15" customHeight="1">
      <c r="D72" s="501"/>
      <c r="E72" s="458" t="s">
        <v>842</v>
      </c>
      <c r="H72" s="1284" t="s">
        <v>1402</v>
      </c>
      <c r="I72" s="1333"/>
      <c r="J72" s="1334"/>
      <c r="O72" s="826" t="s">
        <v>2135</v>
      </c>
      <c r="Q72" s="1292">
        <v>7067379879</v>
      </c>
      <c r="R72" s="1297"/>
      <c r="S72" s="1293"/>
    </row>
    <row r="73" spans="2:19" s="452" customFormat="1" ht="13.15" customHeight="1">
      <c r="E73" s="458" t="s">
        <v>2131</v>
      </c>
      <c r="H73" s="1298" t="s">
        <v>156</v>
      </c>
      <c r="I73" s="486" t="s">
        <v>2986</v>
      </c>
      <c r="J73" s="1295">
        <v>309040000</v>
      </c>
      <c r="K73" s="1334"/>
      <c r="O73" s="826" t="s">
        <v>2304</v>
      </c>
      <c r="Q73" s="1292">
        <v>7069104768</v>
      </c>
      <c r="R73" s="1297"/>
      <c r="S73" s="1293"/>
    </row>
    <row r="74" spans="2:19" s="452" customFormat="1" ht="13.15" customHeight="1">
      <c r="D74" s="501"/>
      <c r="E74" s="458" t="s">
        <v>2310</v>
      </c>
      <c r="H74" s="1292">
        <v>7067379879</v>
      </c>
      <c r="I74" s="1293"/>
      <c r="J74" s="1363"/>
      <c r="K74" s="838" t="s">
        <v>2134</v>
      </c>
      <c r="L74" s="1321">
        <v>7067399830</v>
      </c>
      <c r="M74" s="1334"/>
      <c r="N74" s="460" t="s">
        <v>2309</v>
      </c>
      <c r="O74" s="1299" t="s">
        <v>892</v>
      </c>
      <c r="P74" s="1300"/>
      <c r="Q74" s="1300"/>
      <c r="R74" s="1300"/>
      <c r="S74" s="1301"/>
    </row>
    <row r="75" spans="2:19" ht="6.6" customHeight="1">
      <c r="H75" s="1367"/>
      <c r="I75" s="1367"/>
      <c r="J75" s="1367"/>
      <c r="K75" s="838"/>
      <c r="L75" s="1367"/>
      <c r="M75" s="1367"/>
      <c r="N75" s="828"/>
      <c r="O75" s="861"/>
      <c r="P75" s="861"/>
      <c r="Q75" s="838"/>
      <c r="R75" s="861"/>
      <c r="S75" s="861"/>
    </row>
    <row r="76" spans="2:19" s="452" customFormat="1" ht="13.15" customHeight="1">
      <c r="B76" s="455" t="s">
        <v>2482</v>
      </c>
      <c r="C76" s="455" t="s">
        <v>2286</v>
      </c>
      <c r="H76" s="1284" t="s">
        <v>4081</v>
      </c>
      <c r="I76" s="1333"/>
      <c r="J76" s="1333"/>
      <c r="K76" s="1333"/>
      <c r="L76" s="1333"/>
      <c r="M76" s="1333"/>
      <c r="N76" s="1334"/>
      <c r="O76" s="826" t="s">
        <v>2315</v>
      </c>
      <c r="P76" s="826"/>
      <c r="Q76" s="1284"/>
      <c r="R76" s="1333"/>
      <c r="S76" s="1334"/>
    </row>
    <row r="77" spans="2:19" s="452" customFormat="1" ht="13.15" customHeight="1">
      <c r="D77" s="501"/>
      <c r="E77" s="458" t="s">
        <v>1070</v>
      </c>
      <c r="F77" s="466"/>
      <c r="H77" s="1284"/>
      <c r="I77" s="1333"/>
      <c r="J77" s="1333"/>
      <c r="K77" s="1333"/>
      <c r="L77" s="1333"/>
      <c r="M77" s="1333"/>
      <c r="N77" s="1334"/>
      <c r="O77" s="826" t="s">
        <v>2077</v>
      </c>
      <c r="Q77" s="1284"/>
      <c r="R77" s="1333"/>
      <c r="S77" s="1334"/>
    </row>
    <row r="78" spans="2:19" s="452" customFormat="1" ht="13.15" customHeight="1">
      <c r="D78" s="501"/>
      <c r="E78" s="458" t="s">
        <v>842</v>
      </c>
      <c r="H78" s="1284"/>
      <c r="I78" s="1333"/>
      <c r="J78" s="1334"/>
      <c r="O78" s="826" t="s">
        <v>2135</v>
      </c>
      <c r="Q78" s="1292"/>
      <c r="R78" s="1297"/>
      <c r="S78" s="1293"/>
    </row>
    <row r="79" spans="2:19" s="452" customFormat="1" ht="13.15" customHeight="1">
      <c r="E79" s="458" t="s">
        <v>2131</v>
      </c>
      <c r="H79" s="1298"/>
      <c r="I79" s="486" t="s">
        <v>2986</v>
      </c>
      <c r="J79" s="1295"/>
      <c r="K79" s="1334"/>
      <c r="O79" s="826" t="s">
        <v>2304</v>
      </c>
      <c r="Q79" s="1292"/>
      <c r="R79" s="1297"/>
      <c r="S79" s="1293"/>
    </row>
    <row r="80" spans="2:19" s="452" customFormat="1" ht="13.15" customHeight="1">
      <c r="D80" s="501"/>
      <c r="E80" s="458" t="s">
        <v>2310</v>
      </c>
      <c r="H80" s="1292"/>
      <c r="I80" s="1293"/>
      <c r="J80" s="1363"/>
      <c r="K80" s="838" t="s">
        <v>2134</v>
      </c>
      <c r="L80" s="1321"/>
      <c r="M80" s="1334"/>
      <c r="N80" s="460" t="s">
        <v>2309</v>
      </c>
      <c r="O80" s="1299"/>
      <c r="P80" s="1300"/>
      <c r="Q80" s="1300"/>
      <c r="R80" s="1300"/>
      <c r="S80" s="1301"/>
    </row>
    <row r="81" spans="1:19" ht="13.15" customHeight="1"/>
    <row r="82" spans="1:19" s="458" customFormat="1" ht="13.15" customHeight="1">
      <c r="A82" s="459" t="s">
        <v>2776</v>
      </c>
      <c r="B82" s="459" t="s">
        <v>381</v>
      </c>
      <c r="D82" s="459"/>
      <c r="E82" s="826"/>
      <c r="F82" s="397"/>
      <c r="G82" s="397"/>
      <c r="H82" s="397"/>
      <c r="I82" s="397"/>
      <c r="J82" s="397"/>
      <c r="K82" s="397"/>
      <c r="L82" s="397"/>
      <c r="M82" s="397"/>
    </row>
    <row r="83" spans="1:19" s="458" customFormat="1" ht="9" customHeight="1">
      <c r="A83" s="459"/>
      <c r="B83" s="459"/>
      <c r="D83" s="459"/>
      <c r="E83" s="826"/>
      <c r="F83" s="397"/>
      <c r="G83" s="397"/>
      <c r="H83" s="1366"/>
      <c r="I83" s="1366"/>
      <c r="J83" s="1366"/>
      <c r="K83" s="828"/>
      <c r="L83" s="1366"/>
      <c r="M83" s="1366"/>
      <c r="N83" s="828"/>
      <c r="O83" s="861"/>
      <c r="P83" s="861"/>
      <c r="Q83" s="838"/>
      <c r="R83" s="861"/>
      <c r="S83" s="861"/>
    </row>
    <row r="84" spans="1:19" s="452" customFormat="1" ht="13.15" customHeight="1">
      <c r="B84" s="455" t="s">
        <v>2308</v>
      </c>
      <c r="C84" s="455" t="s">
        <v>382</v>
      </c>
      <c r="H84" s="1284" t="s">
        <v>4081</v>
      </c>
      <c r="I84" s="1333"/>
      <c r="J84" s="1333"/>
      <c r="K84" s="1333"/>
      <c r="L84" s="1333"/>
      <c r="M84" s="1333"/>
      <c r="N84" s="1334"/>
      <c r="O84" s="826" t="s">
        <v>2315</v>
      </c>
      <c r="P84" s="826"/>
      <c r="Q84" s="1284"/>
      <c r="R84" s="1333"/>
      <c r="S84" s="1334"/>
    </row>
    <row r="85" spans="1:19" s="452" customFormat="1" ht="13.15" customHeight="1">
      <c r="D85" s="501"/>
      <c r="E85" s="458" t="s">
        <v>1070</v>
      </c>
      <c r="F85" s="466"/>
      <c r="H85" s="1284"/>
      <c r="I85" s="1333"/>
      <c r="J85" s="1333"/>
      <c r="K85" s="1333"/>
      <c r="L85" s="1333"/>
      <c r="M85" s="1333"/>
      <c r="N85" s="1334"/>
      <c r="O85" s="826" t="s">
        <v>2077</v>
      </c>
      <c r="Q85" s="1284"/>
      <c r="R85" s="1333"/>
      <c r="S85" s="1334"/>
    </row>
    <row r="86" spans="1:19" s="452" customFormat="1" ht="13.15" customHeight="1">
      <c r="D86" s="501"/>
      <c r="E86" s="458" t="s">
        <v>842</v>
      </c>
      <c r="H86" s="1284"/>
      <c r="I86" s="1333"/>
      <c r="J86" s="1334"/>
      <c r="O86" s="826" t="s">
        <v>2135</v>
      </c>
      <c r="Q86" s="1292"/>
      <c r="R86" s="1297"/>
      <c r="S86" s="1293"/>
    </row>
    <row r="87" spans="1:19" s="452" customFormat="1" ht="13.15" customHeight="1">
      <c r="E87" s="458" t="s">
        <v>2131</v>
      </c>
      <c r="H87" s="1298"/>
      <c r="I87" s="486" t="s">
        <v>2986</v>
      </c>
      <c r="J87" s="1295"/>
      <c r="K87" s="1334"/>
      <c r="O87" s="826" t="s">
        <v>2304</v>
      </c>
      <c r="Q87" s="1292"/>
      <c r="R87" s="1297"/>
      <c r="S87" s="1293"/>
    </row>
    <row r="88" spans="1:19" s="452" customFormat="1" ht="13.15" customHeight="1">
      <c r="D88" s="501"/>
      <c r="E88" s="458" t="s">
        <v>2310</v>
      </c>
      <c r="H88" s="1292"/>
      <c r="I88" s="1293"/>
      <c r="J88" s="1363"/>
      <c r="K88" s="838" t="s">
        <v>2134</v>
      </c>
      <c r="L88" s="1321"/>
      <c r="M88" s="1334"/>
      <c r="N88" s="460" t="s">
        <v>2309</v>
      </c>
      <c r="O88" s="1299"/>
      <c r="P88" s="1300"/>
      <c r="Q88" s="1300"/>
      <c r="R88" s="1300"/>
      <c r="S88" s="1301"/>
    </row>
    <row r="89" spans="1:19" ht="6.6" customHeight="1">
      <c r="H89" s="1367"/>
      <c r="I89" s="1367"/>
      <c r="J89" s="1367"/>
      <c r="K89" s="838"/>
      <c r="L89" s="1367"/>
      <c r="M89" s="1367"/>
      <c r="N89" s="828"/>
      <c r="O89" s="861"/>
      <c r="P89" s="861"/>
      <c r="Q89" s="838"/>
      <c r="R89" s="861"/>
      <c r="S89" s="861"/>
    </row>
    <row r="90" spans="1:19" s="452" customFormat="1" ht="13.15" customHeight="1">
      <c r="B90" s="455" t="s">
        <v>2311</v>
      </c>
      <c r="C90" s="455" t="s">
        <v>383</v>
      </c>
      <c r="H90" s="1284" t="s">
        <v>1086</v>
      </c>
      <c r="I90" s="1333"/>
      <c r="J90" s="1333"/>
      <c r="K90" s="1333"/>
      <c r="L90" s="1333"/>
      <c r="M90" s="1333"/>
      <c r="N90" s="1334"/>
      <c r="O90" s="826" t="s">
        <v>2315</v>
      </c>
      <c r="P90" s="826"/>
      <c r="Q90" s="1284" t="s">
        <v>1088</v>
      </c>
      <c r="R90" s="1333"/>
      <c r="S90" s="1334"/>
    </row>
    <row r="91" spans="1:19" s="452" customFormat="1" ht="13.15" customHeight="1">
      <c r="D91" s="501"/>
      <c r="E91" s="458" t="s">
        <v>1070</v>
      </c>
      <c r="F91" s="466"/>
      <c r="H91" s="1284" t="s">
        <v>1087</v>
      </c>
      <c r="I91" s="1333"/>
      <c r="J91" s="1333"/>
      <c r="K91" s="1333"/>
      <c r="L91" s="1333"/>
      <c r="M91" s="1333"/>
      <c r="N91" s="1334"/>
      <c r="O91" s="826" t="s">
        <v>2077</v>
      </c>
      <c r="Q91" s="1284" t="s">
        <v>1089</v>
      </c>
      <c r="R91" s="1333"/>
      <c r="S91" s="1334"/>
    </row>
    <row r="92" spans="1:19" s="452" customFormat="1" ht="13.15" customHeight="1">
      <c r="D92" s="501"/>
      <c r="E92" s="458" t="s">
        <v>842</v>
      </c>
      <c r="H92" s="1284" t="s">
        <v>4074</v>
      </c>
      <c r="I92" s="1333"/>
      <c r="J92" s="1334"/>
      <c r="O92" s="826" t="s">
        <v>2135</v>
      </c>
      <c r="Q92" s="1292"/>
      <c r="R92" s="1297"/>
      <c r="S92" s="1293"/>
    </row>
    <row r="93" spans="1:19" s="452" customFormat="1" ht="13.15" customHeight="1">
      <c r="E93" s="458" t="s">
        <v>2131</v>
      </c>
      <c r="H93" s="1298" t="s">
        <v>155</v>
      </c>
      <c r="I93" s="486" t="s">
        <v>2986</v>
      </c>
      <c r="J93" s="1295">
        <v>342400000</v>
      </c>
      <c r="K93" s="1334"/>
      <c r="O93" s="826" t="s">
        <v>2304</v>
      </c>
      <c r="Q93" s="1292"/>
      <c r="R93" s="1297"/>
      <c r="S93" s="1293"/>
    </row>
    <row r="94" spans="1:19" s="452" customFormat="1" ht="13.15" customHeight="1">
      <c r="D94" s="501"/>
      <c r="E94" s="458" t="s">
        <v>2310</v>
      </c>
      <c r="H94" s="1292">
        <v>9415520240</v>
      </c>
      <c r="I94" s="1293"/>
      <c r="J94" s="1363"/>
      <c r="K94" s="838" t="s">
        <v>2134</v>
      </c>
      <c r="L94" s="1321">
        <v>9415520245</v>
      </c>
      <c r="M94" s="1334"/>
      <c r="N94" s="460" t="s">
        <v>2309</v>
      </c>
      <c r="O94" s="1299" t="s">
        <v>1090</v>
      </c>
      <c r="P94" s="1300"/>
      <c r="Q94" s="1300"/>
      <c r="R94" s="1300"/>
      <c r="S94" s="1301"/>
    </row>
    <row r="95" spans="1:19" ht="6.6" customHeight="1">
      <c r="H95" s="1367"/>
      <c r="I95" s="1367"/>
      <c r="J95" s="1367"/>
      <c r="K95" s="838"/>
      <c r="L95" s="1367"/>
      <c r="M95" s="1367"/>
      <c r="N95" s="828"/>
      <c r="O95" s="861"/>
      <c r="P95" s="861"/>
      <c r="Q95" s="838"/>
      <c r="R95" s="861"/>
      <c r="S95" s="861"/>
    </row>
    <row r="96" spans="1:19" s="452" customFormat="1" ht="13.15" customHeight="1">
      <c r="B96" s="455" t="s">
        <v>2783</v>
      </c>
      <c r="C96" s="455" t="s">
        <v>384</v>
      </c>
      <c r="F96" s="475"/>
      <c r="H96" s="1284" t="s">
        <v>355</v>
      </c>
      <c r="I96" s="1333"/>
      <c r="J96" s="1333"/>
      <c r="K96" s="1333"/>
      <c r="L96" s="1333"/>
      <c r="M96" s="1333"/>
      <c r="N96" s="1334"/>
      <c r="O96" s="826" t="s">
        <v>2315</v>
      </c>
      <c r="P96" s="826"/>
      <c r="Q96" s="1284" t="s">
        <v>356</v>
      </c>
      <c r="R96" s="1333"/>
      <c r="S96" s="1334"/>
    </row>
    <row r="97" spans="2:19" s="452" customFormat="1" ht="13.15" customHeight="1">
      <c r="D97" s="501"/>
      <c r="E97" s="458" t="s">
        <v>1070</v>
      </c>
      <c r="F97" s="466"/>
      <c r="H97" s="1284" t="s">
        <v>1103</v>
      </c>
      <c r="I97" s="1333"/>
      <c r="J97" s="1333"/>
      <c r="K97" s="1333"/>
      <c r="L97" s="1333"/>
      <c r="M97" s="1333"/>
      <c r="N97" s="1334"/>
      <c r="O97" s="826" t="s">
        <v>2077</v>
      </c>
      <c r="Q97" s="1284" t="s">
        <v>1104</v>
      </c>
      <c r="R97" s="1333"/>
      <c r="S97" s="1334"/>
    </row>
    <row r="98" spans="2:19" s="452" customFormat="1" ht="13.15" customHeight="1">
      <c r="D98" s="501"/>
      <c r="E98" s="458" t="s">
        <v>842</v>
      </c>
      <c r="H98" s="1284" t="s">
        <v>1402</v>
      </c>
      <c r="I98" s="1333"/>
      <c r="J98" s="1334"/>
      <c r="O98" s="826" t="s">
        <v>2135</v>
      </c>
      <c r="Q98" s="1292">
        <v>7067374401</v>
      </c>
      <c r="R98" s="1297"/>
      <c r="S98" s="1293"/>
    </row>
    <row r="99" spans="2:19" s="452" customFormat="1" ht="13.15" customHeight="1">
      <c r="D99" s="501"/>
      <c r="E99" s="458" t="s">
        <v>2131</v>
      </c>
      <c r="H99" s="1298" t="s">
        <v>156</v>
      </c>
      <c r="I99" s="486" t="s">
        <v>2986</v>
      </c>
      <c r="J99" s="1295">
        <v>309092497</v>
      </c>
      <c r="K99" s="1334"/>
      <c r="O99" s="826" t="s">
        <v>2304</v>
      </c>
      <c r="Q99" s="1292"/>
      <c r="R99" s="1297"/>
      <c r="S99" s="1293"/>
    </row>
    <row r="100" spans="2:19" s="452" customFormat="1" ht="13.15" customHeight="1">
      <c r="D100" s="501"/>
      <c r="E100" s="458" t="s">
        <v>2310</v>
      </c>
      <c r="H100" s="1292">
        <v>7067374401</v>
      </c>
      <c r="I100" s="1293"/>
      <c r="J100" s="1363"/>
      <c r="K100" s="838" t="s">
        <v>2134</v>
      </c>
      <c r="L100" s="1321"/>
      <c r="M100" s="1334"/>
      <c r="N100" s="460" t="s">
        <v>2309</v>
      </c>
      <c r="O100" s="1299" t="s">
        <v>1102</v>
      </c>
      <c r="P100" s="1300"/>
      <c r="Q100" s="1300"/>
      <c r="R100" s="1300"/>
      <c r="S100" s="1301"/>
    </row>
    <row r="101" spans="2:19" ht="6.6" customHeight="1">
      <c r="H101" s="1367"/>
      <c r="I101" s="1367"/>
      <c r="J101" s="1367"/>
      <c r="K101" s="838"/>
      <c r="L101" s="1367"/>
      <c r="M101" s="1367"/>
      <c r="N101" s="828"/>
      <c r="O101" s="861"/>
      <c r="P101" s="861"/>
      <c r="Q101" s="838"/>
      <c r="R101" s="861"/>
      <c r="S101" s="861"/>
    </row>
    <row r="102" spans="2:19" s="452" customFormat="1" ht="13.15" customHeight="1">
      <c r="B102" s="455" t="s">
        <v>2482</v>
      </c>
      <c r="C102" s="455" t="s">
        <v>385</v>
      </c>
      <c r="H102" s="1284" t="s">
        <v>1091</v>
      </c>
      <c r="I102" s="1333"/>
      <c r="J102" s="1333"/>
      <c r="K102" s="1333"/>
      <c r="L102" s="1333"/>
      <c r="M102" s="1333"/>
      <c r="N102" s="1334"/>
      <c r="O102" s="826" t="s">
        <v>2315</v>
      </c>
      <c r="P102" s="826"/>
      <c r="Q102" s="1284" t="s">
        <v>1093</v>
      </c>
      <c r="R102" s="1333"/>
      <c r="S102" s="1334"/>
    </row>
    <row r="103" spans="2:19" s="452" customFormat="1" ht="13.15" customHeight="1">
      <c r="D103" s="501"/>
      <c r="E103" s="458" t="s">
        <v>1070</v>
      </c>
      <c r="F103" s="466"/>
      <c r="H103" s="1284" t="s">
        <v>1092</v>
      </c>
      <c r="I103" s="1333"/>
      <c r="J103" s="1333"/>
      <c r="K103" s="1333"/>
      <c r="L103" s="1333"/>
      <c r="M103" s="1333"/>
      <c r="N103" s="1334"/>
      <c r="O103" s="826" t="s">
        <v>2077</v>
      </c>
      <c r="Q103" s="1284" t="s">
        <v>1094</v>
      </c>
      <c r="R103" s="1333"/>
      <c r="S103" s="1334"/>
    </row>
    <row r="104" spans="2:19" s="452" customFormat="1" ht="13.15" customHeight="1">
      <c r="D104" s="501"/>
      <c r="E104" s="458" t="s">
        <v>842</v>
      </c>
      <c r="H104" s="1284" t="s">
        <v>1095</v>
      </c>
      <c r="I104" s="1333"/>
      <c r="J104" s="1334"/>
      <c r="O104" s="826" t="s">
        <v>2135</v>
      </c>
      <c r="Q104" s="1292"/>
      <c r="R104" s="1297"/>
      <c r="S104" s="1293"/>
    </row>
    <row r="105" spans="2:19" s="452" customFormat="1" ht="13.15" customHeight="1">
      <c r="D105" s="501"/>
      <c r="E105" s="458" t="s">
        <v>2131</v>
      </c>
      <c r="H105" s="1298" t="s">
        <v>155</v>
      </c>
      <c r="I105" s="486" t="s">
        <v>2986</v>
      </c>
      <c r="J105" s="1295">
        <v>328010000</v>
      </c>
      <c r="K105" s="1334"/>
      <c r="O105" s="826" t="s">
        <v>2304</v>
      </c>
      <c r="Q105" s="1292"/>
      <c r="R105" s="1297"/>
      <c r="S105" s="1293"/>
    </row>
    <row r="106" spans="2:19" ht="13.15" customHeight="1">
      <c r="E106" s="458" t="s">
        <v>2310</v>
      </c>
      <c r="F106" s="452"/>
      <c r="G106" s="452"/>
      <c r="H106" s="1292">
        <v>4078394276</v>
      </c>
      <c r="I106" s="1293"/>
      <c r="J106" s="1363"/>
      <c r="K106" s="838" t="s">
        <v>2134</v>
      </c>
      <c r="L106" s="1321">
        <v>4076500928</v>
      </c>
      <c r="M106" s="1334"/>
      <c r="N106" s="460" t="s">
        <v>2309</v>
      </c>
      <c r="O106" s="1299" t="s">
        <v>1096</v>
      </c>
      <c r="P106" s="1300"/>
      <c r="Q106" s="1300"/>
      <c r="R106" s="1300"/>
      <c r="S106" s="1301"/>
    </row>
    <row r="107" spans="2:19" ht="6" customHeight="1">
      <c r="E107" s="458"/>
      <c r="F107" s="452"/>
      <c r="G107" s="452"/>
      <c r="H107" s="452"/>
      <c r="I107" s="452"/>
      <c r="J107" s="452"/>
      <c r="K107" s="452"/>
      <c r="L107" s="452"/>
      <c r="M107" s="452"/>
      <c r="N107" s="452"/>
      <c r="O107" s="452"/>
      <c r="P107" s="452"/>
      <c r="Q107" s="838"/>
      <c r="R107" s="838"/>
      <c r="S107" s="1368"/>
    </row>
    <row r="108" spans="2:19" ht="0.6" customHeight="1">
      <c r="E108" s="458"/>
      <c r="F108" s="452"/>
      <c r="G108" s="830"/>
      <c r="H108" s="1366"/>
      <c r="I108" s="1366"/>
      <c r="J108" s="1366"/>
      <c r="K108" s="828"/>
      <c r="L108" s="1366"/>
      <c r="M108" s="1366"/>
      <c r="N108" s="828"/>
      <c r="O108" s="861"/>
      <c r="P108" s="861"/>
      <c r="Q108" s="838"/>
      <c r="R108" s="861"/>
      <c r="S108" s="861"/>
    </row>
    <row r="109" spans="2:19" s="452" customFormat="1" ht="13.15" customHeight="1">
      <c r="B109" s="455" t="s">
        <v>3745</v>
      </c>
      <c r="C109" s="455" t="s">
        <v>386</v>
      </c>
      <c r="H109" s="1284" t="s">
        <v>4082</v>
      </c>
      <c r="I109" s="1333"/>
      <c r="J109" s="1333"/>
      <c r="K109" s="1333"/>
      <c r="L109" s="1333"/>
      <c r="M109" s="1333"/>
      <c r="N109" s="1334"/>
      <c r="O109" s="826" t="s">
        <v>2315</v>
      </c>
      <c r="P109" s="826"/>
      <c r="Q109" s="1284" t="s">
        <v>1098</v>
      </c>
      <c r="R109" s="1333"/>
      <c r="S109" s="1334"/>
    </row>
    <row r="110" spans="2:19" s="452" customFormat="1" ht="13.15" customHeight="1">
      <c r="D110" s="501"/>
      <c r="E110" s="458" t="s">
        <v>1070</v>
      </c>
      <c r="F110" s="466"/>
      <c r="H110" s="1284" t="s">
        <v>1097</v>
      </c>
      <c r="I110" s="1333"/>
      <c r="J110" s="1333"/>
      <c r="K110" s="1333"/>
      <c r="L110" s="1333"/>
      <c r="M110" s="1333"/>
      <c r="N110" s="1334"/>
      <c r="O110" s="826" t="s">
        <v>2077</v>
      </c>
      <c r="Q110" s="1284" t="s">
        <v>1099</v>
      </c>
      <c r="R110" s="1333"/>
      <c r="S110" s="1334"/>
    </row>
    <row r="111" spans="2:19" s="452" customFormat="1" ht="13.15" customHeight="1">
      <c r="D111" s="501"/>
      <c r="E111" s="458" t="s">
        <v>842</v>
      </c>
      <c r="H111" s="1284" t="s">
        <v>1100</v>
      </c>
      <c r="I111" s="1333"/>
      <c r="J111" s="1334"/>
      <c r="O111" s="826" t="s">
        <v>2135</v>
      </c>
      <c r="Q111" s="1292"/>
      <c r="R111" s="1297"/>
      <c r="S111" s="1293"/>
    </row>
    <row r="112" spans="2:19" s="452" customFormat="1" ht="13.15" customHeight="1">
      <c r="D112" s="501"/>
      <c r="E112" s="458" t="s">
        <v>2131</v>
      </c>
      <c r="H112" s="1298" t="s">
        <v>1422</v>
      </c>
      <c r="I112" s="486" t="s">
        <v>2986</v>
      </c>
      <c r="J112" s="1295">
        <v>282020000</v>
      </c>
      <c r="K112" s="1334"/>
      <c r="O112" s="826" t="s">
        <v>2304</v>
      </c>
      <c r="Q112" s="1292"/>
      <c r="R112" s="1297"/>
      <c r="S112" s="1293"/>
    </row>
    <row r="113" spans="1:19" ht="13.15" customHeight="1">
      <c r="E113" s="458" t="s">
        <v>2310</v>
      </c>
      <c r="F113" s="452"/>
      <c r="G113" s="452"/>
      <c r="H113" s="1292">
        <v>7042959394</v>
      </c>
      <c r="I113" s="1293"/>
      <c r="J113" s="1363"/>
      <c r="K113" s="838" t="s">
        <v>2134</v>
      </c>
      <c r="L113" s="1321">
        <v>7042959395</v>
      </c>
      <c r="M113" s="1334"/>
      <c r="N113" s="460" t="s">
        <v>2309</v>
      </c>
      <c r="O113" s="1299" t="s">
        <v>1101</v>
      </c>
      <c r="P113" s="1300"/>
      <c r="Q113" s="1300"/>
      <c r="R113" s="1300"/>
      <c r="S113" s="1301"/>
    </row>
    <row r="114" spans="1:19" ht="6.6" customHeight="1">
      <c r="E114" s="458"/>
      <c r="F114" s="452"/>
      <c r="G114" s="830"/>
      <c r="H114" s="1367"/>
      <c r="I114" s="1367"/>
      <c r="J114" s="1367"/>
      <c r="K114" s="838"/>
      <c r="L114" s="1367"/>
      <c r="M114" s="1367"/>
      <c r="N114" s="828"/>
      <c r="O114" s="861"/>
      <c r="P114" s="861"/>
      <c r="Q114" s="838"/>
      <c r="R114" s="861"/>
      <c r="S114" s="861"/>
    </row>
    <row r="115" spans="1:19" s="452" customFormat="1" ht="13.15" customHeight="1">
      <c r="B115" s="455" t="s">
        <v>3746</v>
      </c>
      <c r="C115" s="455" t="s">
        <v>387</v>
      </c>
      <c r="H115" s="1284" t="s">
        <v>4116</v>
      </c>
      <c r="I115" s="1333"/>
      <c r="J115" s="1333"/>
      <c r="K115" s="1333"/>
      <c r="L115" s="1333"/>
      <c r="M115" s="1333"/>
      <c r="N115" s="1334"/>
      <c r="O115" s="826" t="s">
        <v>2315</v>
      </c>
      <c r="P115" s="826"/>
      <c r="Q115" s="1284" t="s">
        <v>4117</v>
      </c>
      <c r="R115" s="1333"/>
      <c r="S115" s="1334"/>
    </row>
    <row r="116" spans="1:19" s="452" customFormat="1" ht="13.15" customHeight="1">
      <c r="D116" s="501"/>
      <c r="E116" s="458" t="s">
        <v>1070</v>
      </c>
      <c r="F116" s="466"/>
      <c r="H116" s="1284" t="s">
        <v>4118</v>
      </c>
      <c r="I116" s="1333"/>
      <c r="J116" s="1333"/>
      <c r="K116" s="1333"/>
      <c r="L116" s="1333"/>
      <c r="M116" s="1333"/>
      <c r="N116" s="1334"/>
      <c r="O116" s="826" t="s">
        <v>2077</v>
      </c>
      <c r="Q116" s="1284" t="s">
        <v>1105</v>
      </c>
      <c r="R116" s="1333"/>
      <c r="S116" s="1334"/>
    </row>
    <row r="117" spans="1:19" s="452" customFormat="1" ht="13.15" customHeight="1">
      <c r="D117" s="501"/>
      <c r="E117" s="458" t="s">
        <v>842</v>
      </c>
      <c r="H117" s="1284" t="s">
        <v>1301</v>
      </c>
      <c r="I117" s="1333"/>
      <c r="J117" s="1334"/>
      <c r="O117" s="826" t="s">
        <v>2135</v>
      </c>
      <c r="Q117" s="1292">
        <v>4045841680</v>
      </c>
      <c r="R117" s="1297"/>
      <c r="S117" s="1293"/>
    </row>
    <row r="118" spans="1:19" s="452" customFormat="1" ht="13.15" customHeight="1">
      <c r="D118" s="506"/>
      <c r="E118" s="458" t="s">
        <v>2131</v>
      </c>
      <c r="H118" s="1298" t="s">
        <v>156</v>
      </c>
      <c r="I118" s="486" t="s">
        <v>2986</v>
      </c>
      <c r="J118" s="1295">
        <v>303030000</v>
      </c>
      <c r="K118" s="1334"/>
      <c r="O118" s="826" t="s">
        <v>2304</v>
      </c>
      <c r="Q118" s="1292"/>
      <c r="R118" s="1297"/>
      <c r="S118" s="1293"/>
    </row>
    <row r="119" spans="1:19" s="452" customFormat="1" ht="13.15" customHeight="1">
      <c r="D119" s="506"/>
      <c r="E119" s="458" t="s">
        <v>2310</v>
      </c>
      <c r="H119" s="1292">
        <v>4045841680</v>
      </c>
      <c r="I119" s="1293"/>
      <c r="J119" s="1363"/>
      <c r="K119" s="838" t="s">
        <v>2134</v>
      </c>
      <c r="L119" s="1321">
        <v>4945841695</v>
      </c>
      <c r="M119" s="1334"/>
      <c r="N119" s="460" t="s">
        <v>2309</v>
      </c>
      <c r="O119" s="1299" t="s">
        <v>4120</v>
      </c>
      <c r="P119" s="1300"/>
      <c r="Q119" s="1300"/>
      <c r="R119" s="1300"/>
      <c r="S119" s="1301"/>
    </row>
    <row r="120" spans="1:19" ht="13.15" customHeight="1"/>
    <row r="121" spans="1:19" s="452" customFormat="1" ht="13.15" customHeight="1">
      <c r="A121" s="455" t="s">
        <v>2124</v>
      </c>
      <c r="B121" s="455" t="s">
        <v>1151</v>
      </c>
      <c r="F121" s="455"/>
      <c r="G121" s="838"/>
      <c r="H121" s="838"/>
      <c r="I121" s="838"/>
      <c r="J121" s="838"/>
      <c r="K121" s="838"/>
      <c r="L121" s="838"/>
      <c r="M121" s="838"/>
      <c r="N121" s="838"/>
      <c r="O121" s="838"/>
      <c r="P121" s="838"/>
      <c r="Q121" s="825"/>
    </row>
    <row r="122" spans="1:19" s="452" customFormat="1" ht="6.6" customHeight="1">
      <c r="A122" s="455"/>
      <c r="B122" s="455"/>
      <c r="F122" s="455"/>
      <c r="G122" s="838"/>
      <c r="H122" s="838"/>
      <c r="I122" s="838"/>
      <c r="J122" s="838"/>
      <c r="K122" s="838"/>
      <c r="L122" s="838"/>
      <c r="M122" s="838"/>
      <c r="N122" s="838"/>
      <c r="O122" s="838"/>
      <c r="P122" s="838"/>
      <c r="Q122" s="825"/>
    </row>
    <row r="123" spans="1:19" s="452" customFormat="1" ht="21.6" customHeight="1">
      <c r="A123" s="913" t="s">
        <v>865</v>
      </c>
      <c r="B123" s="1369"/>
      <c r="C123" s="1369"/>
      <c r="D123" s="1370"/>
      <c r="E123" s="914" t="s">
        <v>2819</v>
      </c>
      <c r="F123" s="920" t="s">
        <v>2812</v>
      </c>
      <c r="G123" s="924" t="s">
        <v>2813</v>
      </c>
      <c r="H123" s="925"/>
      <c r="I123" s="926"/>
      <c r="J123" s="924" t="s">
        <v>2814</v>
      </c>
      <c r="K123" s="933"/>
      <c r="L123" s="924" t="s">
        <v>2815</v>
      </c>
      <c r="M123" s="938"/>
      <c r="N123" s="924" t="s">
        <v>2816</v>
      </c>
      <c r="O123" s="926"/>
      <c r="P123" s="924" t="s">
        <v>2817</v>
      </c>
      <c r="Q123" s="926"/>
      <c r="R123" s="924" t="s">
        <v>2818</v>
      </c>
      <c r="S123" s="943"/>
    </row>
    <row r="124" spans="1:19" s="452" customFormat="1" ht="21.6" customHeight="1">
      <c r="A124" s="1371"/>
      <c r="B124" s="1372"/>
      <c r="C124" s="1372"/>
      <c r="D124" s="1373"/>
      <c r="E124" s="915"/>
      <c r="F124" s="921"/>
      <c r="G124" s="927"/>
      <c r="H124" s="928"/>
      <c r="I124" s="929"/>
      <c r="J124" s="934"/>
      <c r="K124" s="935"/>
      <c r="L124" s="927"/>
      <c r="M124" s="939"/>
      <c r="N124" s="927"/>
      <c r="O124" s="929"/>
      <c r="P124" s="927"/>
      <c r="Q124" s="929"/>
      <c r="R124" s="927"/>
      <c r="S124" s="944"/>
    </row>
    <row r="125" spans="1:19" s="452" customFormat="1" ht="21.6" customHeight="1">
      <c r="A125" s="1371"/>
      <c r="B125" s="1372"/>
      <c r="C125" s="1372"/>
      <c r="D125" s="1373"/>
      <c r="E125" s="915"/>
      <c r="F125" s="922"/>
      <c r="G125" s="927"/>
      <c r="H125" s="928"/>
      <c r="I125" s="929"/>
      <c r="J125" s="934"/>
      <c r="K125" s="935"/>
      <c r="L125" s="940"/>
      <c r="M125" s="939"/>
      <c r="N125" s="927"/>
      <c r="O125" s="929"/>
      <c r="P125" s="927"/>
      <c r="Q125" s="929"/>
      <c r="R125" s="945"/>
      <c r="S125" s="944"/>
    </row>
    <row r="126" spans="1:19" s="452" customFormat="1" ht="21.6" customHeight="1">
      <c r="A126" s="1371"/>
      <c r="B126" s="1372"/>
      <c r="C126" s="1372"/>
      <c r="D126" s="1373"/>
      <c r="E126" s="915"/>
      <c r="F126" s="922"/>
      <c r="G126" s="927"/>
      <c r="H126" s="928"/>
      <c r="I126" s="929"/>
      <c r="J126" s="934"/>
      <c r="K126" s="935"/>
      <c r="L126" s="940"/>
      <c r="M126" s="939"/>
      <c r="N126" s="927"/>
      <c r="O126" s="929"/>
      <c r="P126" s="927"/>
      <c r="Q126" s="929"/>
      <c r="R126" s="945"/>
      <c r="S126" s="944"/>
    </row>
    <row r="127" spans="1:19" s="452" customFormat="1" ht="21.6" customHeight="1">
      <c r="A127" s="1374"/>
      <c r="B127" s="1375"/>
      <c r="C127" s="1375"/>
      <c r="D127" s="1376"/>
      <c r="E127" s="916"/>
      <c r="F127" s="923"/>
      <c r="G127" s="930"/>
      <c r="H127" s="931"/>
      <c r="I127" s="932"/>
      <c r="J127" s="936"/>
      <c r="K127" s="937"/>
      <c r="L127" s="941"/>
      <c r="M127" s="942"/>
      <c r="N127" s="930"/>
      <c r="O127" s="932"/>
      <c r="P127" s="930"/>
      <c r="Q127" s="932"/>
      <c r="R127" s="946"/>
      <c r="S127" s="947"/>
    </row>
    <row r="128" spans="1:19" s="452" customFormat="1" ht="13.9" customHeight="1">
      <c r="A128" s="833" t="s">
        <v>2811</v>
      </c>
      <c r="B128" s="834"/>
      <c r="C128" s="834"/>
      <c r="D128" s="841"/>
      <c r="E128" s="1377" t="s">
        <v>4061</v>
      </c>
      <c r="F128" s="1377" t="s">
        <v>4060</v>
      </c>
      <c r="G128" s="1378" t="s">
        <v>4061</v>
      </c>
      <c r="H128" s="1379"/>
      <c r="I128" s="1380"/>
      <c r="J128" s="1378" t="s">
        <v>4060</v>
      </c>
      <c r="K128" s="1380"/>
      <c r="L128" s="1378" t="s">
        <v>4061</v>
      </c>
      <c r="M128" s="1380"/>
      <c r="N128" s="1378" t="s">
        <v>4061</v>
      </c>
      <c r="O128" s="1380"/>
      <c r="P128" s="1381" t="s">
        <v>1147</v>
      </c>
      <c r="Q128" s="1382"/>
      <c r="R128" s="1383">
        <v>2.55E-5</v>
      </c>
      <c r="S128" s="1384"/>
    </row>
    <row r="129" spans="1:19" s="452" customFormat="1" ht="13.9" customHeight="1">
      <c r="A129" s="832" t="s">
        <v>2801</v>
      </c>
      <c r="B129" s="830"/>
      <c r="C129" s="830"/>
      <c r="D129" s="839"/>
      <c r="E129" s="1385" t="s">
        <v>4061</v>
      </c>
      <c r="F129" s="1385" t="s">
        <v>4061</v>
      </c>
      <c r="G129" s="1386" t="s">
        <v>4061</v>
      </c>
      <c r="H129" s="1387"/>
      <c r="I129" s="1388"/>
      <c r="J129" s="1386" t="s">
        <v>4060</v>
      </c>
      <c r="K129" s="1388"/>
      <c r="L129" s="1378" t="s">
        <v>4061</v>
      </c>
      <c r="M129" s="1380"/>
      <c r="N129" s="1378" t="s">
        <v>4061</v>
      </c>
      <c r="O129" s="1380"/>
      <c r="P129" s="1389" t="s">
        <v>4083</v>
      </c>
      <c r="Q129" s="1390"/>
      <c r="R129" s="1391">
        <v>4.8999999999999998E-5</v>
      </c>
      <c r="S129" s="1392"/>
    </row>
    <row r="130" spans="1:19" s="452" customFormat="1" ht="13.9" customHeight="1">
      <c r="A130" s="832" t="s">
        <v>2802</v>
      </c>
      <c r="B130" s="830"/>
      <c r="C130" s="830"/>
      <c r="D130" s="839"/>
      <c r="E130" s="1385" t="s">
        <v>4061</v>
      </c>
      <c r="F130" s="1385" t="s">
        <v>4060</v>
      </c>
      <c r="G130" s="1386" t="s">
        <v>4061</v>
      </c>
      <c r="H130" s="1387"/>
      <c r="I130" s="1388"/>
      <c r="J130" s="1386" t="s">
        <v>4060</v>
      </c>
      <c r="K130" s="1388"/>
      <c r="L130" s="1386" t="s">
        <v>4061</v>
      </c>
      <c r="M130" s="1388"/>
      <c r="N130" s="1386" t="s">
        <v>4061</v>
      </c>
      <c r="O130" s="1388"/>
      <c r="P130" s="1389" t="s">
        <v>1147</v>
      </c>
      <c r="Q130" s="1390"/>
      <c r="R130" s="1391">
        <v>2.55E-5</v>
      </c>
      <c r="S130" s="1392"/>
    </row>
    <row r="131" spans="1:19" s="452" customFormat="1" ht="13.9" customHeight="1">
      <c r="A131" s="832" t="s">
        <v>2803</v>
      </c>
      <c r="B131" s="830"/>
      <c r="C131" s="830"/>
      <c r="D131" s="839"/>
      <c r="E131" s="1385" t="s">
        <v>4061</v>
      </c>
      <c r="F131" s="1385" t="s">
        <v>4061</v>
      </c>
      <c r="G131" s="1386" t="s">
        <v>4061</v>
      </c>
      <c r="H131" s="1387"/>
      <c r="I131" s="1388"/>
      <c r="J131" s="1386" t="s">
        <v>4061</v>
      </c>
      <c r="K131" s="1388"/>
      <c r="L131" s="1378" t="s">
        <v>4061</v>
      </c>
      <c r="M131" s="1380"/>
      <c r="N131" s="1378" t="s">
        <v>4061</v>
      </c>
      <c r="O131" s="1380"/>
      <c r="P131" s="1389" t="s">
        <v>4083</v>
      </c>
      <c r="Q131" s="1390"/>
      <c r="R131" s="1391">
        <v>0.99980000000000002</v>
      </c>
      <c r="S131" s="1392"/>
    </row>
    <row r="132" spans="1:19" s="452" customFormat="1" ht="13.9" customHeight="1">
      <c r="A132" s="832" t="s">
        <v>2804</v>
      </c>
      <c r="B132" s="830"/>
      <c r="C132" s="830"/>
      <c r="D132" s="839"/>
      <c r="E132" s="1385" t="s">
        <v>4061</v>
      </c>
      <c r="F132" s="1385" t="s">
        <v>4061</v>
      </c>
      <c r="G132" s="1386" t="s">
        <v>4061</v>
      </c>
      <c r="H132" s="1387"/>
      <c r="I132" s="1388"/>
      <c r="J132" s="1386" t="s">
        <v>4061</v>
      </c>
      <c r="K132" s="1388"/>
      <c r="L132" s="1378" t="s">
        <v>4061</v>
      </c>
      <c r="M132" s="1380"/>
      <c r="N132" s="1378" t="s">
        <v>4061</v>
      </c>
      <c r="O132" s="1380"/>
      <c r="P132" s="1389" t="s">
        <v>4083</v>
      </c>
      <c r="Q132" s="1390"/>
      <c r="R132" s="1391">
        <v>1E-4</v>
      </c>
      <c r="S132" s="1392"/>
    </row>
    <row r="133" spans="1:19" s="452" customFormat="1" ht="13.9" customHeight="1">
      <c r="A133" s="832" t="s">
        <v>2805</v>
      </c>
      <c r="B133" s="830"/>
      <c r="C133" s="830"/>
      <c r="D133" s="839"/>
      <c r="E133" s="1385" t="s">
        <v>4061</v>
      </c>
      <c r="F133" s="1385" t="s">
        <v>4060</v>
      </c>
      <c r="G133" s="1386" t="s">
        <v>4061</v>
      </c>
      <c r="H133" s="1387"/>
      <c r="I133" s="1388"/>
      <c r="J133" s="1386" t="s">
        <v>4061</v>
      </c>
      <c r="K133" s="1388"/>
      <c r="L133" s="1378" t="s">
        <v>4061</v>
      </c>
      <c r="M133" s="1380"/>
      <c r="N133" s="1378" t="s">
        <v>4061</v>
      </c>
      <c r="O133" s="1380"/>
      <c r="P133" s="1389" t="s">
        <v>1147</v>
      </c>
      <c r="Q133" s="1390"/>
      <c r="R133" s="1391"/>
      <c r="S133" s="1392"/>
    </row>
    <row r="134" spans="1:19" s="452" customFormat="1" ht="13.9" customHeight="1">
      <c r="A134" s="832" t="s">
        <v>884</v>
      </c>
      <c r="B134" s="830"/>
      <c r="C134" s="830"/>
      <c r="D134" s="839"/>
      <c r="E134" s="1385" t="s">
        <v>4061</v>
      </c>
      <c r="F134" s="1385" t="s">
        <v>4061</v>
      </c>
      <c r="G134" s="1386" t="s">
        <v>4061</v>
      </c>
      <c r="H134" s="1387"/>
      <c r="I134" s="1388"/>
      <c r="J134" s="1386" t="s">
        <v>4060</v>
      </c>
      <c r="K134" s="1388"/>
      <c r="L134" s="1378" t="s">
        <v>4061</v>
      </c>
      <c r="M134" s="1380"/>
      <c r="N134" s="1378" t="s">
        <v>4061</v>
      </c>
      <c r="O134" s="1380"/>
      <c r="P134" s="1389" t="s">
        <v>4083</v>
      </c>
      <c r="Q134" s="1390"/>
      <c r="R134" s="1391">
        <v>0</v>
      </c>
      <c r="S134" s="1392"/>
    </row>
    <row r="135" spans="1:19" s="452" customFormat="1" ht="13.9" customHeight="1">
      <c r="A135" s="832" t="s">
        <v>2806</v>
      </c>
      <c r="B135" s="830"/>
      <c r="C135" s="830"/>
      <c r="D135" s="839"/>
      <c r="E135" s="1385" t="s">
        <v>4061</v>
      </c>
      <c r="F135" s="1385" t="s">
        <v>4060</v>
      </c>
      <c r="G135" s="1386" t="s">
        <v>4061</v>
      </c>
      <c r="H135" s="1387"/>
      <c r="I135" s="1388"/>
      <c r="J135" s="1386" t="s">
        <v>4060</v>
      </c>
      <c r="K135" s="1388"/>
      <c r="L135" s="1378" t="s">
        <v>4061</v>
      </c>
      <c r="M135" s="1380"/>
      <c r="N135" s="1378" t="s">
        <v>4061</v>
      </c>
      <c r="O135" s="1380"/>
      <c r="P135" s="1389" t="s">
        <v>1147</v>
      </c>
      <c r="Q135" s="1390"/>
      <c r="R135" s="1391">
        <v>0</v>
      </c>
      <c r="S135" s="1392"/>
    </row>
    <row r="136" spans="1:19" s="452" customFormat="1" ht="13.9" customHeight="1">
      <c r="A136" s="832" t="s">
        <v>2807</v>
      </c>
      <c r="B136" s="830"/>
      <c r="C136" s="830"/>
      <c r="D136" s="839"/>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2" t="s">
        <v>2808</v>
      </c>
      <c r="B137" s="830"/>
      <c r="C137" s="830"/>
      <c r="D137" s="839"/>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2" t="s">
        <v>2809</v>
      </c>
      <c r="B138" s="830"/>
      <c r="C138" s="830"/>
      <c r="D138" s="839"/>
      <c r="E138" s="1385"/>
      <c r="F138" s="1385"/>
      <c r="G138" s="1386"/>
      <c r="H138" s="1387"/>
      <c r="I138" s="1388"/>
      <c r="J138" s="1386"/>
      <c r="K138" s="1388"/>
      <c r="L138" s="1386"/>
      <c r="M138" s="1388"/>
      <c r="N138" s="1386"/>
      <c r="O138" s="1388"/>
      <c r="P138" s="1389"/>
      <c r="Q138" s="1390"/>
      <c r="R138" s="1391"/>
      <c r="S138" s="1392"/>
    </row>
    <row r="139" spans="1:19" s="452" customFormat="1" ht="13.9" customHeight="1">
      <c r="A139" s="832" t="s">
        <v>3491</v>
      </c>
      <c r="B139" s="830"/>
      <c r="C139" s="830"/>
      <c r="D139" s="839"/>
      <c r="E139" s="1385" t="s">
        <v>4061</v>
      </c>
      <c r="F139" s="1385" t="s">
        <v>4061</v>
      </c>
      <c r="G139" s="1386" t="s">
        <v>4061</v>
      </c>
      <c r="H139" s="1387"/>
      <c r="I139" s="1388"/>
      <c r="J139" s="1386" t="s">
        <v>4061</v>
      </c>
      <c r="K139" s="1388"/>
      <c r="L139" s="1378" t="s">
        <v>4061</v>
      </c>
      <c r="M139" s="1380"/>
      <c r="N139" s="1378" t="s">
        <v>4061</v>
      </c>
      <c r="O139" s="1380"/>
      <c r="P139" s="1389" t="s">
        <v>4083</v>
      </c>
      <c r="Q139" s="1390"/>
      <c r="R139" s="1391">
        <v>0</v>
      </c>
      <c r="S139" s="1392"/>
    </row>
    <row r="140" spans="1:19" s="452" customFormat="1" ht="13.9" customHeight="1">
      <c r="A140" s="835" t="s">
        <v>2810</v>
      </c>
      <c r="B140" s="836"/>
      <c r="C140" s="836"/>
      <c r="D140" s="507"/>
      <c r="E140" s="1393" t="s">
        <v>4061</v>
      </c>
      <c r="F140" s="1393" t="s">
        <v>4061</v>
      </c>
      <c r="G140" s="1386" t="s">
        <v>4061</v>
      </c>
      <c r="H140" s="1387"/>
      <c r="I140" s="1388"/>
      <c r="J140" s="1394" t="s">
        <v>4061</v>
      </c>
      <c r="K140" s="1395"/>
      <c r="L140" s="1378" t="s">
        <v>4061</v>
      </c>
      <c r="M140" s="1380"/>
      <c r="N140" s="1378" t="s">
        <v>4061</v>
      </c>
      <c r="O140" s="1380"/>
      <c r="P140" s="1396" t="s">
        <v>4083</v>
      </c>
      <c r="Q140" s="1397"/>
      <c r="R140" s="1398">
        <v>0</v>
      </c>
      <c r="S140" s="1399"/>
    </row>
    <row r="141" spans="1:19" s="830" customFormat="1" ht="13.9" customHeight="1">
      <c r="G141" s="464"/>
      <c r="H141" s="464"/>
      <c r="I141" s="464"/>
      <c r="J141" s="838"/>
      <c r="K141" s="838"/>
      <c r="L141" s="838"/>
      <c r="M141" s="838"/>
      <c r="P141" s="462"/>
      <c r="Q141" s="482" t="s">
        <v>741</v>
      </c>
      <c r="R141" s="948">
        <f>SUM(R128:S140)</f>
        <v>1</v>
      </c>
      <c r="S141" s="949"/>
    </row>
    <row r="142" spans="1:19" s="830" customFormat="1" ht="12" customHeight="1">
      <c r="G142" s="464"/>
      <c r="H142" s="464"/>
      <c r="I142" s="464"/>
      <c r="J142" s="838"/>
      <c r="K142" s="838"/>
      <c r="L142" s="838"/>
      <c r="M142" s="838"/>
      <c r="P142" s="462"/>
      <c r="R142" s="453"/>
      <c r="S142" s="508"/>
    </row>
    <row r="143" spans="1:19" ht="12" customHeight="1">
      <c r="A143" s="484" t="s">
        <v>2126</v>
      </c>
      <c r="B143" s="499"/>
      <c r="C143" s="484" t="s">
        <v>781</v>
      </c>
      <c r="N143" s="484" t="s">
        <v>731</v>
      </c>
      <c r="O143" s="484" t="s">
        <v>1591</v>
      </c>
    </row>
    <row r="144" spans="1:19" ht="3.6" customHeight="1">
      <c r="B144" s="499"/>
    </row>
    <row r="145" spans="1:24" ht="42.6" customHeight="1">
      <c r="A145" s="1352" t="s">
        <v>4084</v>
      </c>
      <c r="B145" s="1353"/>
      <c r="C145" s="1353"/>
      <c r="D145" s="1353"/>
      <c r="E145" s="1353"/>
      <c r="F145" s="1353"/>
      <c r="G145" s="1353"/>
      <c r="H145" s="1353"/>
      <c r="I145" s="1353"/>
      <c r="J145" s="1353"/>
      <c r="K145" s="1353"/>
      <c r="L145" s="1353"/>
      <c r="M145" s="1354"/>
      <c r="N145" s="1355"/>
      <c r="O145" s="1356"/>
      <c r="P145" s="1356"/>
      <c r="Q145" s="1356"/>
      <c r="R145" s="1356"/>
      <c r="S145" s="1357"/>
      <c r="T145" s="884" t="s">
        <v>4049</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0" t="s">
        <v>2131</v>
      </c>
    </row>
    <row r="151" spans="1:24" s="452" customFormat="1" ht="12" customHeight="1">
      <c r="A151" s="501"/>
      <c r="B151" s="475"/>
      <c r="C151" s="475"/>
      <c r="D151" s="475"/>
      <c r="E151" s="475"/>
      <c r="F151" s="475"/>
      <c r="G151" s="475"/>
      <c r="H151" s="475"/>
      <c r="I151" s="475"/>
      <c r="J151" s="475"/>
      <c r="K151" s="475"/>
      <c r="L151" s="475"/>
      <c r="M151" s="475"/>
      <c r="N151" s="475"/>
      <c r="O151" s="475"/>
      <c r="P151" s="500" t="s">
        <v>146</v>
      </c>
    </row>
    <row r="152" spans="1:24" s="452" customFormat="1" ht="12" customHeight="1">
      <c r="A152" s="501"/>
      <c r="B152" s="475"/>
      <c r="C152" s="475"/>
      <c r="D152" s="475"/>
      <c r="E152" s="475"/>
      <c r="F152" s="475"/>
      <c r="G152" s="475"/>
      <c r="H152" s="475"/>
      <c r="I152" s="475"/>
      <c r="J152" s="475"/>
      <c r="K152" s="475"/>
      <c r="L152" s="475"/>
      <c r="M152" s="475"/>
      <c r="N152" s="475"/>
      <c r="O152" s="475"/>
      <c r="P152" s="500" t="s">
        <v>147</v>
      </c>
    </row>
    <row r="153" spans="1:24" s="452" customFormat="1" ht="12" customHeight="1">
      <c r="A153" s="501"/>
      <c r="B153" s="475"/>
      <c r="C153" s="475"/>
      <c r="D153" s="475"/>
      <c r="E153" s="475"/>
      <c r="F153" s="475"/>
      <c r="G153" s="475"/>
      <c r="H153" s="475"/>
      <c r="I153" s="475"/>
      <c r="J153" s="475"/>
      <c r="K153" s="475"/>
      <c r="L153" s="475"/>
      <c r="M153" s="475"/>
      <c r="N153" s="475"/>
      <c r="O153" s="475"/>
      <c r="P153" s="500" t="s">
        <v>148</v>
      </c>
    </row>
    <row r="154" spans="1:24" s="452" customFormat="1" ht="12" customHeight="1">
      <c r="A154" s="844"/>
      <c r="B154" s="475"/>
      <c r="C154" s="475"/>
      <c r="D154" s="475"/>
      <c r="E154" s="475"/>
      <c r="F154" s="475"/>
      <c r="G154" s="475"/>
      <c r="H154" s="475"/>
      <c r="I154" s="475"/>
      <c r="J154" s="475"/>
      <c r="K154" s="475"/>
      <c r="L154" s="475"/>
      <c r="M154" s="475"/>
      <c r="N154" s="475"/>
      <c r="O154" s="475"/>
      <c r="P154" s="500" t="s">
        <v>149</v>
      </c>
    </row>
    <row r="155" spans="1:24" s="452" customFormat="1" ht="12" customHeight="1">
      <c r="B155" s="475"/>
      <c r="C155" s="475"/>
      <c r="D155" s="475"/>
      <c r="E155" s="475"/>
      <c r="F155" s="475"/>
      <c r="G155" s="475"/>
      <c r="H155" s="475"/>
      <c r="I155" s="475"/>
      <c r="J155" s="475"/>
      <c r="K155" s="475"/>
      <c r="L155" s="475"/>
      <c r="M155" s="475"/>
      <c r="N155" s="475"/>
      <c r="O155" s="475"/>
      <c r="P155" s="500" t="s">
        <v>150</v>
      </c>
    </row>
    <row r="156" spans="1:24" s="452" customFormat="1" ht="12" customHeight="1">
      <c r="B156" s="475"/>
      <c r="C156" s="475"/>
      <c r="D156" s="475"/>
      <c r="E156" s="475"/>
      <c r="F156" s="475"/>
      <c r="G156" s="475"/>
      <c r="H156" s="475"/>
      <c r="I156" s="475"/>
      <c r="J156" s="475"/>
      <c r="K156" s="475"/>
      <c r="L156" s="475"/>
      <c r="M156" s="475"/>
      <c r="N156" s="475"/>
      <c r="O156" s="475"/>
      <c r="P156" s="500" t="s">
        <v>151</v>
      </c>
    </row>
    <row r="157" spans="1:24" s="452" customFormat="1" ht="12" customHeight="1">
      <c r="B157" s="475"/>
      <c r="C157" s="475"/>
      <c r="D157" s="475"/>
      <c r="E157" s="475"/>
      <c r="F157" s="475"/>
      <c r="G157" s="475"/>
      <c r="H157" s="475"/>
      <c r="I157" s="475"/>
      <c r="J157" s="475"/>
      <c r="K157" s="475"/>
      <c r="L157" s="475"/>
      <c r="M157" s="475"/>
      <c r="N157" s="475"/>
      <c r="O157" s="475"/>
      <c r="P157" s="500" t="s">
        <v>152</v>
      </c>
    </row>
    <row r="158" spans="1:24" s="452" customFormat="1" ht="12" customHeight="1">
      <c r="B158" s="475"/>
      <c r="C158" s="475"/>
      <c r="D158" s="475"/>
      <c r="E158" s="475"/>
      <c r="F158" s="475"/>
      <c r="G158" s="475"/>
      <c r="H158" s="475"/>
      <c r="I158" s="475"/>
      <c r="J158" s="475"/>
      <c r="K158" s="475"/>
      <c r="L158" s="475"/>
      <c r="M158" s="475"/>
      <c r="N158" s="475"/>
      <c r="O158" s="475"/>
      <c r="P158" s="500" t="s">
        <v>153</v>
      </c>
    </row>
    <row r="159" spans="1:24" ht="12" customHeight="1">
      <c r="P159" s="500" t="s">
        <v>154</v>
      </c>
    </row>
    <row r="160" spans="1:24" ht="12" customHeight="1">
      <c r="A160" s="484"/>
      <c r="P160" s="500" t="s">
        <v>155</v>
      </c>
    </row>
    <row r="161" spans="16:16" ht="12" customHeight="1">
      <c r="P161" s="500" t="s">
        <v>156</v>
      </c>
    </row>
    <row r="162" spans="16:16" ht="12" customHeight="1">
      <c r="P162" s="500" t="s">
        <v>157</v>
      </c>
    </row>
    <row r="163" spans="16:16" ht="12" customHeight="1">
      <c r="P163" s="500" t="s">
        <v>158</v>
      </c>
    </row>
    <row r="164" spans="16:16" ht="12" customHeight="1">
      <c r="P164" s="500" t="s">
        <v>159</v>
      </c>
    </row>
    <row r="165" spans="16:16" ht="12" customHeight="1">
      <c r="P165" s="500" t="s">
        <v>160</v>
      </c>
    </row>
    <row r="166" spans="16:16" ht="12" customHeight="1">
      <c r="P166" s="500" t="s">
        <v>161</v>
      </c>
    </row>
    <row r="167" spans="16:16" ht="12" customHeight="1">
      <c r="P167" s="500" t="s">
        <v>162</v>
      </c>
    </row>
    <row r="168" spans="16:16" ht="12" customHeight="1">
      <c r="P168" s="500" t="s">
        <v>163</v>
      </c>
    </row>
    <row r="169" spans="16:16" ht="12" customHeight="1">
      <c r="P169" s="500" t="s">
        <v>164</v>
      </c>
    </row>
    <row r="170" spans="16:16" ht="12" customHeight="1">
      <c r="P170" s="500" t="s">
        <v>165</v>
      </c>
    </row>
    <row r="171" spans="16:16" ht="12" customHeight="1">
      <c r="P171" s="500" t="s">
        <v>166</v>
      </c>
    </row>
    <row r="172" spans="16:16" ht="12" customHeight="1">
      <c r="P172" s="500" t="s">
        <v>167</v>
      </c>
    </row>
    <row r="173" spans="16:16" ht="12" customHeight="1">
      <c r="P173" s="500" t="s">
        <v>168</v>
      </c>
    </row>
    <row r="174" spans="16:16" ht="12" customHeight="1">
      <c r="P174" s="500" t="s">
        <v>169</v>
      </c>
    </row>
    <row r="175" spans="16:16" ht="12" customHeight="1">
      <c r="P175" s="500" t="s">
        <v>170</v>
      </c>
    </row>
    <row r="176" spans="16:16" ht="12" customHeight="1">
      <c r="P176" s="500" t="s">
        <v>1414</v>
      </c>
    </row>
    <row r="177" spans="16:16" ht="12" customHeight="1">
      <c r="P177" s="500" t="s">
        <v>1415</v>
      </c>
    </row>
    <row r="178" spans="16:16" ht="12" customHeight="1">
      <c r="P178" s="500" t="s">
        <v>1416</v>
      </c>
    </row>
    <row r="179" spans="16:16" ht="12" customHeight="1">
      <c r="P179" s="500" t="s">
        <v>1417</v>
      </c>
    </row>
    <row r="180" spans="16:16" ht="12" customHeight="1">
      <c r="P180" s="500" t="s">
        <v>1418</v>
      </c>
    </row>
    <row r="181" spans="16:16" ht="13.5">
      <c r="P181" s="500" t="s">
        <v>1419</v>
      </c>
    </row>
    <row r="182" spans="16:16" ht="12" customHeight="1">
      <c r="P182" s="500" t="s">
        <v>1420</v>
      </c>
    </row>
    <row r="183" spans="16:16" ht="12" customHeight="1">
      <c r="P183" s="500" t="s">
        <v>1421</v>
      </c>
    </row>
    <row r="184" spans="16:16" ht="12" customHeight="1">
      <c r="P184" s="500" t="s">
        <v>1422</v>
      </c>
    </row>
    <row r="185" spans="16:16" ht="12" customHeight="1">
      <c r="P185" s="500" t="s">
        <v>1423</v>
      </c>
    </row>
    <row r="186" spans="16:16" ht="12" customHeight="1">
      <c r="P186" s="500" t="s">
        <v>1424</v>
      </c>
    </row>
    <row r="187" spans="16:16" ht="12" customHeight="1">
      <c r="P187" s="500" t="s">
        <v>1425</v>
      </c>
    </row>
    <row r="188" spans="16:16" ht="12" customHeight="1">
      <c r="P188" s="500" t="s">
        <v>1426</v>
      </c>
    </row>
    <row r="189" spans="16:16" ht="12" customHeight="1">
      <c r="P189" s="500" t="s">
        <v>1427</v>
      </c>
    </row>
    <row r="190" spans="16:16" ht="12" customHeight="1">
      <c r="P190" s="500" t="s">
        <v>1428</v>
      </c>
    </row>
    <row r="191" spans="16:16" ht="12" customHeight="1">
      <c r="P191" s="500" t="s">
        <v>1429</v>
      </c>
    </row>
    <row r="192" spans="16:16" ht="12" customHeight="1">
      <c r="P192" s="500" t="s">
        <v>1430</v>
      </c>
    </row>
    <row r="193" spans="16:16" ht="12" customHeight="1">
      <c r="P193" s="500" t="s">
        <v>1431</v>
      </c>
    </row>
    <row r="194" spans="16:16" ht="12" customHeight="1">
      <c r="P194" s="500" t="s">
        <v>1432</v>
      </c>
    </row>
    <row r="195" spans="16:16" ht="12" customHeight="1">
      <c r="P195" s="500" t="s">
        <v>1433</v>
      </c>
    </row>
    <row r="196" spans="16:16" ht="12" customHeight="1">
      <c r="P196" s="500" t="s">
        <v>1434</v>
      </c>
    </row>
    <row r="197" spans="16:16" ht="12" customHeight="1">
      <c r="P197" s="500" t="s">
        <v>1435</v>
      </c>
    </row>
    <row r="198" spans="16:16" ht="12" customHeight="1">
      <c r="P198" s="500" t="s">
        <v>1436</v>
      </c>
    </row>
    <row r="199" spans="16:16" ht="12" customHeight="1">
      <c r="P199" s="500" t="s">
        <v>1437</v>
      </c>
    </row>
    <row r="200" spans="16:16" ht="12" customHeight="1">
      <c r="P200" s="500" t="s">
        <v>1438</v>
      </c>
    </row>
    <row r="201" spans="16:16" ht="12" customHeight="1">
      <c r="P201" s="500" t="s">
        <v>1439</v>
      </c>
    </row>
  </sheetData>
  <sheetProtection sheet="1" objects="1" scenarios="1" formatColumns="0" formatRows="0"/>
  <mergeCells count="282">
    <mergeCell ref="A145:M145"/>
    <mergeCell ref="L140:M140"/>
    <mergeCell ref="G140:I140"/>
    <mergeCell ref="N139:O139"/>
    <mergeCell ref="J140:K140"/>
    <mergeCell ref="L139:M139"/>
    <mergeCell ref="G139:I139"/>
    <mergeCell ref="J139:K139"/>
    <mergeCell ref="R138:S138"/>
    <mergeCell ref="R137:S137"/>
    <mergeCell ref="R134:S134"/>
    <mergeCell ref="R135:S135"/>
    <mergeCell ref="R136:S136"/>
    <mergeCell ref="P137:Q137"/>
    <mergeCell ref="P138:Q138"/>
    <mergeCell ref="P134:Q134"/>
    <mergeCell ref="T145:X146"/>
    <mergeCell ref="R141:S141"/>
    <mergeCell ref="P140:Q140"/>
    <mergeCell ref="R140:S140"/>
    <mergeCell ref="N145:S145"/>
    <mergeCell ref="N140:O140"/>
    <mergeCell ref="P139:Q139"/>
    <mergeCell ref="R139:S139"/>
    <mergeCell ref="J136:K136"/>
    <mergeCell ref="L136:M136"/>
    <mergeCell ref="G135:I135"/>
    <mergeCell ref="J135:K135"/>
    <mergeCell ref="L135:M135"/>
    <mergeCell ref="J137:K137"/>
    <mergeCell ref="R132:S132"/>
    <mergeCell ref="R133:S133"/>
    <mergeCell ref="P133:Q133"/>
    <mergeCell ref="P135:Q135"/>
    <mergeCell ref="P132:Q132"/>
    <mergeCell ref="P136:Q136"/>
    <mergeCell ref="L133:M133"/>
    <mergeCell ref="J133:K133"/>
    <mergeCell ref="N132:O132"/>
    <mergeCell ref="N133:O133"/>
    <mergeCell ref="N129:O129"/>
    <mergeCell ref="G129:I129"/>
    <mergeCell ref="N134:O134"/>
    <mergeCell ref="L130:M130"/>
    <mergeCell ref="N138:O138"/>
    <mergeCell ref="N137:O137"/>
    <mergeCell ref="N135:O135"/>
    <mergeCell ref="N136:O136"/>
    <mergeCell ref="G133:I133"/>
    <mergeCell ref="G132:I132"/>
    <mergeCell ref="N131:O131"/>
    <mergeCell ref="J132:K132"/>
    <mergeCell ref="G138:I138"/>
    <mergeCell ref="J138:K138"/>
    <mergeCell ref="L138:M138"/>
    <mergeCell ref="G137:I137"/>
    <mergeCell ref="G134:I134"/>
    <mergeCell ref="J134:K134"/>
    <mergeCell ref="L134:M134"/>
    <mergeCell ref="G136:I136"/>
    <mergeCell ref="L137:M137"/>
    <mergeCell ref="R131:S131"/>
    <mergeCell ref="N130:O130"/>
    <mergeCell ref="P130:Q130"/>
    <mergeCell ref="P131:Q131"/>
    <mergeCell ref="R130:S130"/>
    <mergeCell ref="L131:M131"/>
    <mergeCell ref="G131:I131"/>
    <mergeCell ref="Q116:S116"/>
    <mergeCell ref="J118:K118"/>
    <mergeCell ref="G130:I130"/>
    <mergeCell ref="J130:K130"/>
    <mergeCell ref="R128:S128"/>
    <mergeCell ref="L129:M129"/>
    <mergeCell ref="R129:S129"/>
    <mergeCell ref="N128:O128"/>
    <mergeCell ref="P128:Q128"/>
    <mergeCell ref="P129:Q129"/>
    <mergeCell ref="G128:I128"/>
    <mergeCell ref="J128:K128"/>
    <mergeCell ref="L128:M128"/>
    <mergeCell ref="J129:K129"/>
    <mergeCell ref="L132:M132"/>
    <mergeCell ref="J131:K131"/>
    <mergeCell ref="F123:F127"/>
    <mergeCell ref="G123:I127"/>
    <mergeCell ref="J123:K127"/>
    <mergeCell ref="L123:M127"/>
    <mergeCell ref="H116:N116"/>
    <mergeCell ref="Q117:S117"/>
    <mergeCell ref="L119:M119"/>
    <mergeCell ref="Q118:S118"/>
    <mergeCell ref="O119:S119"/>
    <mergeCell ref="H119:I119"/>
    <mergeCell ref="R123:S127"/>
    <mergeCell ref="N123:O127"/>
    <mergeCell ref="P123:Q127"/>
    <mergeCell ref="H117:J117"/>
    <mergeCell ref="H88:I88"/>
    <mergeCell ref="H94:I94"/>
    <mergeCell ref="H92:J92"/>
    <mergeCell ref="J93:K93"/>
    <mergeCell ref="H111:J111"/>
    <mergeCell ref="Q111:S111"/>
    <mergeCell ref="L113:M113"/>
    <mergeCell ref="O113:S113"/>
    <mergeCell ref="Q115:S115"/>
    <mergeCell ref="Q112:S112"/>
    <mergeCell ref="H115:N115"/>
    <mergeCell ref="J112:K112"/>
    <mergeCell ref="H113:I113"/>
    <mergeCell ref="H80:I80"/>
    <mergeCell ref="L80:M80"/>
    <mergeCell ref="J79:K79"/>
    <mergeCell ref="H100:I100"/>
    <mergeCell ref="Q109:S109"/>
    <mergeCell ref="O106:S106"/>
    <mergeCell ref="H109:N109"/>
    <mergeCell ref="H110:N110"/>
    <mergeCell ref="Q110:S110"/>
    <mergeCell ref="H106:I106"/>
    <mergeCell ref="L106:M106"/>
    <mergeCell ref="Q102:S102"/>
    <mergeCell ref="Q79:S79"/>
    <mergeCell ref="O100:S100"/>
    <mergeCell ref="Q85:S85"/>
    <mergeCell ref="O80:S80"/>
    <mergeCell ref="Q98:S98"/>
    <mergeCell ref="Q91:S91"/>
    <mergeCell ref="H90:N90"/>
    <mergeCell ref="Q90:S90"/>
    <mergeCell ref="H91:N91"/>
    <mergeCell ref="O94:S94"/>
    <mergeCell ref="Q93:S93"/>
    <mergeCell ref="L100:M100"/>
    <mergeCell ref="Q78:S78"/>
    <mergeCell ref="Q96:S96"/>
    <mergeCell ref="Q92:S92"/>
    <mergeCell ref="H97:N97"/>
    <mergeCell ref="H103:N103"/>
    <mergeCell ref="Q105:S105"/>
    <mergeCell ref="H104:J104"/>
    <mergeCell ref="Q51:S51"/>
    <mergeCell ref="Q67:S67"/>
    <mergeCell ref="H71:N71"/>
    <mergeCell ref="Q71:S71"/>
    <mergeCell ref="O68:S68"/>
    <mergeCell ref="J61:K61"/>
    <mergeCell ref="O62:S62"/>
    <mergeCell ref="L94:M94"/>
    <mergeCell ref="J99:K99"/>
    <mergeCell ref="H98:J98"/>
    <mergeCell ref="L88:M88"/>
    <mergeCell ref="Q104:S104"/>
    <mergeCell ref="H78:J78"/>
    <mergeCell ref="Q97:S97"/>
    <mergeCell ref="Q86:S86"/>
    <mergeCell ref="Q87:S87"/>
    <mergeCell ref="Q84:S84"/>
    <mergeCell ref="O26:S26"/>
    <mergeCell ref="J25:K25"/>
    <mergeCell ref="Q29:S29"/>
    <mergeCell ref="Q28:S28"/>
    <mergeCell ref="H28:N28"/>
    <mergeCell ref="Q25:S25"/>
    <mergeCell ref="H29:N29"/>
    <mergeCell ref="Q38:S38"/>
    <mergeCell ref="Q37:S37"/>
    <mergeCell ref="H30:J30"/>
    <mergeCell ref="H37:N37"/>
    <mergeCell ref="H36:N36"/>
    <mergeCell ref="H26:I26"/>
    <mergeCell ref="L26:M26"/>
    <mergeCell ref="Q31:S31"/>
    <mergeCell ref="J39:K39"/>
    <mergeCell ref="H38:J38"/>
    <mergeCell ref="H32:I32"/>
    <mergeCell ref="L32:M32"/>
    <mergeCell ref="Q103:S103"/>
    <mergeCell ref="H102:N102"/>
    <mergeCell ref="O74:S74"/>
    <mergeCell ref="H76:N76"/>
    <mergeCell ref="Q76:S76"/>
    <mergeCell ref="H74:I74"/>
    <mergeCell ref="L74:M74"/>
    <mergeCell ref="H96:N96"/>
    <mergeCell ref="H85:N85"/>
    <mergeCell ref="H84:N84"/>
    <mergeCell ref="H62:I62"/>
    <mergeCell ref="L62:M62"/>
    <mergeCell ref="O54:S54"/>
    <mergeCell ref="H52:J52"/>
    <mergeCell ref="H46:I46"/>
    <mergeCell ref="H51:N51"/>
    <mergeCell ref="H59:N59"/>
    <mergeCell ref="Q60:S60"/>
    <mergeCell ref="Q43:S43"/>
    <mergeCell ref="Q50:S50"/>
    <mergeCell ref="Q7:S7"/>
    <mergeCell ref="J8:K8"/>
    <mergeCell ref="Q8:S8"/>
    <mergeCell ref="O9:S9"/>
    <mergeCell ref="L7:N7"/>
    <mergeCell ref="H7:J7"/>
    <mergeCell ref="L9:M9"/>
    <mergeCell ref="H9:I9"/>
    <mergeCell ref="O12:S12"/>
    <mergeCell ref="O14:S14"/>
    <mergeCell ref="O20:S20"/>
    <mergeCell ref="H18:J18"/>
    <mergeCell ref="H16:N16"/>
    <mergeCell ref="J19:K19"/>
    <mergeCell ref="Q16:S16"/>
    <mergeCell ref="H17:N17"/>
    <mergeCell ref="Q18:S18"/>
    <mergeCell ref="Q17:S17"/>
    <mergeCell ref="H20:I20"/>
    <mergeCell ref="L20:M20"/>
    <mergeCell ref="Q19:S19"/>
    <mergeCell ref="A1:S1"/>
    <mergeCell ref="H5:N5"/>
    <mergeCell ref="Q5:S5"/>
    <mergeCell ref="H6:N6"/>
    <mergeCell ref="Q6:S6"/>
    <mergeCell ref="Q36:S36"/>
    <mergeCell ref="Q59:S59"/>
    <mergeCell ref="L46:M46"/>
    <mergeCell ref="O46:S46"/>
    <mergeCell ref="Q39:S39"/>
    <mergeCell ref="H42:N42"/>
    <mergeCell ref="J53:K53"/>
    <mergeCell ref="L54:M54"/>
    <mergeCell ref="H40:I40"/>
    <mergeCell ref="O40:S40"/>
    <mergeCell ref="H22:N22"/>
    <mergeCell ref="Q22:S22"/>
    <mergeCell ref="Q23:S23"/>
    <mergeCell ref="H23:N23"/>
    <mergeCell ref="O32:S32"/>
    <mergeCell ref="J31:K31"/>
    <mergeCell ref="H24:J24"/>
    <mergeCell ref="Q30:S30"/>
    <mergeCell ref="Q24:S24"/>
    <mergeCell ref="L40:M40"/>
    <mergeCell ref="H58:N58"/>
    <mergeCell ref="Q52:S52"/>
    <mergeCell ref="Q53:S53"/>
    <mergeCell ref="Q58:S58"/>
    <mergeCell ref="H54:I54"/>
    <mergeCell ref="Q45:S45"/>
    <mergeCell ref="H60:J60"/>
    <mergeCell ref="Q61:S61"/>
    <mergeCell ref="Q44:S44"/>
    <mergeCell ref="Q42:S42"/>
    <mergeCell ref="J45:K45"/>
    <mergeCell ref="H43:N43"/>
    <mergeCell ref="H44:J44"/>
    <mergeCell ref="H50:N50"/>
    <mergeCell ref="A123:D127"/>
    <mergeCell ref="E123:E127"/>
    <mergeCell ref="J73:K73"/>
    <mergeCell ref="Q73:S73"/>
    <mergeCell ref="Q70:S70"/>
    <mergeCell ref="Q64:S64"/>
    <mergeCell ref="Q99:S99"/>
    <mergeCell ref="O88:S88"/>
    <mergeCell ref="H77:N77"/>
    <mergeCell ref="Q77:S77"/>
    <mergeCell ref="J67:K67"/>
    <mergeCell ref="L68:M68"/>
    <mergeCell ref="H70:N70"/>
    <mergeCell ref="Q72:S72"/>
    <mergeCell ref="H72:J72"/>
    <mergeCell ref="H86:J86"/>
    <mergeCell ref="H66:J66"/>
    <mergeCell ref="H65:N65"/>
    <mergeCell ref="H64:N64"/>
    <mergeCell ref="Q65:S65"/>
    <mergeCell ref="Q66:S66"/>
    <mergeCell ref="H68:I68"/>
    <mergeCell ref="J105:K105"/>
    <mergeCell ref="J87:K87"/>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17" t="str">
        <f>CONCATENATE("PART THREE - SOURCES OF FUNDS","  -  ",'Part I-Project Information'!$O$4," ",'Part I-Project Information'!$F$22,", ",'Part I-Project Information'!$F$24,", ",'Part I-Project Information'!$J$25," County")</f>
        <v>PART THREE - SOURCES OF FUNDS  -  2012-052 Freedom's Path I, Augusta, Richmond County</v>
      </c>
      <c r="B1" s="918"/>
      <c r="C1" s="918"/>
      <c r="D1" s="918"/>
      <c r="E1" s="918"/>
      <c r="F1" s="918"/>
      <c r="G1" s="918"/>
      <c r="H1" s="918"/>
      <c r="I1" s="918"/>
      <c r="J1" s="918"/>
      <c r="K1" s="918"/>
      <c r="L1" s="918"/>
      <c r="M1" s="918"/>
      <c r="N1" s="918"/>
      <c r="O1" s="918"/>
      <c r="P1" s="918"/>
      <c r="Q1" s="919"/>
      <c r="S1" s="975" t="str">
        <f>$A$1</f>
        <v>PART THREE - SOURCES OF FUNDS  -  2012-052 Freedom's Path I, Augusta, Richmond County</v>
      </c>
      <c r="T1" s="975"/>
    </row>
    <row r="2" spans="1:20" ht="17.45" customHeight="1">
      <c r="A2" s="475"/>
      <c r="B2" s="475"/>
      <c r="C2" s="475"/>
      <c r="D2" s="475"/>
      <c r="E2" s="475"/>
      <c r="F2" s="475"/>
      <c r="G2" s="475"/>
      <c r="H2" s="475"/>
      <c r="I2" s="475"/>
      <c r="J2" s="475"/>
      <c r="N2" s="475"/>
      <c r="O2" s="475"/>
      <c r="P2" s="475"/>
      <c r="Q2" s="475"/>
    </row>
    <row r="3" spans="1:20" s="400" customFormat="1" ht="13.15" customHeight="1">
      <c r="A3" s="455" t="s">
        <v>839</v>
      </c>
      <c r="B3" s="478" t="s">
        <v>3165</v>
      </c>
      <c r="C3" s="452"/>
      <c r="D3" s="830"/>
      <c r="E3" s="830"/>
      <c r="F3" s="830"/>
      <c r="G3" s="830"/>
      <c r="H3" s="830"/>
      <c r="I3" s="452"/>
      <c r="J3" s="452"/>
      <c r="K3" s="452"/>
      <c r="L3" s="452"/>
      <c r="M3" s="452"/>
      <c r="S3" s="510" t="str">
        <f>B3</f>
        <v>GOVERNMENT FUNDING SOURCES  (check all that apply)</v>
      </c>
    </row>
    <row r="4" spans="1:20" s="400" customFormat="1" ht="13.9" customHeight="1">
      <c r="A4" s="484"/>
      <c r="B4" s="844"/>
      <c r="C4" s="478"/>
      <c r="D4" s="830"/>
      <c r="E4" s="830"/>
      <c r="F4" s="830"/>
      <c r="G4" s="830"/>
      <c r="I4" s="452"/>
      <c r="J4" s="452"/>
      <c r="K4" s="452"/>
      <c r="L4" s="452"/>
      <c r="M4" s="452"/>
      <c r="S4" s="971" t="s">
        <v>3807</v>
      </c>
      <c r="T4" s="971"/>
    </row>
    <row r="5" spans="1:20" s="400" customFormat="1" ht="16.899999999999999" customHeight="1">
      <c r="A5" s="844"/>
      <c r="B5" s="1298" t="s">
        <v>4060</v>
      </c>
      <c r="C5" s="826" t="s">
        <v>2903</v>
      </c>
      <c r="D5" s="452"/>
      <c r="E5" s="1298" t="s">
        <v>4061</v>
      </c>
      <c r="F5" s="827" t="s">
        <v>1985</v>
      </c>
      <c r="G5" s="452"/>
      <c r="J5" s="1401">
        <v>0</v>
      </c>
      <c r="K5" s="1402"/>
      <c r="M5" s="1298" t="s">
        <v>4060</v>
      </c>
      <c r="N5" s="826" t="s">
        <v>752</v>
      </c>
      <c r="P5" s="1298" t="s">
        <v>4061</v>
      </c>
      <c r="Q5" s="982" t="s">
        <v>1163</v>
      </c>
      <c r="S5" s="1403"/>
      <c r="T5" s="1404"/>
    </row>
    <row r="6" spans="1:20" s="400" customFormat="1" ht="16.899999999999999" customHeight="1">
      <c r="A6" s="844"/>
      <c r="B6" s="1298" t="s">
        <v>4061</v>
      </c>
      <c r="C6" s="826" t="s">
        <v>2136</v>
      </c>
      <c r="D6" s="452"/>
      <c r="E6" s="1298" t="s">
        <v>4061</v>
      </c>
      <c r="F6" s="827" t="s">
        <v>4110</v>
      </c>
      <c r="H6" s="1298" t="s">
        <v>4061</v>
      </c>
      <c r="I6" s="830" t="s">
        <v>753</v>
      </c>
      <c r="J6" s="1298" t="s">
        <v>4061</v>
      </c>
      <c r="K6" s="830" t="s">
        <v>3501</v>
      </c>
      <c r="M6" s="1298" t="s">
        <v>4061</v>
      </c>
      <c r="N6" s="827" t="s">
        <v>751</v>
      </c>
      <c r="Q6" s="982"/>
      <c r="S6" s="1405"/>
      <c r="T6" s="1406"/>
    </row>
    <row r="7" spans="1:20" s="400" customFormat="1" ht="16.899999999999999" customHeight="1">
      <c r="A7" s="452"/>
      <c r="B7" s="1298" t="s">
        <v>4061</v>
      </c>
      <c r="C7" s="826" t="s">
        <v>2137</v>
      </c>
      <c r="E7" s="1298" t="s">
        <v>4061</v>
      </c>
      <c r="F7" s="827" t="s">
        <v>4109</v>
      </c>
      <c r="G7" s="452"/>
      <c r="H7" s="1298" t="s">
        <v>4061</v>
      </c>
      <c r="I7" s="984" t="s">
        <v>1161</v>
      </c>
      <c r="J7" s="1298" t="s">
        <v>4061</v>
      </c>
      <c r="K7" s="982" t="s">
        <v>1160</v>
      </c>
      <c r="L7" s="986"/>
      <c r="M7" s="1298" t="s">
        <v>4060</v>
      </c>
      <c r="N7" s="458" t="s">
        <v>1162</v>
      </c>
      <c r="Q7" s="983"/>
      <c r="S7" s="1405"/>
      <c r="T7" s="1406"/>
    </row>
    <row r="8" spans="1:20" s="400" customFormat="1" ht="16.899999999999999" customHeight="1">
      <c r="A8" s="844"/>
      <c r="B8" s="1298" t="s">
        <v>4061</v>
      </c>
      <c r="C8" s="830" t="s">
        <v>1148</v>
      </c>
      <c r="D8" s="452"/>
      <c r="E8" s="1298" t="s">
        <v>4061</v>
      </c>
      <c r="F8" s="480" t="s">
        <v>1149</v>
      </c>
      <c r="I8" s="984"/>
      <c r="K8" s="982"/>
      <c r="L8" s="986"/>
      <c r="M8" s="1298" t="s">
        <v>4060</v>
      </c>
      <c r="N8" s="1284" t="s">
        <v>3103</v>
      </c>
      <c r="O8" s="1285"/>
      <c r="P8" s="1285"/>
      <c r="Q8" s="1286"/>
      <c r="S8" s="1407"/>
      <c r="T8" s="1408"/>
    </row>
    <row r="9" spans="1:20" s="400" customFormat="1" ht="16.899999999999999" customHeight="1">
      <c r="A9" s="844"/>
      <c r="B9" s="400" t="s">
        <v>216</v>
      </c>
      <c r="C9" s="452"/>
      <c r="D9" s="452"/>
      <c r="E9" s="452"/>
      <c r="F9" s="452"/>
      <c r="G9" s="452"/>
      <c r="H9" s="452"/>
      <c r="I9" s="452"/>
      <c r="J9" s="452"/>
      <c r="K9" s="452"/>
      <c r="L9" s="452"/>
      <c r="M9" s="480"/>
      <c r="N9" s="452"/>
      <c r="O9" s="452"/>
      <c r="P9" s="452"/>
      <c r="Q9" s="452"/>
    </row>
    <row r="10" spans="1:20" s="400" customFormat="1" ht="17.45" customHeight="1">
      <c r="A10" s="844"/>
      <c r="L10" s="452"/>
      <c r="M10" s="480"/>
      <c r="N10" s="452"/>
      <c r="O10" s="452"/>
      <c r="P10" s="452"/>
      <c r="Q10" s="452"/>
    </row>
    <row r="11" spans="1:20" s="510" customFormat="1" ht="15" customHeight="1">
      <c r="A11" s="455" t="s">
        <v>2774</v>
      </c>
      <c r="B11" s="397" t="s">
        <v>3095</v>
      </c>
      <c r="C11" s="452"/>
      <c r="D11" s="830"/>
      <c r="E11" s="452"/>
      <c r="F11" s="452"/>
      <c r="G11" s="452"/>
      <c r="H11" s="400"/>
      <c r="I11" s="400"/>
      <c r="J11" s="455"/>
      <c r="K11" s="452"/>
      <c r="L11" s="452"/>
      <c r="M11" s="830"/>
      <c r="N11" s="909"/>
      <c r="O11" s="909"/>
      <c r="P11" s="452"/>
      <c r="Q11" s="452"/>
      <c r="S11" s="510" t="str">
        <f>B11</f>
        <v>CONSTRUCTION FINANCING</v>
      </c>
    </row>
    <row r="12" spans="1:20" s="510" customFormat="1" ht="13.9" customHeight="1">
      <c r="A12" s="455"/>
      <c r="B12" s="397"/>
      <c r="C12" s="452"/>
      <c r="K12" s="452"/>
      <c r="L12" s="452"/>
      <c r="M12" s="830"/>
      <c r="N12" s="825"/>
      <c r="O12" s="825"/>
      <c r="P12" s="452"/>
      <c r="Q12" s="452"/>
    </row>
    <row r="13" spans="1:20" s="400" customFormat="1" ht="16.899999999999999" customHeight="1">
      <c r="A13" s="452"/>
      <c r="B13" s="826" t="s">
        <v>354</v>
      </c>
      <c r="C13" s="452"/>
      <c r="D13" s="452"/>
      <c r="E13" s="452"/>
      <c r="F13" s="452"/>
      <c r="G13" s="452"/>
      <c r="H13" s="985" t="s">
        <v>3321</v>
      </c>
      <c r="I13" s="985"/>
      <c r="J13" s="985"/>
      <c r="K13" s="985"/>
      <c r="L13" s="895" t="s">
        <v>2316</v>
      </c>
      <c r="M13" s="895"/>
      <c r="N13" s="895" t="s">
        <v>3469</v>
      </c>
      <c r="O13" s="895"/>
      <c r="P13" s="895" t="s">
        <v>1872</v>
      </c>
      <c r="Q13" s="895"/>
      <c r="S13" s="971" t="s">
        <v>3807</v>
      </c>
      <c r="T13" s="971"/>
    </row>
    <row r="14" spans="1:20" s="400" customFormat="1" ht="16.899999999999999" customHeight="1">
      <c r="A14" s="452"/>
      <c r="B14" s="957" t="s">
        <v>1686</v>
      </c>
      <c r="C14" s="958"/>
      <c r="D14" s="958"/>
      <c r="E14" s="834"/>
      <c r="F14" s="834"/>
      <c r="G14" s="834"/>
      <c r="H14" s="1284"/>
      <c r="I14" s="1285"/>
      <c r="J14" s="1285"/>
      <c r="K14" s="1286"/>
      <c r="L14" s="1409"/>
      <c r="M14" s="1410"/>
      <c r="N14" s="1411"/>
      <c r="O14" s="1412"/>
      <c r="P14" s="1413"/>
      <c r="Q14" s="1414"/>
      <c r="S14" s="1403"/>
      <c r="T14" s="1404"/>
    </row>
    <row r="15" spans="1:20" s="400" customFormat="1" ht="16.899999999999999" customHeight="1">
      <c r="A15" s="452"/>
      <c r="B15" s="952" t="s">
        <v>1687</v>
      </c>
      <c r="C15" s="953"/>
      <c r="D15" s="953"/>
      <c r="E15" s="830"/>
      <c r="F15" s="830"/>
      <c r="G15" s="830"/>
      <c r="H15" s="1284"/>
      <c r="I15" s="1285"/>
      <c r="J15" s="1285"/>
      <c r="K15" s="1286"/>
      <c r="L15" s="1409"/>
      <c r="M15" s="1410"/>
      <c r="N15" s="1411"/>
      <c r="O15" s="1412"/>
      <c r="P15" s="1415"/>
      <c r="Q15" s="1416"/>
      <c r="S15" s="1405"/>
      <c r="T15" s="1406"/>
    </row>
    <row r="16" spans="1:20" s="400" customFormat="1" ht="16.899999999999999" customHeight="1">
      <c r="A16" s="452"/>
      <c r="B16" s="978" t="s">
        <v>1688</v>
      </c>
      <c r="C16" s="979"/>
      <c r="D16" s="979"/>
      <c r="E16" s="836"/>
      <c r="F16" s="836"/>
      <c r="G16" s="836"/>
      <c r="H16" s="1284"/>
      <c r="I16" s="1285"/>
      <c r="J16" s="1285"/>
      <c r="K16" s="1286"/>
      <c r="L16" s="1409"/>
      <c r="M16" s="1410"/>
      <c r="N16" s="1411"/>
      <c r="O16" s="1412"/>
      <c r="P16" s="1415"/>
      <c r="Q16" s="1416"/>
      <c r="S16" s="1405"/>
      <c r="T16" s="1406"/>
    </row>
    <row r="17" spans="1:20" s="400" customFormat="1" ht="16.899999999999999" customHeight="1">
      <c r="A17" s="452"/>
      <c r="B17" s="957" t="s">
        <v>2966</v>
      </c>
      <c r="C17" s="958"/>
      <c r="D17" s="958"/>
      <c r="E17" s="830"/>
      <c r="F17" s="830"/>
      <c r="G17" s="830"/>
      <c r="H17" s="1284"/>
      <c r="I17" s="1285"/>
      <c r="J17" s="1285"/>
      <c r="K17" s="1286"/>
      <c r="L17" s="1409"/>
      <c r="M17" s="1410"/>
      <c r="N17" s="976"/>
      <c r="O17" s="977"/>
      <c r="P17" s="972"/>
      <c r="Q17" s="972"/>
      <c r="S17" s="1405"/>
      <c r="T17" s="1406"/>
    </row>
    <row r="18" spans="1:20" s="400" customFormat="1" ht="16.899999999999999" customHeight="1">
      <c r="A18" s="452"/>
      <c r="B18" s="952" t="s">
        <v>982</v>
      </c>
      <c r="C18" s="953"/>
      <c r="D18" s="953"/>
      <c r="E18" s="830"/>
      <c r="H18" s="1284"/>
      <c r="I18" s="1285"/>
      <c r="J18" s="1285"/>
      <c r="K18" s="1286"/>
      <c r="L18" s="1409"/>
      <c r="M18" s="1410"/>
      <c r="N18" s="976"/>
      <c r="O18" s="977"/>
      <c r="P18" s="972"/>
      <c r="Q18" s="972"/>
      <c r="S18" s="1405"/>
      <c r="T18" s="1406"/>
    </row>
    <row r="19" spans="1:20" s="400" customFormat="1" ht="16.899999999999999" customHeight="1">
      <c r="A19" s="452"/>
      <c r="B19" s="952" t="s">
        <v>866</v>
      </c>
      <c r="C19" s="953"/>
      <c r="D19" s="953"/>
      <c r="E19" s="830"/>
      <c r="H19" s="1284"/>
      <c r="I19" s="1285"/>
      <c r="J19" s="1285"/>
      <c r="K19" s="1286"/>
      <c r="L19" s="1409"/>
      <c r="M19" s="1410"/>
      <c r="N19" s="976"/>
      <c r="O19" s="977"/>
      <c r="P19" s="972"/>
      <c r="Q19" s="972"/>
      <c r="S19" s="1405"/>
      <c r="T19" s="1406"/>
    </row>
    <row r="20" spans="1:20" s="400" customFormat="1" ht="16.899999999999999" customHeight="1">
      <c r="A20" s="452"/>
      <c r="B20" s="952" t="s">
        <v>983</v>
      </c>
      <c r="C20" s="953"/>
      <c r="D20" s="953"/>
      <c r="E20" s="830"/>
      <c r="H20" s="1284" t="s">
        <v>102</v>
      </c>
      <c r="I20" s="1285"/>
      <c r="J20" s="1285"/>
      <c r="K20" s="1286"/>
      <c r="L20" s="1409">
        <v>5628488</v>
      </c>
      <c r="M20" s="1410"/>
      <c r="N20" s="452"/>
      <c r="O20" s="452"/>
      <c r="P20" s="452"/>
      <c r="Q20" s="452"/>
      <c r="S20" s="1407"/>
      <c r="T20" s="1408"/>
    </row>
    <row r="21" spans="1:20" s="400" customFormat="1" ht="16.899999999999999" customHeight="1">
      <c r="A21" s="452"/>
      <c r="B21" s="952" t="s">
        <v>984</v>
      </c>
      <c r="C21" s="953"/>
      <c r="D21" s="953"/>
      <c r="E21" s="830"/>
      <c r="H21" s="1284" t="s">
        <v>102</v>
      </c>
      <c r="I21" s="1285"/>
      <c r="J21" s="1285"/>
      <c r="K21" s="1286"/>
      <c r="L21" s="1409">
        <v>1703529</v>
      </c>
      <c r="M21" s="1410"/>
      <c r="N21" s="452"/>
      <c r="O21" s="452"/>
      <c r="P21" s="452"/>
      <c r="Q21" s="452"/>
      <c r="S21" s="1403"/>
      <c r="T21" s="1404"/>
    </row>
    <row r="22" spans="1:20" s="400" customFormat="1" ht="16.899999999999999" customHeight="1">
      <c r="A22" s="452"/>
      <c r="B22" s="832" t="s">
        <v>215</v>
      </c>
      <c r="C22" s="830"/>
      <c r="D22" s="1417" t="s">
        <v>3105</v>
      </c>
      <c r="E22" s="1417"/>
      <c r="F22" s="1417"/>
      <c r="G22" s="1417"/>
      <c r="H22" s="1284" t="s">
        <v>102</v>
      </c>
      <c r="I22" s="1285"/>
      <c r="J22" s="1285"/>
      <c r="K22" s="1286"/>
      <c r="L22" s="1409">
        <v>1581506</v>
      </c>
      <c r="M22" s="1410"/>
      <c r="N22" s="452"/>
      <c r="O22" s="452"/>
      <c r="P22" s="452"/>
      <c r="Q22" s="452"/>
      <c r="S22" s="1405"/>
      <c r="T22" s="1406"/>
    </row>
    <row r="23" spans="1:20" s="400" customFormat="1" ht="16.899999999999999" customHeight="1">
      <c r="A23" s="452"/>
      <c r="B23" s="832" t="s">
        <v>215</v>
      </c>
      <c r="C23" s="830"/>
      <c r="D23" s="1417" t="s">
        <v>3104</v>
      </c>
      <c r="E23" s="1417"/>
      <c r="F23" s="1417"/>
      <c r="G23" s="1417"/>
      <c r="H23" s="1284" t="s">
        <v>3101</v>
      </c>
      <c r="I23" s="1285"/>
      <c r="J23" s="1285"/>
      <c r="K23" s="1286"/>
      <c r="L23" s="1409">
        <v>1106000</v>
      </c>
      <c r="M23" s="1410"/>
      <c r="N23" s="452"/>
      <c r="O23" s="452"/>
      <c r="P23" s="452"/>
      <c r="Q23" s="452"/>
      <c r="S23" s="1405"/>
      <c r="T23" s="1406"/>
    </row>
    <row r="24" spans="1:20" s="400" customFormat="1" ht="16.899999999999999" customHeight="1">
      <c r="A24" s="452"/>
      <c r="B24" s="835" t="s">
        <v>215</v>
      </c>
      <c r="C24" s="836"/>
      <c r="D24" s="1417"/>
      <c r="E24" s="1417"/>
      <c r="F24" s="1417"/>
      <c r="G24" s="1417"/>
      <c r="H24" s="1284"/>
      <c r="I24" s="1285"/>
      <c r="J24" s="1285"/>
      <c r="K24" s="1286"/>
      <c r="L24" s="1409"/>
      <c r="M24" s="1410"/>
      <c r="N24" s="452"/>
      <c r="O24" s="452"/>
      <c r="P24" s="452"/>
      <c r="Q24" s="452"/>
      <c r="S24" s="1405"/>
      <c r="T24" s="1406"/>
    </row>
    <row r="25" spans="1:20" s="400" customFormat="1" ht="16.899999999999999" customHeight="1">
      <c r="A25" s="452"/>
      <c r="B25" s="397" t="s">
        <v>3322</v>
      </c>
      <c r="C25" s="452"/>
      <c r="D25" s="452"/>
      <c r="E25" s="452"/>
      <c r="F25" s="452"/>
      <c r="G25" s="452"/>
      <c r="H25" s="452"/>
      <c r="I25" s="452"/>
      <c r="L25" s="987">
        <f>SUM(L14:L24)</f>
        <v>10019523</v>
      </c>
      <c r="M25" s="988"/>
      <c r="N25" s="475"/>
      <c r="O25" s="475"/>
      <c r="P25" s="475"/>
      <c r="Q25" s="475"/>
      <c r="S25" s="1405"/>
      <c r="T25" s="1406"/>
    </row>
    <row r="26" spans="1:20" s="400" customFormat="1" ht="16.899999999999999" customHeight="1">
      <c r="A26" s="452"/>
      <c r="B26" s="826" t="s">
        <v>3323</v>
      </c>
      <c r="C26" s="452"/>
      <c r="D26" s="452"/>
      <c r="E26" s="452"/>
      <c r="F26" s="452"/>
      <c r="G26" s="452"/>
      <c r="H26" s="452"/>
      <c r="I26" s="452"/>
      <c r="L26" s="1418">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9296134</v>
      </c>
      <c r="M26" s="1419"/>
      <c r="N26" s="980"/>
      <c r="O26" s="981"/>
      <c r="P26" s="981"/>
      <c r="Q26" s="981"/>
      <c r="S26" s="1405"/>
      <c r="T26" s="1406"/>
    </row>
    <row r="27" spans="1:20" s="400" customFormat="1" ht="16.899999999999999" customHeight="1">
      <c r="A27" s="452"/>
      <c r="B27" s="458" t="s">
        <v>2526</v>
      </c>
      <c r="C27" s="452"/>
      <c r="D27" s="452"/>
      <c r="E27" s="452"/>
      <c r="F27" s="452"/>
      <c r="G27" s="452"/>
      <c r="H27" s="452"/>
      <c r="I27" s="452"/>
      <c r="L27" s="989">
        <f>L25-L26</f>
        <v>723389</v>
      </c>
      <c r="M27" s="990"/>
      <c r="N27" s="980"/>
      <c r="O27" s="981"/>
      <c r="P27" s="981"/>
      <c r="Q27" s="981"/>
      <c r="S27" s="1407"/>
      <c r="T27" s="1408"/>
    </row>
    <row r="28" spans="1:20" ht="9.6" customHeight="1">
      <c r="A28" s="484"/>
      <c r="B28" s="397"/>
      <c r="C28" s="475"/>
      <c r="D28" s="475"/>
      <c r="E28" s="475"/>
      <c r="F28" s="475"/>
      <c r="G28" s="475"/>
      <c r="H28" s="475"/>
      <c r="I28" s="475"/>
      <c r="J28" s="475"/>
      <c r="K28" s="475"/>
      <c r="L28" s="475"/>
      <c r="M28" s="838"/>
      <c r="N28" s="838"/>
      <c r="O28" s="475"/>
      <c r="P28" s="455"/>
      <c r="Q28" s="455"/>
    </row>
    <row r="29" spans="1:20" ht="9.6" customHeight="1">
      <c r="A29" s="455" t="s">
        <v>2776</v>
      </c>
      <c r="B29" s="397" t="s">
        <v>981</v>
      </c>
      <c r="C29" s="475"/>
      <c r="D29" s="475"/>
      <c r="E29" s="475"/>
      <c r="F29" s="475"/>
      <c r="G29" s="475"/>
      <c r="H29" s="475"/>
      <c r="I29" s="475"/>
      <c r="J29" s="475"/>
      <c r="K29" s="475"/>
      <c r="L29" s="475"/>
      <c r="M29" s="838"/>
      <c r="N29" s="838"/>
      <c r="O29" s="475"/>
      <c r="P29" s="455"/>
      <c r="Q29" s="455"/>
      <c r="S29" s="510" t="str">
        <f>B29</f>
        <v>PERMANENT FINANCING</v>
      </c>
    </row>
    <row r="30" spans="1:20" s="400" customFormat="1" ht="13.15" customHeight="1">
      <c r="A30" s="452"/>
      <c r="B30" s="452"/>
      <c r="C30" s="452"/>
      <c r="D30" s="452"/>
      <c r="E30" s="452"/>
      <c r="F30" s="838"/>
      <c r="G30" s="838"/>
      <c r="H30" s="972"/>
      <c r="I30" s="972"/>
      <c r="J30" s="545" t="s">
        <v>2465</v>
      </c>
      <c r="K30" s="838" t="s">
        <v>3319</v>
      </c>
      <c r="L30" s="838" t="s">
        <v>3324</v>
      </c>
      <c r="M30" s="901" t="s">
        <v>1545</v>
      </c>
      <c r="N30" s="901"/>
      <c r="O30" s="825"/>
      <c r="P30" s="838"/>
      <c r="Q30" s="973" t="s">
        <v>3092</v>
      </c>
      <c r="S30" s="510"/>
    </row>
    <row r="31" spans="1:20" s="400" customFormat="1" ht="13.15" customHeight="1">
      <c r="A31" s="452"/>
      <c r="B31" s="831" t="s">
        <v>354</v>
      </c>
      <c r="C31" s="836"/>
      <c r="D31" s="836"/>
      <c r="E31" s="953" t="s">
        <v>3321</v>
      </c>
      <c r="F31" s="953"/>
      <c r="G31" s="953"/>
      <c r="H31" s="895" t="s">
        <v>642</v>
      </c>
      <c r="I31" s="895"/>
      <c r="J31" s="828" t="s">
        <v>246</v>
      </c>
      <c r="K31" s="828" t="s">
        <v>2965</v>
      </c>
      <c r="L31" s="828" t="s">
        <v>2965</v>
      </c>
      <c r="M31" s="1420"/>
      <c r="N31" s="1420"/>
      <c r="O31" s="895" t="s">
        <v>1586</v>
      </c>
      <c r="P31" s="895"/>
      <c r="Q31" s="974"/>
      <c r="S31" s="971" t="s">
        <v>3807</v>
      </c>
      <c r="T31" s="971"/>
    </row>
    <row r="32" spans="1:20" s="400" customFormat="1" ht="13.15" customHeight="1">
      <c r="A32" s="452"/>
      <c r="B32" s="957" t="s">
        <v>3197</v>
      </c>
      <c r="C32" s="958"/>
      <c r="D32" s="958"/>
      <c r="E32" s="1284"/>
      <c r="F32" s="1421"/>
      <c r="G32" s="1422"/>
      <c r="H32" s="1423"/>
      <c r="I32" s="1422"/>
      <c r="J32" s="1424"/>
      <c r="K32" s="1298"/>
      <c r="L32" s="1298"/>
      <c r="M32" s="1425" t="str">
        <f>IF(OR(H32&lt;=0,H32=""),"",IF(O32="Amortizing",-PMT(J32/12,L32*12,H32,0,0)*12,""))</f>
        <v/>
      </c>
      <c r="N32" s="1426"/>
      <c r="O32" s="1278"/>
      <c r="P32" s="1279"/>
      <c r="Q32" s="1427"/>
      <c r="S32" s="1403"/>
      <c r="T32" s="1404"/>
    </row>
    <row r="33" spans="1:20" s="400" customFormat="1" ht="13.15" customHeight="1">
      <c r="A33" s="452"/>
      <c r="B33" s="952" t="s">
        <v>3198</v>
      </c>
      <c r="C33" s="953"/>
      <c r="D33" s="953"/>
      <c r="E33" s="1289"/>
      <c r="F33" s="1428"/>
      <c r="G33" s="1429"/>
      <c r="H33" s="1430"/>
      <c r="I33" s="1422"/>
      <c r="J33" s="1424"/>
      <c r="K33" s="1298"/>
      <c r="L33" s="1298"/>
      <c r="M33" s="1425" t="str">
        <f>IF(OR(H33&lt;=0,H33=""),"",IF(O33="Amortizing",-PMT(J33/12,L33*12,H33,0,0)*12,""))</f>
        <v/>
      </c>
      <c r="N33" s="1426"/>
      <c r="O33" s="1278"/>
      <c r="P33" s="1279"/>
      <c r="Q33" s="1427"/>
      <c r="S33" s="1405"/>
      <c r="T33" s="1406"/>
    </row>
    <row r="34" spans="1:20" s="400" customFormat="1" ht="13.15" customHeight="1">
      <c r="A34" s="452"/>
      <c r="B34" s="952" t="s">
        <v>3199</v>
      </c>
      <c r="C34" s="953"/>
      <c r="D34" s="953"/>
      <c r="E34" s="1284"/>
      <c r="F34" s="1421"/>
      <c r="G34" s="1422"/>
      <c r="H34" s="1430"/>
      <c r="I34" s="1422"/>
      <c r="J34" s="1424"/>
      <c r="K34" s="1298"/>
      <c r="L34" s="1298"/>
      <c r="M34" s="1425" t="str">
        <f>IF(OR(H34&lt;=0,H34=""),"",IF(O34="Amortizing",-PMT(J34/12,L34*12,H34,0,0)*12,""))</f>
        <v/>
      </c>
      <c r="N34" s="1426"/>
      <c r="O34" s="1278"/>
      <c r="P34" s="1279"/>
      <c r="Q34" s="1427"/>
      <c r="S34" s="1405"/>
      <c r="T34" s="1406"/>
    </row>
    <row r="35" spans="1:20" s="400" customFormat="1" ht="13.15" customHeight="1">
      <c r="A35" s="452"/>
      <c r="B35" s="832" t="s">
        <v>2775</v>
      </c>
      <c r="C35" s="1278"/>
      <c r="D35" s="1279"/>
      <c r="E35" s="1284"/>
      <c r="F35" s="1421"/>
      <c r="G35" s="1422"/>
      <c r="H35" s="1430"/>
      <c r="I35" s="1422"/>
      <c r="J35" s="1424"/>
      <c r="K35" s="1298"/>
      <c r="L35" s="1298"/>
      <c r="M35" s="1425" t="str">
        <f>IF(OR(H35&lt;=0,H35=""),"",IF(O35="Amortizing",-PMT(J35/12,L35*12,H35,0,0)*12,""))</f>
        <v/>
      </c>
      <c r="N35" s="1426"/>
      <c r="O35" s="1278"/>
      <c r="P35" s="1279"/>
      <c r="Q35" s="1427"/>
      <c r="S35" s="1405"/>
      <c r="T35" s="1406"/>
    </row>
    <row r="36" spans="1:20" s="400" customFormat="1" ht="13.15" customHeight="1">
      <c r="A36" s="452"/>
      <c r="B36" s="832" t="s">
        <v>1454</v>
      </c>
      <c r="C36" s="830"/>
      <c r="D36" s="839"/>
      <c r="E36" s="1284" t="s">
        <v>3101</v>
      </c>
      <c r="F36" s="1421"/>
      <c r="G36" s="1422"/>
      <c r="H36" s="1430">
        <v>2106000</v>
      </c>
      <c r="I36" s="1422"/>
      <c r="J36" s="791"/>
      <c r="K36" s="840"/>
      <c r="L36" s="840"/>
      <c r="M36" s="960" t="str">
        <f>IF(OR(H36&lt;=0,H36=""),"",IF(O36="Amortizing",-PMT(J36/12,L36*12,H36,0,0)*12,""))</f>
        <v/>
      </c>
      <c r="N36" s="960"/>
      <c r="O36" s="959"/>
      <c r="P36" s="959"/>
      <c r="Q36" s="792"/>
      <c r="S36" s="1405"/>
      <c r="T36" s="1406"/>
    </row>
    <row r="37" spans="1:20" s="400" customFormat="1" ht="13.15" customHeight="1">
      <c r="A37" s="452"/>
      <c r="B37" s="835" t="s">
        <v>2071</v>
      </c>
      <c r="C37" s="836"/>
      <c r="D37" s="546">
        <f>IF(OR(H37="",H37=0,'Part IV-Uses of Funds'!$G$109="",'Part IV-Uses of Funds'!$G$109=0),"",H37/'Part IV-Uses of Funds'!$G$109)</f>
        <v>6.179591836734694E-4</v>
      </c>
      <c r="E37" s="1284" t="s">
        <v>3102</v>
      </c>
      <c r="F37" s="1421"/>
      <c r="G37" s="1422"/>
      <c r="H37" s="1430">
        <v>757</v>
      </c>
      <c r="I37" s="1422"/>
      <c r="J37" s="1424">
        <v>0</v>
      </c>
      <c r="K37" s="1298">
        <v>1</v>
      </c>
      <c r="L37" s="1298">
        <v>1</v>
      </c>
      <c r="M37" s="1425">
        <v>757</v>
      </c>
      <c r="N37" s="1426"/>
      <c r="O37" s="1278" t="s">
        <v>1261</v>
      </c>
      <c r="P37" s="1279"/>
      <c r="Q37" s="1427">
        <v>1</v>
      </c>
      <c r="S37" s="1405"/>
      <c r="T37" s="1406"/>
    </row>
    <row r="38" spans="1:20" s="400" customFormat="1" ht="13.15" customHeight="1">
      <c r="A38" s="452"/>
      <c r="B38" s="957" t="s">
        <v>2966</v>
      </c>
      <c r="C38" s="958"/>
      <c r="D38" s="964"/>
      <c r="E38" s="1284"/>
      <c r="F38" s="1421"/>
      <c r="G38" s="1422"/>
      <c r="H38" s="1431"/>
      <c r="I38" s="1432"/>
      <c r="K38" s="547"/>
      <c r="L38" s="547"/>
      <c r="M38" s="547"/>
      <c r="N38" s="547"/>
      <c r="O38" s="547"/>
      <c r="P38" s="547"/>
      <c r="Q38" s="547"/>
      <c r="S38" s="1403"/>
      <c r="T38" s="1404"/>
    </row>
    <row r="39" spans="1:20" s="400" customFormat="1" ht="13.15" customHeight="1">
      <c r="A39" s="452"/>
      <c r="B39" s="952" t="s">
        <v>982</v>
      </c>
      <c r="C39" s="953"/>
      <c r="D39" s="954"/>
      <c r="E39" s="1284"/>
      <c r="F39" s="1421"/>
      <c r="G39" s="1422"/>
      <c r="H39" s="1431"/>
      <c r="I39" s="1432"/>
      <c r="J39" s="967" t="s">
        <v>718</v>
      </c>
      <c r="K39" s="968"/>
      <c r="L39" s="966" t="s">
        <v>719</v>
      </c>
      <c r="M39" s="966"/>
      <c r="O39" s="628" t="s">
        <v>717</v>
      </c>
      <c r="P39" s="548"/>
      <c r="Q39" s="547"/>
      <c r="S39" s="1405"/>
      <c r="T39" s="1406"/>
    </row>
    <row r="40" spans="1:20" s="400" customFormat="1" ht="13.15" customHeight="1">
      <c r="A40" s="452"/>
      <c r="B40" s="952" t="s">
        <v>983</v>
      </c>
      <c r="C40" s="953"/>
      <c r="D40" s="954"/>
      <c r="E40" s="1284" t="s">
        <v>102</v>
      </c>
      <c r="F40" s="1285"/>
      <c r="G40" s="1286"/>
      <c r="H40" s="1430">
        <v>5802020</v>
      </c>
      <c r="I40" s="1433"/>
      <c r="J40" s="961">
        <f>'Part IV-Uses of Funds'!$J$165*10*'Part IV-Uses of Funds'!$N$158</f>
        <v>5802600</v>
      </c>
      <c r="K40" s="962"/>
      <c r="L40" s="963">
        <f>H40-J40</f>
        <v>-580</v>
      </c>
      <c r="M40" s="963"/>
      <c r="O40" s="629" t="s">
        <v>3122</v>
      </c>
      <c r="P40" s="548"/>
      <c r="Q40" s="547"/>
      <c r="S40" s="1405"/>
      <c r="T40" s="1406"/>
    </row>
    <row r="41" spans="1:20" s="400" customFormat="1" ht="13.15" customHeight="1">
      <c r="A41" s="452"/>
      <c r="B41" s="952" t="s">
        <v>984</v>
      </c>
      <c r="C41" s="953"/>
      <c r="D41" s="954"/>
      <c r="E41" s="1284" t="s">
        <v>102</v>
      </c>
      <c r="F41" s="1285"/>
      <c r="G41" s="1286"/>
      <c r="H41" s="1430">
        <v>1756050</v>
      </c>
      <c r="I41" s="1433"/>
      <c r="J41" s="961">
        <f>'Part IV-Uses of Funds'!$J$165*10*'Part IV-Uses of Funds'!$Q$158</f>
        <v>1756050</v>
      </c>
      <c r="K41" s="962"/>
      <c r="L41" s="963">
        <f>H41-J41</f>
        <v>0</v>
      </c>
      <c r="M41" s="963"/>
      <c r="O41" s="630">
        <f>H40/H50</f>
        <v>0.50588307200926874</v>
      </c>
      <c r="P41" s="548"/>
      <c r="Q41" s="547"/>
      <c r="S41" s="1405"/>
      <c r="T41" s="1406"/>
    </row>
    <row r="42" spans="1:20" s="400" customFormat="1" ht="13.15" customHeight="1">
      <c r="A42" s="452"/>
      <c r="B42" s="952" t="s">
        <v>1489</v>
      </c>
      <c r="C42" s="953"/>
      <c r="D42" s="954"/>
      <c r="E42" s="1284" t="s">
        <v>102</v>
      </c>
      <c r="F42" s="1285"/>
      <c r="G42" s="1286"/>
      <c r="H42" s="1430">
        <v>1630266</v>
      </c>
      <c r="I42" s="1433"/>
      <c r="M42" s="548"/>
      <c r="O42" s="630">
        <f>H41/H50</f>
        <v>0.15311149713408026</v>
      </c>
      <c r="P42" s="548"/>
      <c r="Q42" s="547"/>
      <c r="S42" s="1407"/>
      <c r="T42" s="1408"/>
    </row>
    <row r="43" spans="1:20" s="400" customFormat="1" ht="13.15" customHeight="1">
      <c r="A43" s="452"/>
      <c r="B43" s="832" t="s">
        <v>733</v>
      </c>
      <c r="C43" s="830"/>
      <c r="D43" s="839"/>
      <c r="E43" s="1284"/>
      <c r="F43" s="1285"/>
      <c r="G43" s="1286"/>
      <c r="H43" s="1430"/>
      <c r="I43" s="1433"/>
      <c r="K43" s="452"/>
      <c r="L43" s="452"/>
      <c r="M43" s="548"/>
      <c r="O43" s="631">
        <f>SUM(O41:O42)</f>
        <v>0.65899456914334897</v>
      </c>
      <c r="P43" s="548"/>
      <c r="Q43" s="547"/>
      <c r="S43" s="1405"/>
      <c r="T43" s="1406"/>
    </row>
    <row r="44" spans="1:20" s="400" customFormat="1" ht="13.15" customHeight="1">
      <c r="A44" s="452"/>
      <c r="B44" s="832" t="s">
        <v>352</v>
      </c>
      <c r="C44" s="830"/>
      <c r="D44" s="839"/>
      <c r="E44" s="1284"/>
      <c r="F44" s="1285"/>
      <c r="G44" s="1286"/>
      <c r="H44" s="1430"/>
      <c r="I44" s="1433"/>
      <c r="J44" s="452"/>
      <c r="M44" s="548"/>
      <c r="N44" s="548"/>
      <c r="O44" s="548"/>
      <c r="P44" s="548"/>
      <c r="Q44" s="547"/>
      <c r="S44" s="1405"/>
      <c r="T44" s="1406"/>
    </row>
    <row r="45" spans="1:20" s="400" customFormat="1" ht="13.15" customHeight="1">
      <c r="A45" s="452"/>
      <c r="B45" s="832" t="s">
        <v>353</v>
      </c>
      <c r="C45" s="830"/>
      <c r="D45" s="839"/>
      <c r="E45" s="1284"/>
      <c r="F45" s="1285"/>
      <c r="G45" s="1286"/>
      <c r="H45" s="1430"/>
      <c r="I45" s="1433"/>
      <c r="J45" s="452"/>
      <c r="M45" s="548"/>
      <c r="N45" s="548"/>
      <c r="O45" s="548"/>
      <c r="P45" s="548"/>
      <c r="Q45" s="547"/>
      <c r="S45" s="1405"/>
      <c r="T45" s="1406"/>
    </row>
    <row r="46" spans="1:20" s="400" customFormat="1" ht="13.15" customHeight="1">
      <c r="A46" s="452"/>
      <c r="B46" s="832" t="s">
        <v>2775</v>
      </c>
      <c r="C46" s="1284" t="s">
        <v>3100</v>
      </c>
      <c r="D46" s="1286"/>
      <c r="E46" s="1284" t="s">
        <v>102</v>
      </c>
      <c r="F46" s="1285"/>
      <c r="G46" s="1286"/>
      <c r="H46" s="1430">
        <v>174000</v>
      </c>
      <c r="I46" s="1433"/>
      <c r="J46" s="452"/>
      <c r="M46" s="548"/>
      <c r="N46" s="548"/>
      <c r="O46" s="548"/>
      <c r="P46" s="548"/>
      <c r="Q46" s="547"/>
      <c r="S46" s="1405"/>
      <c r="T46" s="1406"/>
    </row>
    <row r="47" spans="1:20" s="400" customFormat="1" ht="13.15" customHeight="1">
      <c r="A47" s="452"/>
      <c r="B47" s="832" t="s">
        <v>2775</v>
      </c>
      <c r="C47" s="1284"/>
      <c r="D47" s="1286"/>
      <c r="E47" s="1284"/>
      <c r="F47" s="1285"/>
      <c r="G47" s="1286"/>
      <c r="H47" s="1430"/>
      <c r="I47" s="1433"/>
      <c r="J47" s="452"/>
      <c r="K47" s="452"/>
      <c r="L47" s="549"/>
      <c r="M47" s="548"/>
      <c r="N47" s="548"/>
      <c r="O47" s="548"/>
      <c r="P47" s="548"/>
      <c r="Q47" s="547"/>
      <c r="S47" s="1405"/>
      <c r="T47" s="1406"/>
    </row>
    <row r="48" spans="1:20" s="400" customFormat="1" ht="13.15" customHeight="1">
      <c r="A48" s="452"/>
      <c r="B48" s="835" t="s">
        <v>2775</v>
      </c>
      <c r="C48" s="1284"/>
      <c r="D48" s="1286"/>
      <c r="E48" s="1284"/>
      <c r="F48" s="1285"/>
      <c r="G48" s="1286"/>
      <c r="H48" s="1430"/>
      <c r="I48" s="1433"/>
      <c r="J48" s="452"/>
      <c r="K48" s="452"/>
      <c r="L48" s="549"/>
      <c r="M48" s="548"/>
      <c r="N48" s="548"/>
      <c r="O48" s="548"/>
      <c r="P48" s="548"/>
      <c r="Q48" s="547"/>
      <c r="S48" s="1405"/>
      <c r="T48" s="1406"/>
    </row>
    <row r="49" spans="1:23" s="400" customFormat="1" ht="13.15" customHeight="1">
      <c r="A49" s="452"/>
      <c r="B49" s="826" t="s">
        <v>2967</v>
      </c>
      <c r="C49" s="452"/>
      <c r="D49" s="452"/>
      <c r="E49" s="452"/>
      <c r="F49" s="452"/>
      <c r="G49" s="452"/>
      <c r="H49" s="969">
        <f>SUM(H32:I48)</f>
        <v>11469093</v>
      </c>
      <c r="I49" s="970"/>
      <c r="J49" s="475"/>
      <c r="K49" s="452"/>
      <c r="L49" s="549"/>
      <c r="M49" s="548"/>
      <c r="N49" s="548"/>
      <c r="O49" s="548"/>
      <c r="P49" s="548"/>
      <c r="Q49" s="547"/>
      <c r="S49" s="1405"/>
      <c r="T49" s="1406"/>
    </row>
    <row r="50" spans="1:23" s="400" customFormat="1" ht="13.15" customHeight="1" thickBot="1">
      <c r="A50" s="452"/>
      <c r="B50" s="826" t="s">
        <v>2968</v>
      </c>
      <c r="C50" s="452"/>
      <c r="D50" s="452"/>
      <c r="E50" s="452"/>
      <c r="F50" s="452"/>
      <c r="G50" s="452"/>
      <c r="H50" s="955">
        <f>'Part IV-Uses of Funds'!$G$123</f>
        <v>11469093</v>
      </c>
      <c r="I50" s="956"/>
      <c r="J50" s="475"/>
      <c r="K50" s="452"/>
      <c r="L50" s="549"/>
      <c r="M50" s="548"/>
      <c r="N50" s="548"/>
      <c r="O50" s="548"/>
      <c r="P50" s="548"/>
      <c r="Q50" s="547"/>
      <c r="S50" s="1405"/>
      <c r="T50" s="1406"/>
    </row>
    <row r="51" spans="1:23" s="400" customFormat="1" ht="13.15" customHeight="1" thickBot="1">
      <c r="A51" s="452"/>
      <c r="B51" s="458" t="s">
        <v>3487</v>
      </c>
      <c r="C51" s="452"/>
      <c r="D51" s="452"/>
      <c r="E51" s="452"/>
      <c r="F51" s="452"/>
      <c r="G51" s="452"/>
      <c r="H51" s="950">
        <f>H49-H50</f>
        <v>0</v>
      </c>
      <c r="I51" s="951"/>
      <c r="J51" s="475"/>
      <c r="K51" s="452"/>
      <c r="L51" s="549"/>
      <c r="M51" s="548"/>
      <c r="N51" s="548"/>
      <c r="O51" s="548"/>
      <c r="P51" s="548"/>
      <c r="Q51" s="547"/>
      <c r="S51" s="1407"/>
      <c r="T51" s="1408"/>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2124</v>
      </c>
      <c r="B53" s="455" t="s">
        <v>781</v>
      </c>
      <c r="C53" s="475"/>
      <c r="D53" s="475"/>
      <c r="E53" s="475"/>
      <c r="F53" s="475"/>
      <c r="G53" s="475"/>
      <c r="H53" s="475"/>
      <c r="I53" s="475"/>
      <c r="J53" s="475"/>
      <c r="K53" s="455" t="s">
        <v>2124</v>
      </c>
      <c r="L53" s="455" t="s">
        <v>1591</v>
      </c>
      <c r="M53" s="475"/>
      <c r="N53" s="475"/>
      <c r="O53" s="475"/>
      <c r="P53" s="475"/>
      <c r="Q53" s="475"/>
    </row>
    <row r="54" spans="1:23" ht="5.45" customHeight="1">
      <c r="B54" s="512"/>
    </row>
    <row r="55" spans="1:23" ht="67.900000000000006" customHeight="1">
      <c r="A55" s="1352"/>
      <c r="B55" s="1434"/>
      <c r="C55" s="1434"/>
      <c r="D55" s="1434"/>
      <c r="E55" s="1434"/>
      <c r="F55" s="1434"/>
      <c r="G55" s="1434"/>
      <c r="H55" s="1434"/>
      <c r="I55" s="1434"/>
      <c r="J55" s="1435"/>
      <c r="K55" s="1355"/>
      <c r="L55" s="1434"/>
      <c r="M55" s="1434"/>
      <c r="N55" s="1434"/>
      <c r="O55" s="1434"/>
      <c r="P55" s="1434"/>
      <c r="Q55" s="1435"/>
      <c r="S55" s="965" t="s">
        <v>4049</v>
      </c>
      <c r="T55" s="965"/>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N8:Q8"/>
    <mergeCell ref="E31:G31"/>
    <mergeCell ref="H15:K15"/>
    <mergeCell ref="H14:K14"/>
    <mergeCell ref="H16:K16"/>
    <mergeCell ref="Q5:Q7"/>
    <mergeCell ref="L15:M15"/>
    <mergeCell ref="I7:I8"/>
    <mergeCell ref="H13:K13"/>
    <mergeCell ref="J5:K5"/>
    <mergeCell ref="K7:L8"/>
    <mergeCell ref="P15:Q15"/>
    <mergeCell ref="H19:K19"/>
    <mergeCell ref="L23:M23"/>
    <mergeCell ref="L25:M25"/>
    <mergeCell ref="L26:M26"/>
    <mergeCell ref="L27:M27"/>
    <mergeCell ref="N11:O11"/>
    <mergeCell ref="L13:M13"/>
    <mergeCell ref="B14:D14"/>
    <mergeCell ref="H24:K24"/>
    <mergeCell ref="D23:G23"/>
    <mergeCell ref="L20:M20"/>
    <mergeCell ref="H20:K20"/>
    <mergeCell ref="B20:D20"/>
    <mergeCell ref="L19:M19"/>
    <mergeCell ref="L16:M16"/>
    <mergeCell ref="B19:D19"/>
    <mergeCell ref="L21:M21"/>
    <mergeCell ref="D24:G24"/>
    <mergeCell ref="H22:K22"/>
    <mergeCell ref="L22:M22"/>
    <mergeCell ref="N16:O16"/>
    <mergeCell ref="N15:O15"/>
    <mergeCell ref="H32:I32"/>
    <mergeCell ref="D22:G22"/>
    <mergeCell ref="B21:D21"/>
    <mergeCell ref="H21:K21"/>
    <mergeCell ref="B15:D15"/>
    <mergeCell ref="B18:D18"/>
    <mergeCell ref="B17:D17"/>
    <mergeCell ref="B16:D16"/>
    <mergeCell ref="N26:Q27"/>
    <mergeCell ref="Q30:Q31"/>
    <mergeCell ref="O31:P31"/>
    <mergeCell ref="S1:T1"/>
    <mergeCell ref="S13:T13"/>
    <mergeCell ref="P18:Q18"/>
    <mergeCell ref="H18:K18"/>
    <mergeCell ref="L17:M17"/>
    <mergeCell ref="H17:K17"/>
    <mergeCell ref="L18:M18"/>
    <mergeCell ref="L14:M14"/>
    <mergeCell ref="P14:Q14"/>
    <mergeCell ref="N13:O13"/>
    <mergeCell ref="N17:O17"/>
    <mergeCell ref="S4:T4"/>
    <mergeCell ref="S14:T20"/>
    <mergeCell ref="S5:T8"/>
    <mergeCell ref="N14:O14"/>
    <mergeCell ref="P17:Q17"/>
    <mergeCell ref="N18:O18"/>
    <mergeCell ref="P16:Q16"/>
    <mergeCell ref="P13:Q13"/>
    <mergeCell ref="N19:O19"/>
    <mergeCell ref="P19:Q19"/>
    <mergeCell ref="A1:Q1"/>
    <mergeCell ref="H30:I30"/>
    <mergeCell ref="H23:K23"/>
    <mergeCell ref="L24:M24"/>
    <mergeCell ref="H31:I31"/>
    <mergeCell ref="M30:N31"/>
    <mergeCell ref="O33:P33"/>
    <mergeCell ref="M34:N34"/>
    <mergeCell ref="O32:P32"/>
    <mergeCell ref="M33:N33"/>
    <mergeCell ref="S21:T27"/>
    <mergeCell ref="O34:P34"/>
    <mergeCell ref="S55:T55"/>
    <mergeCell ref="S43:T51"/>
    <mergeCell ref="H39:I39"/>
    <mergeCell ref="J40:K40"/>
    <mergeCell ref="A55:J55"/>
    <mergeCell ref="K55:Q55"/>
    <mergeCell ref="B39:D39"/>
    <mergeCell ref="S38:T42"/>
    <mergeCell ref="H46:I46"/>
    <mergeCell ref="H41:I41"/>
    <mergeCell ref="L39:M39"/>
    <mergeCell ref="E36:G36"/>
    <mergeCell ref="E37:G37"/>
    <mergeCell ref="E35:G35"/>
    <mergeCell ref="H38:I38"/>
    <mergeCell ref="J39:K39"/>
    <mergeCell ref="H49:I49"/>
    <mergeCell ref="E47:G47"/>
    <mergeCell ref="S32:T37"/>
    <mergeCell ref="O35:P35"/>
    <mergeCell ref="M32:N32"/>
    <mergeCell ref="S31:T31"/>
    <mergeCell ref="B32:D32"/>
    <mergeCell ref="E32:G32"/>
    <mergeCell ref="O36:P36"/>
    <mergeCell ref="O37:P37"/>
    <mergeCell ref="M36:N36"/>
    <mergeCell ref="M37:N37"/>
    <mergeCell ref="H40:I40"/>
    <mergeCell ref="J41:K41"/>
    <mergeCell ref="L40:M40"/>
    <mergeCell ref="L41:M41"/>
    <mergeCell ref="H36:I36"/>
    <mergeCell ref="H37:I37"/>
    <mergeCell ref="B33:D33"/>
    <mergeCell ref="B34:D34"/>
    <mergeCell ref="E34:G34"/>
    <mergeCell ref="H35:I35"/>
    <mergeCell ref="B38:D38"/>
    <mergeCell ref="E38:G38"/>
    <mergeCell ref="H33:I33"/>
    <mergeCell ref="H34:I34"/>
    <mergeCell ref="E33:G33"/>
    <mergeCell ref="M35:N35"/>
    <mergeCell ref="H51:I51"/>
    <mergeCell ref="E48:G48"/>
    <mergeCell ref="H42:I42"/>
    <mergeCell ref="E41:G41"/>
    <mergeCell ref="B42:D42"/>
    <mergeCell ref="E43:G43"/>
    <mergeCell ref="C35:D35"/>
    <mergeCell ref="E45:G45"/>
    <mergeCell ref="H50:I50"/>
    <mergeCell ref="H48:I48"/>
    <mergeCell ref="C46:D46"/>
    <mergeCell ref="C47:D47"/>
    <mergeCell ref="C48:D48"/>
    <mergeCell ref="H47:I47"/>
    <mergeCell ref="E44:G44"/>
    <mergeCell ref="H45:I45"/>
    <mergeCell ref="E42:G42"/>
    <mergeCell ref="H44:I44"/>
    <mergeCell ref="E46:G46"/>
    <mergeCell ref="H43:I43"/>
    <mergeCell ref="B40:D40"/>
    <mergeCell ref="E40:G40"/>
    <mergeCell ref="B41:D41"/>
    <mergeCell ref="E39:G39"/>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991" t="str">
        <f>CONCATENATE("PART III B: USD 538 LOAN","  -  ",'Part I-Project Information'!$O$4," ",'Part I-Project Information'!$F$22,", ",'Part I-Project Information'!$F$24,", ",'Part I-Project Information'!$J$25," County")</f>
        <v>PART III B: USD 538 LOAN  -  2012-052 Freedom's Path I, Augusta, Richmond County</v>
      </c>
      <c r="B1" s="992"/>
      <c r="C1" s="992"/>
      <c r="D1" s="992"/>
      <c r="E1" s="992"/>
      <c r="F1" s="993"/>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5" t="s">
        <v>2058</v>
      </c>
      <c r="B3" s="995"/>
      <c r="C3" s="995"/>
      <c r="D3" s="995"/>
      <c r="E3" s="995"/>
      <c r="F3" s="995"/>
      <c r="G3" s="274"/>
      <c r="H3" s="274"/>
    </row>
    <row r="4" spans="1:17" s="262" customFormat="1" ht="6" customHeight="1"/>
    <row r="5" spans="1:17">
      <c r="A5" s="40" t="s">
        <v>3628</v>
      </c>
      <c r="B5" s="40"/>
      <c r="C5" s="372"/>
      <c r="D5" s="373">
        <f>IF(C5&gt;1500000,1500000,0)</f>
        <v>0</v>
      </c>
      <c r="E5" s="374">
        <f>IF(C5&gt;1500000,C5-1500000,0)</f>
        <v>0</v>
      </c>
    </row>
    <row r="6" spans="1:17">
      <c r="A6" s="40" t="s">
        <v>3787</v>
      </c>
      <c r="B6" s="299" t="s">
        <v>665</v>
      </c>
      <c r="C6" s="375">
        <v>0</v>
      </c>
      <c r="D6" s="162" t="s">
        <v>666</v>
      </c>
      <c r="E6" s="40"/>
    </row>
    <row r="7" spans="1:17">
      <c r="A7" s="40"/>
      <c r="B7" s="299" t="s">
        <v>3151</v>
      </c>
      <c r="C7" s="376"/>
      <c r="D7" s="162" t="s">
        <v>1988</v>
      </c>
      <c r="E7" s="40"/>
    </row>
    <row r="8" spans="1:17" ht="13.15" customHeight="1">
      <c r="A8" s="40" t="s">
        <v>3791</v>
      </c>
      <c r="B8" s="40"/>
      <c r="C8" s="375">
        <v>0</v>
      </c>
      <c r="D8" s="162" t="s">
        <v>1989</v>
      </c>
      <c r="E8" s="40"/>
    </row>
    <row r="9" spans="1:17">
      <c r="A9" s="40" t="s">
        <v>1462</v>
      </c>
      <c r="B9" s="40"/>
      <c r="C9" s="377"/>
      <c r="D9" s="40"/>
      <c r="E9" s="40"/>
    </row>
    <row r="10" spans="1:17">
      <c r="A10" s="40" t="s">
        <v>1463</v>
      </c>
      <c r="B10" s="40"/>
      <c r="C10" s="377"/>
      <c r="D10" s="40"/>
      <c r="E10" s="40"/>
    </row>
    <row r="11" spans="1:17">
      <c r="A11" s="40" t="s">
        <v>1460</v>
      </c>
      <c r="B11" s="40"/>
      <c r="C11" s="378" t="e">
        <f>PMT(C7/12,C10*12,-C5,0,0)*12</f>
        <v>#NUM!</v>
      </c>
      <c r="D11" s="373" t="e">
        <f>PMT($C$7/12,$C$10*12,-D5,0,0)*12</f>
        <v>#NUM!</v>
      </c>
      <c r="E11" s="373" t="e">
        <f>PMT($C$7/12,$C$10*12,-E5,0,0)*12</f>
        <v>#NUM!</v>
      </c>
    </row>
    <row r="12" spans="1:17">
      <c r="A12" s="40" t="s">
        <v>1461</v>
      </c>
      <c r="B12" s="40"/>
      <c r="C12" s="379" t="e">
        <f>C11/12</f>
        <v>#NUM!</v>
      </c>
      <c r="D12" s="373" t="e">
        <f>D11/12</f>
        <v>#NUM!</v>
      </c>
      <c r="E12" s="373" t="e">
        <f>E11/12</f>
        <v>#NUM!</v>
      </c>
    </row>
    <row r="13" spans="1:17" ht="10.9" customHeight="1">
      <c r="A13" s="274"/>
      <c r="B13" s="274"/>
      <c r="C13" s="274"/>
      <c r="D13" s="274"/>
      <c r="E13" s="274"/>
      <c r="F13" s="274"/>
      <c r="G13" s="274"/>
      <c r="H13" s="274"/>
    </row>
    <row r="14" spans="1:17" ht="12.6" customHeight="1">
      <c r="A14" s="996" t="s">
        <v>1643</v>
      </c>
      <c r="B14" s="996"/>
      <c r="C14" s="996"/>
      <c r="D14" s="996"/>
      <c r="E14" s="996"/>
      <c r="F14" s="996"/>
      <c r="G14" s="274"/>
      <c r="H14" s="274"/>
    </row>
    <row r="15" spans="1:17" ht="5.45" customHeight="1">
      <c r="A15" s="32"/>
      <c r="E15" s="285"/>
      <c r="F15" s="274"/>
      <c r="G15" s="274"/>
      <c r="H15" s="274"/>
    </row>
    <row r="16" spans="1:17" ht="13.15" customHeight="1">
      <c r="A16" s="287" t="s">
        <v>3152</v>
      </c>
      <c r="B16" s="288" t="s">
        <v>3149</v>
      </c>
      <c r="C16" s="288" t="s">
        <v>3150</v>
      </c>
      <c r="D16" s="994" t="s">
        <v>3627</v>
      </c>
      <c r="E16" s="994"/>
      <c r="F16" s="274"/>
      <c r="G16" s="274"/>
      <c r="H16" s="274"/>
    </row>
    <row r="17" spans="1:8" ht="12.6" customHeight="1">
      <c r="A17" s="109">
        <v>1</v>
      </c>
      <c r="B17" s="263">
        <f>IF(A17&gt;$C$9,0,SUM(C64:C75)*($C$6/$C$7))</f>
        <v>0</v>
      </c>
      <c r="C17" s="286">
        <f>IF(A17&gt;C9,0,(E63+K63)*$C$8)</f>
        <v>0</v>
      </c>
      <c r="D17" s="998">
        <f t="shared" ref="D17:D56" si="0">IF(A17&gt;$C$9,0,$C$11+C17)</f>
        <v>0</v>
      </c>
      <c r="E17" s="998"/>
      <c r="F17" s="274"/>
      <c r="G17" s="274"/>
      <c r="H17" s="274"/>
    </row>
    <row r="18" spans="1:8" ht="12.6" customHeight="1">
      <c r="A18" s="109">
        <v>2</v>
      </c>
      <c r="B18" s="263">
        <f>IF(A18&gt;C9,0,SUM(C76:C87)*($C$6/$C$7))</f>
        <v>0</v>
      </c>
      <c r="C18" s="293">
        <f>IF(A18&gt;C9,0,(E75+K75)*$C$8)</f>
        <v>0</v>
      </c>
      <c r="D18" s="997">
        <f t="shared" si="0"/>
        <v>0</v>
      </c>
      <c r="E18" s="997"/>
      <c r="F18" s="274"/>
      <c r="G18" s="274"/>
      <c r="H18" s="274"/>
    </row>
    <row r="19" spans="1:8" ht="12.6" customHeight="1">
      <c r="A19" s="109">
        <v>3</v>
      </c>
      <c r="B19" s="263">
        <f>IF(A19&gt;C9,0,SUM(C88:C99)*($C$6/$C$7))</f>
        <v>0</v>
      </c>
      <c r="C19" s="286">
        <f>IF(A19&gt;C9,0,(E87+K87)*$C$8)</f>
        <v>0</v>
      </c>
      <c r="D19" s="997">
        <f t="shared" si="0"/>
        <v>0</v>
      </c>
      <c r="E19" s="997"/>
      <c r="F19" s="274"/>
      <c r="G19" s="274"/>
      <c r="H19" s="274"/>
    </row>
    <row r="20" spans="1:8" ht="12.6" customHeight="1">
      <c r="A20" s="109">
        <v>4</v>
      </c>
      <c r="B20" s="263">
        <f>IF(A20&gt;C9,0,SUM(C100:C111)*($C$6/$C$7))</f>
        <v>0</v>
      </c>
      <c r="C20" s="286">
        <f>IF(A20&gt;C9,0,(E99+K99)*$C$8)</f>
        <v>0</v>
      </c>
      <c r="D20" s="997">
        <f t="shared" si="0"/>
        <v>0</v>
      </c>
      <c r="E20" s="997"/>
      <c r="F20" s="274"/>
      <c r="G20" s="274"/>
      <c r="H20" s="274"/>
    </row>
    <row r="21" spans="1:8" ht="12.6" customHeight="1">
      <c r="A21" s="109">
        <v>5</v>
      </c>
      <c r="B21" s="263">
        <f>IF(A21&gt;C9,0,SUM(C112:C123)*($C$6/$C$7))</f>
        <v>0</v>
      </c>
      <c r="C21" s="286">
        <f>IF(A21&gt;C9,0,(E111+K111)*$C$8)</f>
        <v>0</v>
      </c>
      <c r="D21" s="999">
        <f t="shared" si="0"/>
        <v>0</v>
      </c>
      <c r="E21" s="999"/>
      <c r="F21" s="274"/>
      <c r="G21" s="274"/>
      <c r="H21" s="274"/>
    </row>
    <row r="22" spans="1:8" ht="12.6" customHeight="1">
      <c r="A22" s="264">
        <v>6</v>
      </c>
      <c r="B22" s="265">
        <f>IF(A22&gt;C9,0,SUM(C124:C135)*($C$6/$C$7))</f>
        <v>0</v>
      </c>
      <c r="C22" s="290">
        <f>IF(A22&gt;C9,0,(E123+K123)*$C$8)</f>
        <v>0</v>
      </c>
      <c r="D22" s="997">
        <f t="shared" si="0"/>
        <v>0</v>
      </c>
      <c r="E22" s="997"/>
      <c r="F22" s="274"/>
      <c r="G22" s="274"/>
      <c r="H22" s="274"/>
    </row>
    <row r="23" spans="1:8" ht="12.6" customHeight="1">
      <c r="A23" s="266">
        <v>7</v>
      </c>
      <c r="B23" s="267">
        <f>IF(A23&gt;C9,0,SUM(C136:C147)*($C$6/$C$7))</f>
        <v>0</v>
      </c>
      <c r="C23" s="268">
        <f>IF(A23&gt;C9,0,(E135+K135)*$C$8)</f>
        <v>0</v>
      </c>
      <c r="D23" s="997">
        <f t="shared" si="0"/>
        <v>0</v>
      </c>
      <c r="E23" s="997"/>
      <c r="F23" s="274"/>
      <c r="G23" s="274"/>
      <c r="H23" s="274"/>
    </row>
    <row r="24" spans="1:8" ht="12.6" customHeight="1">
      <c r="A24" s="266">
        <v>8</v>
      </c>
      <c r="B24" s="267">
        <f>IF(A24&gt;C9,0,SUM(C148:C159)*($C$6/$C$7))</f>
        <v>0</v>
      </c>
      <c r="C24" s="268">
        <f>IF(A24&gt;C9,0,(E147+K147)*$C$8)</f>
        <v>0</v>
      </c>
      <c r="D24" s="997">
        <f t="shared" si="0"/>
        <v>0</v>
      </c>
      <c r="E24" s="997"/>
      <c r="F24" s="274"/>
      <c r="G24" s="274"/>
      <c r="H24" s="274"/>
    </row>
    <row r="25" spans="1:8" ht="12.6" customHeight="1">
      <c r="A25" s="266">
        <v>9</v>
      </c>
      <c r="B25" s="267">
        <f>IF(A25&gt;C9,0,SUM(C160:C171)*($C$6/$C$7))</f>
        <v>0</v>
      </c>
      <c r="C25" s="268">
        <f>IF(A25&gt;C9,0,(E159+K159)*$C$8)</f>
        <v>0</v>
      </c>
      <c r="D25" s="997">
        <f t="shared" si="0"/>
        <v>0</v>
      </c>
      <c r="E25" s="997"/>
      <c r="F25" s="274"/>
      <c r="G25" s="274"/>
      <c r="H25" s="274"/>
    </row>
    <row r="26" spans="1:8" ht="12.6" customHeight="1">
      <c r="A26" s="269">
        <v>10</v>
      </c>
      <c r="B26" s="270">
        <f>IF(A26&gt;C9,0,SUM(C172:C183)*($C$6/$C$7))</f>
        <v>0</v>
      </c>
      <c r="C26" s="289">
        <f>IF(A26&gt;C9,0,(E171+K171)*$C$8)</f>
        <v>0</v>
      </c>
      <c r="D26" s="999">
        <f t="shared" si="0"/>
        <v>0</v>
      </c>
      <c r="E26" s="999"/>
      <c r="F26" s="274"/>
      <c r="G26" s="274"/>
      <c r="H26" s="274"/>
    </row>
    <row r="27" spans="1:8" ht="12.6" customHeight="1">
      <c r="A27" s="271">
        <v>11</v>
      </c>
      <c r="B27" s="263">
        <f>IF(A27&gt;C9,0,SUM(C184:C195)*($C$6/$C$7))</f>
        <v>0</v>
      </c>
      <c r="C27" s="286">
        <f>IF(A27&gt;C9,0,(E183+K183)*$C$8)</f>
        <v>0</v>
      </c>
      <c r="D27" s="997">
        <f t="shared" si="0"/>
        <v>0</v>
      </c>
      <c r="E27" s="997"/>
      <c r="F27" s="274"/>
      <c r="G27" s="274"/>
      <c r="H27" s="274"/>
    </row>
    <row r="28" spans="1:8" ht="12.6" customHeight="1">
      <c r="A28" s="271">
        <v>12</v>
      </c>
      <c r="B28" s="263">
        <f>IF(A28&gt;C9,0,SUM(C196:C207)*($C$6/$C$7))</f>
        <v>0</v>
      </c>
      <c r="C28" s="286">
        <f>IF(A28&gt;C9,0,(E195+K195)*$C$8)</f>
        <v>0</v>
      </c>
      <c r="D28" s="997">
        <f t="shared" si="0"/>
        <v>0</v>
      </c>
      <c r="E28" s="997"/>
      <c r="F28" s="274"/>
      <c r="G28" s="274"/>
      <c r="H28" s="274"/>
    </row>
    <row r="29" spans="1:8" ht="12.6" customHeight="1">
      <c r="A29" s="271">
        <v>13</v>
      </c>
      <c r="B29" s="263">
        <f>IF(A29&gt;C9,0,SUM(C208:C219)*($C$6/$C$7))</f>
        <v>0</v>
      </c>
      <c r="C29" s="286">
        <f>IF(A29&gt;C9,0,(E207+K207)*$C$8)</f>
        <v>0</v>
      </c>
      <c r="D29" s="997">
        <f t="shared" si="0"/>
        <v>0</v>
      </c>
      <c r="E29" s="997"/>
      <c r="F29" s="274"/>
      <c r="G29" s="274"/>
      <c r="H29" s="274"/>
    </row>
    <row r="30" spans="1:8" ht="12.6" customHeight="1">
      <c r="A30" s="271">
        <v>14</v>
      </c>
      <c r="B30" s="263">
        <f>IF(A30&gt;C9,0,SUM(C220:C231)*($C$6/$C$7))</f>
        <v>0</v>
      </c>
      <c r="C30" s="286">
        <f>IF(A30&gt;C9,0,(E219+K219)*$C$8)</f>
        <v>0</v>
      </c>
      <c r="D30" s="997">
        <f t="shared" si="0"/>
        <v>0</v>
      </c>
      <c r="E30" s="997"/>
      <c r="F30" s="274"/>
      <c r="G30" s="274"/>
      <c r="H30" s="274"/>
    </row>
    <row r="31" spans="1:8" ht="12.6" customHeight="1">
      <c r="A31" s="271">
        <v>15</v>
      </c>
      <c r="B31" s="263">
        <f>IF(A31&gt;C9,0,SUM(C232:C243)*($C$6/$C$7))</f>
        <v>0</v>
      </c>
      <c r="C31" s="286">
        <f>IF(A31&gt;C9,0,(E231+K231)*$C$8)</f>
        <v>0</v>
      </c>
      <c r="D31" s="999">
        <f t="shared" si="0"/>
        <v>0</v>
      </c>
      <c r="E31" s="999"/>
      <c r="F31" s="274"/>
      <c r="G31" s="274"/>
      <c r="H31" s="274"/>
    </row>
    <row r="32" spans="1:8" ht="12.6" customHeight="1">
      <c r="A32" s="273">
        <v>16</v>
      </c>
      <c r="B32" s="265">
        <f>IF(A32&gt;C9,0,SUM(C244:C255)*($C$6/$C$7))</f>
        <v>0</v>
      </c>
      <c r="C32" s="290">
        <f>IF(A32&gt;C9,0,(E243+K243)*$C$8)</f>
        <v>0</v>
      </c>
      <c r="D32" s="997">
        <f t="shared" si="0"/>
        <v>0</v>
      </c>
      <c r="E32" s="997"/>
      <c r="F32" s="274"/>
      <c r="G32" s="274"/>
      <c r="H32" s="274"/>
    </row>
    <row r="33" spans="1:8" ht="12.6" customHeight="1">
      <c r="A33" s="266">
        <v>17</v>
      </c>
      <c r="B33" s="267">
        <f>IF(A33&gt;C9,0,SUM(C256:C267)*($C$6/$C$7))</f>
        <v>0</v>
      </c>
      <c r="C33" s="268">
        <f>IF(A33&gt;C9,0,(E255+K255)*$C$8)</f>
        <v>0</v>
      </c>
      <c r="D33" s="997">
        <f t="shared" si="0"/>
        <v>0</v>
      </c>
      <c r="E33" s="997"/>
      <c r="F33" s="274"/>
      <c r="G33" s="274"/>
      <c r="H33" s="274"/>
    </row>
    <row r="34" spans="1:8" ht="12.6" customHeight="1">
      <c r="A34" s="266">
        <v>18</v>
      </c>
      <c r="B34" s="267">
        <f>IF(A34&gt;C9,0,SUM(C268:C279)*($C$6/$C$7))</f>
        <v>0</v>
      </c>
      <c r="C34" s="268">
        <f>IF(A34&gt;C9,0,(E267+K267)*$C$8)</f>
        <v>0</v>
      </c>
      <c r="D34" s="997">
        <f t="shared" si="0"/>
        <v>0</v>
      </c>
      <c r="E34" s="997"/>
      <c r="F34" s="274"/>
      <c r="G34" s="274"/>
      <c r="H34" s="274"/>
    </row>
    <row r="35" spans="1:8" ht="12.6" customHeight="1">
      <c r="A35" s="266">
        <v>19</v>
      </c>
      <c r="B35" s="267">
        <f>IF(A35&gt;C9,0,SUM(C280:C291)*($C$6/$C$7))</f>
        <v>0</v>
      </c>
      <c r="C35" s="268">
        <f>IF(A35&gt;C9,0,(E279+K279)*$C$8)</f>
        <v>0</v>
      </c>
      <c r="D35" s="997">
        <f t="shared" si="0"/>
        <v>0</v>
      </c>
      <c r="E35" s="997"/>
      <c r="F35" s="274"/>
      <c r="G35" s="274"/>
      <c r="H35" s="274"/>
    </row>
    <row r="36" spans="1:8" ht="12.6" customHeight="1">
      <c r="A36" s="269">
        <v>20</v>
      </c>
      <c r="B36" s="270">
        <f>IF(A36&gt;C9,0,SUM(C292:C303)*($C$6/$C$7))</f>
        <v>0</v>
      </c>
      <c r="C36" s="289">
        <f>IF(A36&gt;C9,0,(E291+K291)*$C$8)</f>
        <v>0</v>
      </c>
      <c r="D36" s="999">
        <f t="shared" si="0"/>
        <v>0</v>
      </c>
      <c r="E36" s="999"/>
      <c r="F36" s="274"/>
      <c r="G36" s="274"/>
      <c r="H36" s="274"/>
    </row>
    <row r="37" spans="1:8" ht="12.6" customHeight="1">
      <c r="A37" s="109">
        <v>21</v>
      </c>
      <c r="B37" s="265">
        <f>IF(A37&gt;C9,0,SUM(C293:C304)*($C$6/$C$7))</f>
        <v>0</v>
      </c>
      <c r="C37" s="290">
        <f>IF(A37&gt;C9,0,(E303+K303)*$C$8)</f>
        <v>0</v>
      </c>
      <c r="D37" s="1000">
        <f t="shared" si="0"/>
        <v>0</v>
      </c>
      <c r="E37" s="1000"/>
      <c r="F37" s="274"/>
      <c r="G37" s="274"/>
      <c r="H37" s="274"/>
    </row>
    <row r="38" spans="1:8" ht="12.6" customHeight="1">
      <c r="A38" s="109">
        <v>22</v>
      </c>
      <c r="B38" s="267">
        <f>IF(A38&gt;C9,0,SUM(C294:C305)*($C$6/$C$7))</f>
        <v>0</v>
      </c>
      <c r="C38" s="268">
        <f>IF(A38&gt;C9,0,(E315+K315)*$C$8)</f>
        <v>0</v>
      </c>
      <c r="D38" s="997">
        <f t="shared" si="0"/>
        <v>0</v>
      </c>
      <c r="E38" s="997"/>
      <c r="F38" s="274"/>
      <c r="G38" s="274"/>
      <c r="H38" s="274"/>
    </row>
    <row r="39" spans="1:8" ht="12.6" customHeight="1">
      <c r="A39" s="109">
        <v>23</v>
      </c>
      <c r="B39" s="267">
        <f>IF(A39&gt;C9,0,SUM(C295:C306)*($C$6/$C$7))</f>
        <v>0</v>
      </c>
      <c r="C39" s="268">
        <f>IF(A39&gt;C9,0,(E327+K327)*$C$8)</f>
        <v>0</v>
      </c>
      <c r="D39" s="997">
        <f t="shared" si="0"/>
        <v>0</v>
      </c>
      <c r="E39" s="997"/>
      <c r="F39" s="274"/>
      <c r="G39" s="274"/>
      <c r="H39" s="274"/>
    </row>
    <row r="40" spans="1:8" ht="12.6" customHeight="1">
      <c r="A40" s="109">
        <v>24</v>
      </c>
      <c r="B40" s="267">
        <f>IF(A40&gt;C9,0,SUM(C296:C307)*($C$6/$C$7))</f>
        <v>0</v>
      </c>
      <c r="C40" s="268">
        <f>IF(A40&gt;C9,0,(E339+K339)*$C$8)</f>
        <v>0</v>
      </c>
      <c r="D40" s="997">
        <f t="shared" si="0"/>
        <v>0</v>
      </c>
      <c r="E40" s="997"/>
      <c r="F40" s="274"/>
      <c r="G40" s="274"/>
      <c r="H40" s="274"/>
    </row>
    <row r="41" spans="1:8" ht="12.6" customHeight="1">
      <c r="A41" s="109">
        <v>25</v>
      </c>
      <c r="B41" s="270">
        <f>IF(A41&gt;C9,0,SUM(C297:C308)*($C$6/$C$7))</f>
        <v>0</v>
      </c>
      <c r="C41" s="289">
        <f>IF(A41&gt;C9,0,(E351+K351)*$C$8)</f>
        <v>0</v>
      </c>
      <c r="D41" s="999">
        <f t="shared" si="0"/>
        <v>0</v>
      </c>
      <c r="E41" s="999"/>
      <c r="F41" s="274"/>
      <c r="G41" s="274"/>
      <c r="H41" s="274"/>
    </row>
    <row r="42" spans="1:8" ht="12.6" customHeight="1">
      <c r="A42" s="264">
        <v>26</v>
      </c>
      <c r="B42" s="265">
        <f>IF(A42&gt;C9,0,SUM(C298:C309)*($C$6/$C$7))</f>
        <v>0</v>
      </c>
      <c r="C42" s="290">
        <f>IF(A42&gt;C9,0,(E363+K363)*$C$8)</f>
        <v>0</v>
      </c>
      <c r="D42" s="1000">
        <f t="shared" si="0"/>
        <v>0</v>
      </c>
      <c r="E42" s="1000"/>
      <c r="F42" s="274"/>
      <c r="G42" s="274"/>
      <c r="H42" s="274"/>
    </row>
    <row r="43" spans="1:8" ht="12.6" customHeight="1">
      <c r="A43" s="266">
        <v>27</v>
      </c>
      <c r="B43" s="267">
        <f>IF(A43&gt;C9,0,SUM(C299:C310)*($C$6/$C$7))</f>
        <v>0</v>
      </c>
      <c r="C43" s="268">
        <f>IF(A43&gt;C9,0,(E375+K375)*$C$8)</f>
        <v>0</v>
      </c>
      <c r="D43" s="997">
        <f t="shared" si="0"/>
        <v>0</v>
      </c>
      <c r="E43" s="997"/>
      <c r="F43" s="274"/>
      <c r="G43" s="274"/>
      <c r="H43" s="274"/>
    </row>
    <row r="44" spans="1:8" ht="12.6" customHeight="1">
      <c r="A44" s="266">
        <v>28</v>
      </c>
      <c r="B44" s="267">
        <f>IF(A44&gt;C9,0,SUM(C300:C311)*($C$6/$C$7))</f>
        <v>0</v>
      </c>
      <c r="C44" s="268">
        <f>IF(A44&gt;C9,0,(E387+K387)*$C$8)</f>
        <v>0</v>
      </c>
      <c r="D44" s="997">
        <f t="shared" si="0"/>
        <v>0</v>
      </c>
      <c r="E44" s="997"/>
      <c r="F44" s="274"/>
      <c r="G44" s="274"/>
      <c r="H44" s="274"/>
    </row>
    <row r="45" spans="1:8" ht="12.6" customHeight="1">
      <c r="A45" s="266">
        <v>29</v>
      </c>
      <c r="B45" s="267">
        <f>IF(A45&gt;C9,0,SUM(C301:C312)*($C$6/$C$7))</f>
        <v>0</v>
      </c>
      <c r="C45" s="268">
        <f>IF(A45&gt;C9,0,(E411+K411)*$C$8)</f>
        <v>0</v>
      </c>
      <c r="D45" s="997">
        <f t="shared" si="0"/>
        <v>0</v>
      </c>
      <c r="E45" s="997"/>
      <c r="F45" s="274"/>
      <c r="G45" s="274"/>
      <c r="H45" s="274"/>
    </row>
    <row r="46" spans="1:8" ht="12.6" customHeight="1">
      <c r="A46" s="269">
        <v>30</v>
      </c>
      <c r="B46" s="270">
        <f>IF(A46&gt;C9,0,SUM(C302:C313)*($C$6/$C$7))</f>
        <v>0</v>
      </c>
      <c r="C46" s="289">
        <f>IF(A46&gt;C9,0,(E423+K423)*$C$8)</f>
        <v>0</v>
      </c>
      <c r="D46" s="999">
        <f t="shared" si="0"/>
        <v>0</v>
      </c>
      <c r="E46" s="999"/>
      <c r="F46" s="274"/>
      <c r="G46" s="274"/>
      <c r="H46" s="274"/>
    </row>
    <row r="47" spans="1:8" ht="12.6" customHeight="1">
      <c r="A47" s="273">
        <v>31</v>
      </c>
      <c r="B47" s="265">
        <f>IF(A47&gt;C9,0,SUM(C303:C314)*($C$6/$C$7))</f>
        <v>0</v>
      </c>
      <c r="C47" s="290">
        <f>IF(A47&gt;C9,0,(E435+K435)*$C$8)</f>
        <v>0</v>
      </c>
      <c r="D47" s="1000">
        <f t="shared" si="0"/>
        <v>0</v>
      </c>
      <c r="E47" s="1000"/>
      <c r="F47" s="274"/>
      <c r="G47" s="274"/>
      <c r="H47" s="274"/>
    </row>
    <row r="48" spans="1:8" ht="12.6" customHeight="1">
      <c r="A48" s="266">
        <v>32</v>
      </c>
      <c r="B48" s="267">
        <f>IF(A48&gt;C9,0,SUM(C304:C315)*($C$6/$C$7))</f>
        <v>0</v>
      </c>
      <c r="C48" s="268">
        <f>IF(A48&gt;C9,0,(E447+K447)*$C$8)</f>
        <v>0</v>
      </c>
      <c r="D48" s="997">
        <f t="shared" si="0"/>
        <v>0</v>
      </c>
      <c r="E48" s="997"/>
      <c r="F48" s="274"/>
      <c r="G48" s="274"/>
      <c r="H48" s="274"/>
    </row>
    <row r="49" spans="1:12" ht="12.6" customHeight="1">
      <c r="A49" s="266">
        <v>33</v>
      </c>
      <c r="B49" s="267">
        <f>IF(A49&gt;C9,0,SUM(C305:C316)*($C$6/$C$7))</f>
        <v>0</v>
      </c>
      <c r="C49" s="268">
        <f>IF(A49&gt;C9,0,(E459+K459)*$C$8)</f>
        <v>0</v>
      </c>
      <c r="D49" s="997">
        <f t="shared" si="0"/>
        <v>0</v>
      </c>
      <c r="E49" s="997"/>
      <c r="F49" s="274"/>
      <c r="G49" s="274"/>
      <c r="H49" s="274"/>
    </row>
    <row r="50" spans="1:12" ht="12.6" customHeight="1">
      <c r="A50" s="266">
        <v>34</v>
      </c>
      <c r="B50" s="267">
        <f>IF(A50&gt;C9,0,SUM(C306:C317)*($C$6/$C$7))</f>
        <v>0</v>
      </c>
      <c r="C50" s="268">
        <f>IF(A50&gt;C9,0,(E471+K471)*$C$8)</f>
        <v>0</v>
      </c>
      <c r="D50" s="997">
        <f t="shared" si="0"/>
        <v>0</v>
      </c>
      <c r="E50" s="997"/>
      <c r="F50" s="274"/>
      <c r="G50" s="274"/>
      <c r="H50" s="274"/>
    </row>
    <row r="51" spans="1:12" ht="12.6" customHeight="1">
      <c r="A51" s="269">
        <v>35</v>
      </c>
      <c r="B51" s="270">
        <f>IF(A51&gt;C9,0,SUM(C307:C318)*($C$6/$C$7))</f>
        <v>0</v>
      </c>
      <c r="C51" s="289">
        <f>IF(A51&gt;C9,0,(E483+K483)*$C$8)</f>
        <v>0</v>
      </c>
      <c r="D51" s="999">
        <f t="shared" si="0"/>
        <v>0</v>
      </c>
      <c r="E51" s="999"/>
      <c r="F51" s="274"/>
      <c r="G51" s="274"/>
      <c r="H51" s="274"/>
    </row>
    <row r="52" spans="1:12" ht="12.6" customHeight="1">
      <c r="A52" s="273">
        <v>36</v>
      </c>
      <c r="B52" s="265">
        <f>IF(A52&gt;C9,0,SUM(C308:C319)*($C$6/$C$7))</f>
        <v>0</v>
      </c>
      <c r="C52" s="290">
        <f>IF(A52&gt;C9,0,(E495+K495)*$C$8)</f>
        <v>0</v>
      </c>
      <c r="D52" s="1000">
        <f t="shared" si="0"/>
        <v>0</v>
      </c>
      <c r="E52" s="1000"/>
      <c r="F52" s="274"/>
      <c r="G52" s="274"/>
      <c r="H52" s="274"/>
    </row>
    <row r="53" spans="1:12" ht="12.6" customHeight="1">
      <c r="A53" s="266">
        <v>37</v>
      </c>
      <c r="B53" s="267">
        <f>IF(A53&gt;C9,0,SUM(C309:C320)*($C$6/$C$7))</f>
        <v>0</v>
      </c>
      <c r="C53" s="268">
        <f>IF(A53&gt;C9,0,(E507+K507)*$C$8)</f>
        <v>0</v>
      </c>
      <c r="D53" s="997">
        <f t="shared" si="0"/>
        <v>0</v>
      </c>
      <c r="E53" s="997"/>
      <c r="F53" s="274"/>
      <c r="G53" s="274"/>
      <c r="H53" s="274"/>
    </row>
    <row r="54" spans="1:12" ht="12.6" customHeight="1">
      <c r="A54" s="266">
        <v>38</v>
      </c>
      <c r="B54" s="267">
        <f>IF(A54&gt;C9,0,SUM(C310:C321)*($C$6/$C$7))</f>
        <v>0</v>
      </c>
      <c r="C54" s="268">
        <f>IF(A54&gt;C9,0,(E519+K519)*$C$8)</f>
        <v>0</v>
      </c>
      <c r="D54" s="997">
        <f t="shared" si="0"/>
        <v>0</v>
      </c>
      <c r="E54" s="997"/>
      <c r="F54" s="274"/>
      <c r="G54" s="274"/>
      <c r="H54" s="274"/>
    </row>
    <row r="55" spans="1:12" ht="12.6" customHeight="1">
      <c r="A55" s="266">
        <v>39</v>
      </c>
      <c r="B55" s="267">
        <f>IF(A55&gt;C9,0,SUM(C311:C322)*($C$6/$C$7))</f>
        <v>0</v>
      </c>
      <c r="C55" s="268">
        <f>IF(A55&gt;C9,0,(E531+K531)*$C$8)</f>
        <v>0</v>
      </c>
      <c r="D55" s="997">
        <f t="shared" si="0"/>
        <v>0</v>
      </c>
      <c r="E55" s="997"/>
      <c r="F55" s="274"/>
      <c r="G55" s="274"/>
      <c r="H55" s="274"/>
    </row>
    <row r="56" spans="1:12" ht="12.6" customHeight="1">
      <c r="A56" s="269">
        <v>40</v>
      </c>
      <c r="B56" s="270">
        <f>IF(A56&gt;C9,0,SUM(C312:C323)*($C$6/$C$7))</f>
        <v>0</v>
      </c>
      <c r="C56" s="289">
        <f>IF(A56&gt;C9,0,(E543+K543)*$C$8)</f>
        <v>0</v>
      </c>
      <c r="D56" s="999">
        <f t="shared" si="0"/>
        <v>0</v>
      </c>
      <c r="E56" s="999"/>
      <c r="F56" s="274"/>
      <c r="G56" s="274"/>
      <c r="H56" s="274"/>
    </row>
    <row r="57" spans="1:12" ht="3" customHeight="1">
      <c r="A57" s="274"/>
      <c r="B57" s="274"/>
      <c r="C57" s="274"/>
      <c r="D57" s="274"/>
      <c r="E57" s="274"/>
      <c r="F57" s="274"/>
      <c r="G57" s="274"/>
      <c r="H57" s="274"/>
    </row>
    <row r="58" spans="1:12" ht="13.15" customHeight="1">
      <c r="A58" s="1002" t="str">
        <f>CONCATENATE('Part I-Project Information'!$O$4," ",'Part I-Project Information'!$F$22,", ",'Part I-Project Information'!$F$24,", ",'Part I-Project Information'!$J$25," County")</f>
        <v>2012-052 Freedom's Path I, Augusta, Richmond County</v>
      </c>
      <c r="B58" s="1002"/>
      <c r="C58" s="1002"/>
      <c r="D58" s="1002"/>
      <c r="E58" s="1002"/>
      <c r="F58" s="1002"/>
      <c r="G58" s="1002" t="str">
        <f>CONCATENATE('Part I-Project Information'!$O$4," ",'Part I-Project Information'!$F$22,", ",'Part I-Project Information'!$F$24,", ",'Part I-Project Information'!$J$25," County")</f>
        <v>2012-052 Freedom's Path I, Augusta, Richmond County</v>
      </c>
      <c r="H58" s="1002"/>
      <c r="I58" s="1002"/>
      <c r="J58" s="1002"/>
      <c r="K58" s="1002"/>
      <c r="L58" s="1002"/>
    </row>
    <row r="59" spans="1:12" ht="15">
      <c r="A59" s="1001" t="s">
        <v>3143</v>
      </c>
      <c r="B59" s="1001"/>
      <c r="C59" s="1001"/>
      <c r="D59" s="1001"/>
      <c r="E59" s="1001"/>
      <c r="F59" s="1001"/>
      <c r="G59" s="1001" t="s">
        <v>3143</v>
      </c>
      <c r="H59" s="1001"/>
      <c r="I59" s="1001"/>
      <c r="J59" s="1001"/>
      <c r="K59" s="1001"/>
      <c r="L59" s="1001"/>
    </row>
    <row r="60" spans="1:12" ht="6" customHeight="1">
      <c r="C60" s="272"/>
      <c r="D60" s="272"/>
      <c r="I60" s="272"/>
      <c r="J60" s="272"/>
    </row>
    <row r="61" spans="1:12">
      <c r="A61" s="275" t="s">
        <v>3144</v>
      </c>
      <c r="B61" s="276" t="s">
        <v>3145</v>
      </c>
      <c r="C61" s="276" t="s">
        <v>3318</v>
      </c>
      <c r="D61" s="276" t="s">
        <v>3146</v>
      </c>
      <c r="E61" s="275" t="s">
        <v>3147</v>
      </c>
      <c r="F61" s="309" t="s">
        <v>3152</v>
      </c>
      <c r="G61" s="275" t="s">
        <v>3144</v>
      </c>
      <c r="H61" s="276" t="s">
        <v>3145</v>
      </c>
      <c r="I61" s="276" t="s">
        <v>3318</v>
      </c>
      <c r="J61" s="276" t="s">
        <v>3146</v>
      </c>
      <c r="K61" s="275" t="s">
        <v>3147</v>
      </c>
      <c r="L61" s="309" t="s">
        <v>3152</v>
      </c>
    </row>
    <row r="62" spans="1:12" ht="3.6" customHeight="1">
      <c r="A62" s="278"/>
      <c r="B62" s="161"/>
      <c r="C62" s="161"/>
      <c r="D62" s="161"/>
      <c r="E62" s="161"/>
      <c r="F62" s="109"/>
      <c r="G62" s="278"/>
      <c r="H62" s="161"/>
      <c r="I62" s="161"/>
      <c r="J62" s="161"/>
      <c r="K62" s="161"/>
      <c r="L62" s="109"/>
    </row>
    <row r="63" spans="1:12">
      <c r="A63" s="279" t="s">
        <v>3148</v>
      </c>
      <c r="B63" s="280"/>
      <c r="C63" s="280"/>
      <c r="D63" s="280"/>
      <c r="E63" s="281">
        <f>IF($C$5&gt;1500000,$D$5,$C$5)</f>
        <v>0</v>
      </c>
      <c r="F63" s="109"/>
      <c r="G63" s="279" t="s">
        <v>3148</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D55:E55"/>
    <mergeCell ref="D49:E49"/>
    <mergeCell ref="D41:E41"/>
    <mergeCell ref="D40:E40"/>
    <mergeCell ref="G59:L59"/>
    <mergeCell ref="G58:L58"/>
    <mergeCell ref="D48:E48"/>
    <mergeCell ref="A59:F59"/>
    <mergeCell ref="D52:E52"/>
    <mergeCell ref="D51:E51"/>
    <mergeCell ref="D56:E56"/>
    <mergeCell ref="A58:F58"/>
    <mergeCell ref="D47:E47"/>
    <mergeCell ref="D42:E42"/>
    <mergeCell ref="D54:E54"/>
    <mergeCell ref="D53:E53"/>
    <mergeCell ref="D43:E43"/>
    <mergeCell ref="D44:E44"/>
    <mergeCell ref="D45:E45"/>
    <mergeCell ref="D46:E46"/>
    <mergeCell ref="D50:E50"/>
    <mergeCell ref="D29:E29"/>
    <mergeCell ref="D37:E37"/>
    <mergeCell ref="D39:E39"/>
    <mergeCell ref="D36:E36"/>
    <mergeCell ref="D31:E31"/>
    <mergeCell ref="D33:E33"/>
    <mergeCell ref="D34:E34"/>
    <mergeCell ref="D35:E35"/>
    <mergeCell ref="D32:E32"/>
    <mergeCell ref="D30:E30"/>
    <mergeCell ref="D38:E38"/>
    <mergeCell ref="A1:F1"/>
    <mergeCell ref="D16:E16"/>
    <mergeCell ref="A3:F3"/>
    <mergeCell ref="A14:F14"/>
    <mergeCell ref="D28:E28"/>
    <mergeCell ref="D27:E27"/>
    <mergeCell ref="D22:E22"/>
    <mergeCell ref="D20:E20"/>
    <mergeCell ref="D17:E17"/>
    <mergeCell ref="D25:E25"/>
    <mergeCell ref="D18:E18"/>
    <mergeCell ref="D19:E19"/>
    <mergeCell ref="D24:E24"/>
    <mergeCell ref="D21:E21"/>
    <mergeCell ref="D23:E23"/>
    <mergeCell ref="D26:E26"/>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991" t="str">
        <f>CONCATENATE("PART III C  - HUD INSURED LOAN","  -  ",'Part I-Project Information'!$O$4," ",'Part I-Project Information'!$F$22,", ",'Part I-Project Information'!$F$24,", ",'Part I-Project Information'!$J$25," County")</f>
        <v>PART III C  - HUD INSURED LOAN  -  2012-052 Freedom's Path I, Augusta, Richmond County</v>
      </c>
      <c r="B1" s="992"/>
      <c r="C1" s="992"/>
      <c r="D1" s="992"/>
      <c r="E1" s="992"/>
      <c r="F1" s="993"/>
      <c r="G1" s="231"/>
      <c r="H1" s="231"/>
      <c r="I1" s="231"/>
      <c r="J1" s="231"/>
      <c r="K1" s="231"/>
      <c r="L1" s="231"/>
      <c r="M1" s="231"/>
      <c r="N1" s="231"/>
      <c r="O1" s="231"/>
      <c r="P1" s="231"/>
      <c r="Q1" s="231"/>
    </row>
    <row r="2" spans="1:17">
      <c r="A2" s="16"/>
      <c r="B2" s="262"/>
      <c r="C2" s="262"/>
      <c r="D2" s="262"/>
    </row>
    <row r="3" spans="1:17" ht="15.6" customHeight="1">
      <c r="A3" s="995" t="s">
        <v>2058</v>
      </c>
      <c r="B3" s="995"/>
      <c r="C3" s="995"/>
      <c r="D3" s="995"/>
      <c r="E3" s="995"/>
      <c r="F3" s="995"/>
      <c r="G3" s="319"/>
      <c r="H3" s="319"/>
    </row>
    <row r="4" spans="1:17">
      <c r="A4" s="16"/>
      <c r="B4" s="262"/>
      <c r="C4" s="262"/>
      <c r="D4" s="262"/>
    </row>
    <row r="5" spans="1:17" ht="13.15" customHeight="1">
      <c r="A5" s="31" t="s">
        <v>3628</v>
      </c>
      <c r="D5" s="306"/>
      <c r="E5" s="1003" t="s">
        <v>3016</v>
      </c>
      <c r="F5" s="1004"/>
      <c r="G5" s="219"/>
    </row>
    <row r="6" spans="1:17">
      <c r="E6" s="1004"/>
      <c r="F6" s="1004"/>
      <c r="G6" s="219"/>
    </row>
    <row r="7" spans="1:17">
      <c r="A7" s="31" t="s">
        <v>3787</v>
      </c>
      <c r="C7" s="31" t="s">
        <v>3788</v>
      </c>
      <c r="D7" s="307"/>
      <c r="E7" s="1004"/>
      <c r="F7" s="1004"/>
      <c r="G7" s="219"/>
    </row>
    <row r="8" spans="1:17">
      <c r="C8" s="31" t="s">
        <v>3789</v>
      </c>
      <c r="D8" s="307"/>
      <c r="E8" s="1004"/>
      <c r="F8" s="1004"/>
      <c r="G8" s="219"/>
    </row>
    <row r="9" spans="1:17">
      <c r="C9" s="31" t="s">
        <v>3790</v>
      </c>
      <c r="D9" s="307"/>
      <c r="E9" s="1004"/>
      <c r="F9" s="1004"/>
      <c r="G9" s="219"/>
    </row>
    <row r="10" spans="1:17">
      <c r="C10" s="31" t="s">
        <v>3151</v>
      </c>
      <c r="D10" s="320">
        <f>D7+D8+D9</f>
        <v>0</v>
      </c>
      <c r="E10" s="1004"/>
      <c r="F10" s="1004"/>
      <c r="G10" s="219"/>
    </row>
    <row r="11" spans="1:17">
      <c r="F11" s="219"/>
      <c r="G11" s="219"/>
    </row>
    <row r="12" spans="1:17">
      <c r="A12" s="31" t="s">
        <v>3725</v>
      </c>
      <c r="D12" s="305"/>
      <c r="E12" s="31" t="s">
        <v>2501</v>
      </c>
      <c r="F12" s="219"/>
      <c r="G12" s="219"/>
    </row>
    <row r="13" spans="1:17">
      <c r="D13" s="272"/>
      <c r="F13" s="219"/>
      <c r="G13" s="219"/>
    </row>
    <row r="14" spans="1:17">
      <c r="A14" s="31" t="s">
        <v>3792</v>
      </c>
      <c r="D14" s="304"/>
      <c r="E14" s="31" t="s">
        <v>3793</v>
      </c>
      <c r="F14" s="321"/>
    </row>
    <row r="15" spans="1:17">
      <c r="D15" s="292"/>
      <c r="F15" s="321"/>
    </row>
    <row r="16" spans="1:17">
      <c r="A16" s="31" t="s">
        <v>3794</v>
      </c>
      <c r="D16" s="304"/>
      <c r="E16" s="31" t="s">
        <v>3793</v>
      </c>
      <c r="F16" s="321"/>
    </row>
    <row r="17" spans="1:10">
      <c r="D17" s="272"/>
      <c r="F17" s="321"/>
    </row>
    <row r="18" spans="1:10">
      <c r="A18" s="31" t="s">
        <v>944</v>
      </c>
      <c r="D18" s="322" t="e">
        <f>PMT(D10/12,D16*12,-D5,0,0)*12</f>
        <v>#NUM!</v>
      </c>
      <c r="E18" s="31" t="s">
        <v>3457</v>
      </c>
      <c r="F18" s="321"/>
    </row>
    <row r="19" spans="1:10">
      <c r="D19" s="272"/>
      <c r="F19" s="321"/>
    </row>
    <row r="20" spans="1:10">
      <c r="A20" s="31" t="s">
        <v>3458</v>
      </c>
      <c r="D20" s="272" t="e">
        <f>D18/12</f>
        <v>#NUM!</v>
      </c>
      <c r="E20" s="31" t="s">
        <v>3457</v>
      </c>
      <c r="F20" s="321"/>
    </row>
    <row r="24" spans="1:10" ht="18" customHeight="1">
      <c r="A24" s="996" t="s">
        <v>3726</v>
      </c>
      <c r="B24" s="996"/>
      <c r="C24" s="996"/>
      <c r="D24" s="996"/>
      <c r="E24" s="996"/>
      <c r="F24" s="996"/>
      <c r="J24" s="323"/>
    </row>
    <row r="25" spans="1:10">
      <c r="C25" s="272"/>
      <c r="J25" s="323"/>
    </row>
    <row r="26" spans="1:10">
      <c r="A26" s="144"/>
      <c r="B26" s="109"/>
      <c r="C26" s="1005" t="s">
        <v>3627</v>
      </c>
      <c r="D26" s="318"/>
      <c r="E26" s="109"/>
      <c r="F26" s="1005" t="s">
        <v>3627</v>
      </c>
      <c r="J26" s="323"/>
    </row>
    <row r="27" spans="1:10">
      <c r="A27" s="324" t="s">
        <v>3152</v>
      </c>
      <c r="B27" s="88" t="s">
        <v>1075</v>
      </c>
      <c r="C27" s="1006"/>
      <c r="D27" s="325" t="s">
        <v>3152</v>
      </c>
      <c r="E27" s="88" t="s">
        <v>1075</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1002" t="str">
        <f>CONCATENATE('Part I-Project Information'!$O$4," ",'Part I-Project Information'!$F$22,", ",'Part I-Project Information'!$F$24,", ",'Part I-Project Information'!$J$25," County")</f>
        <v>2012-052 Freedom's Path I, Augusta, Richmond County</v>
      </c>
      <c r="B50" s="1002"/>
      <c r="C50" s="1002"/>
      <c r="D50" s="1002"/>
      <c r="E50" s="1002"/>
      <c r="F50" s="1002"/>
      <c r="G50" s="299"/>
      <c r="H50" s="299"/>
    </row>
    <row r="51" spans="1:10" ht="15">
      <c r="A51" s="1001" t="s">
        <v>3143</v>
      </c>
      <c r="B51" s="1001"/>
      <c r="C51" s="1001"/>
      <c r="D51" s="1001"/>
      <c r="E51" s="1001"/>
      <c r="F51" s="1001"/>
      <c r="G51" s="335"/>
      <c r="H51" s="335"/>
      <c r="I51" s="335"/>
      <c r="J51" s="335"/>
    </row>
    <row r="52" spans="1:10" ht="5.45" customHeight="1">
      <c r="C52" s="272"/>
      <c r="D52" s="272"/>
      <c r="G52" s="277"/>
      <c r="H52" s="271"/>
      <c r="I52" s="277"/>
    </row>
    <row r="53" spans="1:10">
      <c r="A53" s="275" t="s">
        <v>3144</v>
      </c>
      <c r="B53" s="275" t="s">
        <v>3145</v>
      </c>
      <c r="C53" s="275" t="s">
        <v>3318</v>
      </c>
      <c r="D53" s="275" t="s">
        <v>3146</v>
      </c>
      <c r="E53" s="275" t="s">
        <v>3147</v>
      </c>
      <c r="F53" s="309" t="s">
        <v>3152</v>
      </c>
      <c r="G53" s="336"/>
      <c r="H53" s="336"/>
      <c r="I53" s="336"/>
    </row>
    <row r="54" spans="1:10" ht="3.6" customHeight="1">
      <c r="F54" s="109"/>
      <c r="G54" s="277"/>
      <c r="H54" s="271"/>
      <c r="I54" s="277"/>
    </row>
    <row r="55" spans="1:10">
      <c r="A55" s="31" t="s">
        <v>3148</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67" t="str">
        <f>CONCATENATE("PART FOUR -  USES OF FUNDS","  -  ",'Part I-Project Information'!$O$4," ",'Part I-Project Information'!$F$22,", ",'Part I-Project Information'!F24,", ",'Part I-Project Information'!J25," County")</f>
        <v>PART FOUR -  USES OF FUNDS  -  2012-052 Freedom's Path I, Augusta, Richmond County</v>
      </c>
      <c r="B1" s="1068"/>
      <c r="C1" s="1068"/>
      <c r="D1" s="1068"/>
      <c r="E1" s="1068"/>
      <c r="F1" s="1068"/>
      <c r="G1" s="1068"/>
      <c r="H1" s="1068"/>
      <c r="I1" s="1068"/>
      <c r="J1" s="1068"/>
      <c r="K1" s="1068"/>
      <c r="L1" s="1068"/>
      <c r="M1" s="1068"/>
      <c r="N1" s="1068"/>
      <c r="O1" s="1068"/>
      <c r="P1" s="1068"/>
      <c r="Q1" s="1068"/>
      <c r="R1" s="1068"/>
      <c r="S1" s="1068"/>
      <c r="T1" s="1068"/>
      <c r="V1" s="1065" t="str">
        <f>A1</f>
        <v>PART FOUR -  USES OF FUNDS  -  2012-052 Freedom's Path I, Augusta, Richmond County</v>
      </c>
      <c r="W1" s="1065"/>
    </row>
    <row r="2" spans="1:23" ht="2.25" customHeight="1"/>
    <row r="3" spans="1:23" s="452" customFormat="1">
      <c r="A3" s="1066" t="s">
        <v>2268</v>
      </c>
      <c r="B3" s="1066"/>
      <c r="C3" s="1066"/>
      <c r="D3" s="1066"/>
      <c r="E3" s="1066"/>
      <c r="F3" s="1066"/>
      <c r="G3" s="1066"/>
      <c r="H3" s="1066"/>
      <c r="I3" s="1066"/>
      <c r="J3" s="1066"/>
      <c r="K3" s="1066"/>
      <c r="L3" s="1066"/>
      <c r="M3" s="1066"/>
      <c r="N3" s="1066"/>
      <c r="O3" s="1066"/>
      <c r="P3" s="1066"/>
      <c r="Q3" s="1066"/>
      <c r="R3" s="1066"/>
      <c r="S3" s="1066"/>
      <c r="T3" s="1066"/>
    </row>
    <row r="4" spans="1:23" s="452"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839</v>
      </c>
      <c r="B5" s="687" t="s">
        <v>913</v>
      </c>
      <c r="H5" s="830"/>
      <c r="I5" s="830"/>
      <c r="J5" s="1043" t="s">
        <v>2269</v>
      </c>
      <c r="K5" s="1044"/>
      <c r="L5" s="515"/>
      <c r="M5" s="1059" t="s">
        <v>643</v>
      </c>
      <c r="N5" s="1060"/>
      <c r="P5" s="1043" t="s">
        <v>2270</v>
      </c>
      <c r="Q5" s="1044"/>
      <c r="S5" s="1043" t="s">
        <v>2271</v>
      </c>
      <c r="T5" s="1044"/>
      <c r="V5" s="688" t="str">
        <f>B5</f>
        <v>DEVELOPMENT BUDGET</v>
      </c>
    </row>
    <row r="6" spans="1:23" s="452" customFormat="1" ht="21" customHeight="1" thickBot="1">
      <c r="G6" s="1057" t="s">
        <v>1616</v>
      </c>
      <c r="H6" s="1058"/>
      <c r="J6" s="1045"/>
      <c r="K6" s="1046"/>
      <c r="L6" s="515"/>
      <c r="M6" s="1061"/>
      <c r="N6" s="1062"/>
      <c r="P6" s="1045"/>
      <c r="Q6" s="1046"/>
      <c r="S6" s="1045"/>
      <c r="T6" s="1046"/>
      <c r="V6" s="1024" t="s">
        <v>3807</v>
      </c>
      <c r="W6" s="1024"/>
    </row>
    <row r="7" spans="1:23" s="452" customFormat="1" ht="13.15" customHeight="1">
      <c r="B7" s="455" t="s">
        <v>1617</v>
      </c>
      <c r="O7" s="844" t="str">
        <f>B7</f>
        <v>PRE-DEVELOPMENT COSTS</v>
      </c>
      <c r="V7" s="452" t="str">
        <f>B7</f>
        <v>PRE-DEVELOPMENT COSTS</v>
      </c>
    </row>
    <row r="8" spans="1:23" s="452" customFormat="1" ht="12.6" customHeight="1">
      <c r="B8" s="452" t="s">
        <v>2326</v>
      </c>
      <c r="G8" s="1409">
        <v>16000</v>
      </c>
      <c r="H8" s="1410"/>
      <c r="J8" s="1409"/>
      <c r="K8" s="1410"/>
      <c r="L8" s="842"/>
      <c r="M8" s="1409"/>
      <c r="N8" s="1410"/>
      <c r="P8" s="1409">
        <v>16000</v>
      </c>
      <c r="Q8" s="1410"/>
      <c r="S8" s="1409"/>
      <c r="T8" s="1410"/>
      <c r="V8" s="1436"/>
      <c r="W8" s="1437"/>
    </row>
    <row r="9" spans="1:23" s="452" customFormat="1" ht="12.6" customHeight="1">
      <c r="B9" s="452" t="s">
        <v>597</v>
      </c>
      <c r="G9" s="1409">
        <v>8600</v>
      </c>
      <c r="H9" s="1410"/>
      <c r="J9" s="1409"/>
      <c r="K9" s="1410"/>
      <c r="L9" s="842"/>
      <c r="M9" s="1409"/>
      <c r="N9" s="1410"/>
      <c r="P9" s="1409">
        <v>8600</v>
      </c>
      <c r="Q9" s="1410"/>
      <c r="S9" s="1409"/>
      <c r="T9" s="1410"/>
      <c r="V9" s="1438"/>
      <c r="W9" s="1439"/>
    </row>
    <row r="10" spans="1:23" s="452" customFormat="1" ht="12.6" customHeight="1">
      <c r="B10" s="452" t="s">
        <v>640</v>
      </c>
      <c r="G10" s="1409">
        <v>50500</v>
      </c>
      <c r="H10" s="1410"/>
      <c r="J10" s="1409"/>
      <c r="K10" s="1410"/>
      <c r="L10" s="842"/>
      <c r="M10" s="1409"/>
      <c r="N10" s="1410"/>
      <c r="P10" s="1409">
        <v>50500</v>
      </c>
      <c r="Q10" s="1410"/>
      <c r="S10" s="1409"/>
      <c r="T10" s="1410"/>
      <c r="V10" s="1438"/>
      <c r="W10" s="1439"/>
    </row>
    <row r="11" spans="1:23" s="452" customFormat="1" ht="12.6" customHeight="1">
      <c r="B11" s="452" t="s">
        <v>641</v>
      </c>
      <c r="G11" s="1409"/>
      <c r="H11" s="1410"/>
      <c r="J11" s="1409"/>
      <c r="K11" s="1410"/>
      <c r="L11" s="842"/>
      <c r="M11" s="1409"/>
      <c r="N11" s="1410"/>
      <c r="P11" s="1409"/>
      <c r="Q11" s="1410"/>
      <c r="S11" s="1409"/>
      <c r="T11" s="1410"/>
      <c r="V11" s="1438"/>
      <c r="W11" s="1439"/>
    </row>
    <row r="12" spans="1:23" s="452" customFormat="1" ht="12.6" customHeight="1">
      <c r="B12" s="452" t="s">
        <v>3174</v>
      </c>
      <c r="G12" s="1409">
        <v>9675</v>
      </c>
      <c r="H12" s="1410"/>
      <c r="J12" s="1409"/>
      <c r="K12" s="1410"/>
      <c r="L12" s="842"/>
      <c r="M12" s="1409"/>
      <c r="N12" s="1410"/>
      <c r="P12" s="1409">
        <v>9675</v>
      </c>
      <c r="Q12" s="1410"/>
      <c r="S12" s="1409"/>
      <c r="T12" s="1410"/>
      <c r="V12" s="1438"/>
      <c r="W12" s="1439"/>
    </row>
    <row r="13" spans="1:23" s="452" customFormat="1" ht="12.6" customHeight="1">
      <c r="B13" s="452" t="s">
        <v>2028</v>
      </c>
      <c r="G13" s="1409"/>
      <c r="H13" s="1410"/>
      <c r="J13" s="1409"/>
      <c r="K13" s="1410"/>
      <c r="L13" s="842"/>
      <c r="M13" s="1409"/>
      <c r="N13" s="1410"/>
      <c r="P13" s="1409"/>
      <c r="Q13" s="1410"/>
      <c r="S13" s="1409"/>
      <c r="T13" s="1410"/>
      <c r="V13" s="1438"/>
      <c r="W13" s="1439"/>
    </row>
    <row r="14" spans="1:23" s="452" customFormat="1" ht="12.6" customHeight="1">
      <c r="A14" s="551" t="str">
        <f>IF(AND(G14&gt;0,OR(C14="",C14="&lt;Enter detailed description here; use Comments section if needed&gt;")),"X","")</f>
        <v/>
      </c>
      <c r="B14" s="452" t="s">
        <v>2775</v>
      </c>
      <c r="C14" s="1290" t="s">
        <v>898</v>
      </c>
      <c r="D14" s="1290"/>
      <c r="E14" s="1290"/>
      <c r="F14" s="1291"/>
      <c r="G14" s="1409">
        <v>8700</v>
      </c>
      <c r="H14" s="1410"/>
      <c r="J14" s="1409"/>
      <c r="K14" s="1410"/>
      <c r="L14" s="842"/>
      <c r="M14" s="1409"/>
      <c r="N14" s="1410"/>
      <c r="P14" s="1409">
        <v>8700</v>
      </c>
      <c r="Q14" s="1410"/>
      <c r="S14" s="1409"/>
      <c r="T14" s="1410"/>
      <c r="U14" s="550" t="str">
        <f>IF(AND(G14&gt;0,OR(C14="",C14="&lt;Enter detailed description here; use Comments section if needed&gt;")),"NO DESCRIPTION PROVIDED - please enter detailed description in Other box at left; use Comments section below if needed.","")</f>
        <v/>
      </c>
      <c r="V14" s="1438"/>
      <c r="W14" s="1439"/>
    </row>
    <row r="15" spans="1:23" s="452" customFormat="1" ht="12.6" customHeight="1">
      <c r="A15" s="551" t="str">
        <f>IF(AND(G15&gt;0,OR(C15="",C15="&lt;Enter detailed description here; use Comments section if needed&gt;")),"X","")</f>
        <v/>
      </c>
      <c r="B15" s="452" t="s">
        <v>2775</v>
      </c>
      <c r="C15" s="1290" t="s">
        <v>2909</v>
      </c>
      <c r="D15" s="1290"/>
      <c r="E15" s="1290"/>
      <c r="F15" s="1291"/>
      <c r="G15" s="1409"/>
      <c r="H15" s="1410"/>
      <c r="J15" s="1409"/>
      <c r="K15" s="1410"/>
      <c r="L15" s="842"/>
      <c r="M15" s="1409"/>
      <c r="N15" s="1410"/>
      <c r="P15" s="1409"/>
      <c r="Q15" s="1410"/>
      <c r="S15" s="1409"/>
      <c r="T15" s="1410"/>
      <c r="U15" s="550" t="str">
        <f>IF(AND(G15&gt;0,OR(C15="",C15="&lt;Enter detailed description here; use Comments section if needed&gt;")),"NO DESCRIPTION PROVIDED - please enter detailed description in Other box at left; use Comments section below if needed.","")</f>
        <v/>
      </c>
      <c r="V15" s="1438"/>
      <c r="W15" s="1439"/>
    </row>
    <row r="16" spans="1:23" s="452" customFormat="1" ht="12.6" customHeight="1" thickBot="1">
      <c r="A16" s="551" t="str">
        <f>IF(AND(G16&gt;0,OR(C16="",C16="&lt;Enter detailed description here; use Comments section if needed&gt;")),"X","")</f>
        <v/>
      </c>
      <c r="B16" s="452" t="s">
        <v>2775</v>
      </c>
      <c r="C16" s="1290"/>
      <c r="D16" s="1290"/>
      <c r="E16" s="1290"/>
      <c r="F16" s="1291"/>
      <c r="G16" s="1440"/>
      <c r="H16" s="1441"/>
      <c r="J16" s="1442"/>
      <c r="K16" s="1443"/>
      <c r="L16" s="842"/>
      <c r="M16" s="1409"/>
      <c r="N16" s="1410"/>
      <c r="P16" s="1440"/>
      <c r="Q16" s="1441"/>
      <c r="S16" s="1442"/>
      <c r="T16" s="1443"/>
      <c r="U16" s="550" t="str">
        <f>IF(AND(G16&gt;0,OR(C16="",C16="&lt;Enter detailed description here; use Comments section if needed&gt;")),"NO DESCRIPTION PROVIDED - please enter detailed description in Other box at left; use Comments section below if needed.","")</f>
        <v/>
      </c>
      <c r="V16" s="1438"/>
      <c r="W16" s="1439"/>
    </row>
    <row r="17" spans="2:23" s="452" customFormat="1" ht="12.6" customHeight="1" thickTop="1">
      <c r="F17" s="516" t="s">
        <v>2029</v>
      </c>
      <c r="G17" s="1013">
        <f>SUM(G8:H16)</f>
        <v>93475</v>
      </c>
      <c r="H17" s="1014"/>
      <c r="J17" s="1013">
        <f>SUM(J8:K16)</f>
        <v>0</v>
      </c>
      <c r="K17" s="1064"/>
      <c r="L17" s="842"/>
      <c r="M17" s="1013">
        <f>SUM(M8:N16)</f>
        <v>0</v>
      </c>
      <c r="N17" s="1014"/>
      <c r="P17" s="1013">
        <f>SUM(P8:Q16)</f>
        <v>93475</v>
      </c>
      <c r="Q17" s="1014"/>
      <c r="S17" s="1013">
        <f>SUM(S8:T16)</f>
        <v>0</v>
      </c>
      <c r="T17" s="1014"/>
      <c r="V17" s="1444"/>
      <c r="W17" s="1445"/>
    </row>
    <row r="18" spans="2:23" s="452" customFormat="1" ht="13.15" customHeight="1">
      <c r="B18" s="455" t="s">
        <v>4104</v>
      </c>
      <c r="J18" s="515"/>
      <c r="K18" s="515"/>
      <c r="M18" s="515"/>
      <c r="N18" s="515"/>
      <c r="O18" s="517" t="str">
        <f>B18</f>
        <v>ACQUISITION</v>
      </c>
      <c r="P18" s="515"/>
      <c r="Q18" s="515"/>
      <c r="S18" s="515"/>
      <c r="T18" s="515"/>
      <c r="V18" s="452" t="str">
        <f>B18</f>
        <v>ACQUISITION</v>
      </c>
    </row>
    <row r="19" spans="2:23" s="452" customFormat="1" ht="12.6" customHeight="1">
      <c r="B19" s="452" t="s">
        <v>4105</v>
      </c>
      <c r="G19" s="1409">
        <v>300000</v>
      </c>
      <c r="H19" s="1410"/>
      <c r="J19" s="518"/>
      <c r="K19" s="515"/>
      <c r="L19" s="518"/>
      <c r="M19" s="518"/>
      <c r="N19" s="515"/>
      <c r="P19" s="518"/>
      <c r="Q19" s="515"/>
      <c r="S19" s="1409">
        <v>300000</v>
      </c>
      <c r="T19" s="1410"/>
      <c r="V19" s="1436"/>
      <c r="W19" s="1437"/>
    </row>
    <row r="20" spans="2:23" s="452" customFormat="1" ht="12.6" customHeight="1">
      <c r="B20" s="452" t="s">
        <v>1206</v>
      </c>
      <c r="G20" s="1409"/>
      <c r="H20" s="1410"/>
      <c r="J20" s="518"/>
      <c r="K20" s="515"/>
      <c r="L20" s="518"/>
      <c r="M20" s="518"/>
      <c r="N20" s="515"/>
      <c r="P20" s="518"/>
      <c r="Q20" s="515"/>
      <c r="S20" s="1409"/>
      <c r="T20" s="1410"/>
      <c r="V20" s="1438"/>
      <c r="W20" s="1439"/>
    </row>
    <row r="21" spans="2:23" s="452" customFormat="1" ht="12.6" customHeight="1">
      <c r="B21" s="452" t="s">
        <v>598</v>
      </c>
      <c r="G21" s="1409"/>
      <c r="H21" s="1410"/>
      <c r="J21" s="518"/>
      <c r="K21" s="515"/>
      <c r="L21" s="518"/>
      <c r="M21" s="1409"/>
      <c r="N21" s="1410"/>
      <c r="P21" s="518"/>
      <c r="Q21" s="515"/>
      <c r="S21" s="1409"/>
      <c r="T21" s="1410"/>
      <c r="V21" s="1438"/>
      <c r="W21" s="1439"/>
    </row>
    <row r="22" spans="2:23" s="452" customFormat="1" ht="12.6" customHeight="1" thickBot="1">
      <c r="B22" s="452" t="s">
        <v>564</v>
      </c>
      <c r="G22" s="1440">
        <v>700000</v>
      </c>
      <c r="H22" s="1441"/>
      <c r="J22" s="518"/>
      <c r="K22" s="515"/>
      <c r="L22" s="518"/>
      <c r="M22" s="1440"/>
      <c r="N22" s="1441"/>
      <c r="P22" s="518"/>
      <c r="Q22" s="515"/>
      <c r="S22" s="1440">
        <v>700000</v>
      </c>
      <c r="T22" s="1441"/>
      <c r="V22" s="1438"/>
      <c r="W22" s="1439"/>
    </row>
    <row r="23" spans="2:23" s="452" customFormat="1" ht="12.6" customHeight="1" thickTop="1">
      <c r="F23" s="516" t="s">
        <v>2029</v>
      </c>
      <c r="G23" s="1013">
        <f>SUM(G19:H22)</f>
        <v>1000000</v>
      </c>
      <c r="H23" s="1014"/>
      <c r="J23" s="518"/>
      <c r="K23" s="515"/>
      <c r="L23" s="518"/>
      <c r="M23" s="1013">
        <f>SUM(M21:N22)</f>
        <v>0</v>
      </c>
      <c r="N23" s="1014"/>
      <c r="P23" s="518"/>
      <c r="Q23" s="515"/>
      <c r="S23" s="1013">
        <f>SUM(S19:T22)</f>
        <v>1000000</v>
      </c>
      <c r="T23" s="1014"/>
      <c r="V23" s="1444"/>
      <c r="W23" s="1445"/>
    </row>
    <row r="24" spans="2:23" s="452" customFormat="1" ht="13.15" customHeight="1">
      <c r="B24" s="455" t="s">
        <v>1207</v>
      </c>
      <c r="J24" s="518"/>
      <c r="K24" s="515"/>
      <c r="M24" s="518"/>
      <c r="N24" s="515"/>
      <c r="O24" s="517" t="str">
        <f>B24</f>
        <v>LAND IMPROVEMENTS</v>
      </c>
      <c r="P24" s="518"/>
      <c r="Q24" s="515"/>
      <c r="S24" s="518"/>
      <c r="T24" s="515"/>
      <c r="V24" s="452" t="str">
        <f>B24</f>
        <v>LAND IMPROVEMENTS</v>
      </c>
    </row>
    <row r="25" spans="2:23" s="452" customFormat="1" ht="12.6" customHeight="1">
      <c r="B25" s="452" t="s">
        <v>1208</v>
      </c>
      <c r="G25" s="1409">
        <v>390472</v>
      </c>
      <c r="H25" s="1410"/>
      <c r="J25" s="1442"/>
      <c r="K25" s="1443"/>
      <c r="L25" s="842"/>
      <c r="M25" s="1442"/>
      <c r="N25" s="1443"/>
      <c r="P25" s="1442">
        <v>390472</v>
      </c>
      <c r="Q25" s="1443"/>
      <c r="S25" s="1409"/>
      <c r="T25" s="1410"/>
      <c r="V25" s="1436"/>
      <c r="W25" s="1437"/>
    </row>
    <row r="26" spans="2:23" s="452" customFormat="1" ht="12.6" customHeight="1" thickBot="1">
      <c r="B26" s="452" t="s">
        <v>1209</v>
      </c>
      <c r="G26" s="1409"/>
      <c r="H26" s="1410"/>
      <c r="J26" s="1442"/>
      <c r="K26" s="1443"/>
      <c r="L26" s="519"/>
      <c r="M26" s="1063"/>
      <c r="N26" s="1063"/>
      <c r="P26" s="1063"/>
      <c r="Q26" s="1063"/>
      <c r="S26" s="1409"/>
      <c r="T26" s="1410"/>
      <c r="V26" s="1438"/>
      <c r="W26" s="1439"/>
    </row>
    <row r="27" spans="2:23" s="452" customFormat="1" ht="12.6" customHeight="1" thickTop="1">
      <c r="F27" s="516" t="s">
        <v>2029</v>
      </c>
      <c r="G27" s="1013">
        <f>SUM(G25:H26)</f>
        <v>390472</v>
      </c>
      <c r="H27" s="1014"/>
      <c r="J27" s="1013">
        <f>SUM(J25:K26)</f>
        <v>0</v>
      </c>
      <c r="K27" s="1014"/>
      <c r="L27" s="518"/>
      <c r="M27" s="1013">
        <f>M25</f>
        <v>0</v>
      </c>
      <c r="N27" s="1014"/>
      <c r="P27" s="1013">
        <f>P25</f>
        <v>390472</v>
      </c>
      <c r="Q27" s="1014"/>
      <c r="S27" s="1013">
        <f>SUM(S25:T26)</f>
        <v>0</v>
      </c>
      <c r="T27" s="1014"/>
      <c r="V27" s="1444"/>
      <c r="W27" s="1445"/>
    </row>
    <row r="28" spans="2:23" s="452" customFormat="1" ht="13.15" customHeight="1">
      <c r="B28" s="455" t="s">
        <v>1210</v>
      </c>
      <c r="J28" s="518"/>
      <c r="K28" s="515"/>
      <c r="M28" s="518"/>
      <c r="N28" s="515"/>
      <c r="O28" s="517" t="str">
        <f>B28</f>
        <v>STRUCTURES</v>
      </c>
      <c r="P28" s="518"/>
      <c r="Q28" s="515"/>
      <c r="S28" s="518"/>
      <c r="T28" s="515"/>
      <c r="V28" s="452" t="str">
        <f>B28</f>
        <v>STRUCTURES</v>
      </c>
    </row>
    <row r="29" spans="2:23" s="452" customFormat="1" ht="12.6" customHeight="1">
      <c r="B29" s="452" t="s">
        <v>1211</v>
      </c>
      <c r="G29" s="1409"/>
      <c r="H29" s="1410"/>
      <c r="J29" s="1409"/>
      <c r="K29" s="1410"/>
      <c r="L29" s="842"/>
      <c r="M29" s="1409"/>
      <c r="N29" s="1410"/>
      <c r="P29" s="1409"/>
      <c r="Q29" s="1410"/>
      <c r="S29" s="1409"/>
      <c r="T29" s="1410"/>
      <c r="V29" s="1436"/>
      <c r="W29" s="1437"/>
    </row>
    <row r="30" spans="2:23" s="452" customFormat="1" ht="12.6" customHeight="1">
      <c r="B30" s="452" t="s">
        <v>1212</v>
      </c>
      <c r="G30" s="1409">
        <v>5188728</v>
      </c>
      <c r="H30" s="1410"/>
      <c r="J30" s="1409"/>
      <c r="K30" s="1410"/>
      <c r="L30" s="842"/>
      <c r="M30" s="1409"/>
      <c r="N30" s="1410"/>
      <c r="P30" s="1409">
        <v>5188728</v>
      </c>
      <c r="Q30" s="1410"/>
      <c r="S30" s="1409"/>
      <c r="T30" s="1410"/>
      <c r="V30" s="1438"/>
      <c r="W30" s="1439"/>
    </row>
    <row r="31" spans="2:23" ht="12.6" customHeight="1" thickBot="1">
      <c r="B31" s="452" t="s">
        <v>1213</v>
      </c>
      <c r="G31" s="1409">
        <v>350000</v>
      </c>
      <c r="H31" s="1410"/>
      <c r="I31" s="452"/>
      <c r="J31" s="1409"/>
      <c r="K31" s="1410"/>
      <c r="L31" s="842"/>
      <c r="M31" s="1409"/>
      <c r="N31" s="1410"/>
      <c r="O31" s="452"/>
      <c r="P31" s="1409">
        <v>350000</v>
      </c>
      <c r="Q31" s="1410"/>
      <c r="R31" s="452"/>
      <c r="S31" s="1409"/>
      <c r="T31" s="1410"/>
      <c r="V31" s="1438"/>
      <c r="W31" s="1439"/>
    </row>
    <row r="32" spans="2:23" s="452" customFormat="1" ht="12.6" customHeight="1" thickTop="1">
      <c r="C32" s="1069"/>
      <c r="D32" s="1069"/>
      <c r="E32" s="843"/>
      <c r="F32" s="516" t="s">
        <v>2029</v>
      </c>
      <c r="G32" s="1013">
        <f>SUM(G29:H31)</f>
        <v>5538728</v>
      </c>
      <c r="H32" s="1014"/>
      <c r="J32" s="1013">
        <f>SUM(J29:K31)</f>
        <v>0</v>
      </c>
      <c r="K32" s="1014"/>
      <c r="L32" s="842"/>
      <c r="M32" s="1013">
        <f>SUM(M29:N31)</f>
        <v>0</v>
      </c>
      <c r="N32" s="1014"/>
      <c r="P32" s="1013">
        <f>SUM(P29:Q31)</f>
        <v>5538728</v>
      </c>
      <c r="Q32" s="1014"/>
      <c r="S32" s="1013">
        <f>SUM(S29:T31)</f>
        <v>0</v>
      </c>
      <c r="T32" s="1014"/>
      <c r="V32" s="1444"/>
      <c r="W32" s="1445"/>
    </row>
    <row r="33" spans="1:23" s="452" customFormat="1" ht="13.15" customHeight="1">
      <c r="B33" s="455" t="s">
        <v>3093</v>
      </c>
      <c r="E33" s="625">
        <f>E34+E35</f>
        <v>0.14000000000000001</v>
      </c>
      <c r="F33" s="836"/>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3094</v>
      </c>
      <c r="E34" s="520">
        <f>'DCA Underwriting Assumptions'!$R$38</f>
        <v>0.06</v>
      </c>
      <c r="F34" s="608">
        <f>E34*($G$27+$G$32)</f>
        <v>355752</v>
      </c>
      <c r="G34" s="1409">
        <v>336063</v>
      </c>
      <c r="H34" s="1410"/>
      <c r="I34" s="475"/>
      <c r="J34" s="1409"/>
      <c r="K34" s="1410"/>
      <c r="L34" s="842"/>
      <c r="M34" s="1409"/>
      <c r="N34" s="1410"/>
      <c r="P34" s="1409">
        <v>336063</v>
      </c>
      <c r="Q34" s="1410"/>
      <c r="S34" s="1409"/>
      <c r="T34" s="1410"/>
      <c r="V34" s="1436"/>
      <c r="W34" s="1437"/>
    </row>
    <row r="35" spans="1:23" s="452" customFormat="1" ht="12.6" customHeight="1" thickBot="1">
      <c r="B35" s="452" t="s">
        <v>3929</v>
      </c>
      <c r="E35" s="607">
        <f>'DCA Underwriting Assumptions'!$R$39+'DCA Underwriting Assumptions'!$R$40</f>
        <v>0.08</v>
      </c>
      <c r="F35" s="608">
        <f>E35*($G$27+$G$32)</f>
        <v>474336</v>
      </c>
      <c r="G35" s="1409">
        <v>448046</v>
      </c>
      <c r="H35" s="1410"/>
      <c r="I35" s="475"/>
      <c r="J35" s="1409"/>
      <c r="K35" s="1410"/>
      <c r="L35" s="842"/>
      <c r="M35" s="1409"/>
      <c r="N35" s="1410"/>
      <c r="P35" s="1409">
        <v>448046</v>
      </c>
      <c r="Q35" s="1410"/>
      <c r="S35" s="1409"/>
      <c r="T35" s="1410"/>
      <c r="V35" s="1438"/>
      <c r="W35" s="1439"/>
    </row>
    <row r="36" spans="1:23" s="452" customFormat="1" ht="12.6" customHeight="1" thickTop="1">
      <c r="B36" s="452" t="s">
        <v>3930</v>
      </c>
      <c r="D36" s="523"/>
      <c r="E36" s="830"/>
      <c r="F36" s="609" t="s">
        <v>2029</v>
      </c>
      <c r="G36" s="1013">
        <f>SUM(G34:H35)</f>
        <v>784109</v>
      </c>
      <c r="H36" s="1014"/>
      <c r="J36" s="1013">
        <f>SUM(J34:K35)</f>
        <v>0</v>
      </c>
      <c r="K36" s="1014"/>
      <c r="L36" s="518"/>
      <c r="M36" s="1013">
        <f>SUM(M34:N35)</f>
        <v>0</v>
      </c>
      <c r="N36" s="1014"/>
      <c r="P36" s="1013">
        <f>SUM(P34:Q35)</f>
        <v>784109</v>
      </c>
      <c r="Q36" s="1014"/>
      <c r="S36" s="1013">
        <f>SUM(S34:T35)</f>
        <v>0</v>
      </c>
      <c r="T36" s="1014"/>
      <c r="V36" s="1444"/>
      <c r="W36" s="1445"/>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1216</v>
      </c>
      <c r="C38" s="525"/>
      <c r="D38" s="526">
        <f>B39/'Part VI-Revenues &amp; Expenses'!$M$62</f>
        <v>95904.414285714287</v>
      </c>
      <c r="E38" s="526"/>
      <c r="F38" s="527" t="s">
        <v>1479</v>
      </c>
      <c r="V38" s="1436"/>
      <c r="W38" s="1437"/>
    </row>
    <row r="39" spans="1:23" s="452" customFormat="1" ht="12.6" customHeight="1">
      <c r="B39" s="1072">
        <f>G27+G32+G36</f>
        <v>6713309</v>
      </c>
      <c r="C39" s="1073"/>
      <c r="D39" s="528">
        <f>B39/'Part VI-Revenues &amp; Expenses'!$M$100</f>
        <v>157.96021176470589</v>
      </c>
      <c r="E39" s="528"/>
      <c r="F39" s="529" t="s">
        <v>84</v>
      </c>
      <c r="J39" s="515"/>
      <c r="K39" s="515"/>
      <c r="L39" s="530"/>
      <c r="M39" s="515"/>
      <c r="N39" s="842"/>
      <c r="P39" s="515"/>
      <c r="Q39" s="842"/>
      <c r="S39" s="515"/>
      <c r="T39" s="842"/>
      <c r="V39" s="1444"/>
      <c r="W39" s="1445"/>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15" customHeight="1">
      <c r="B41" s="455" t="s">
        <v>1214</v>
      </c>
      <c r="J41" s="518"/>
      <c r="K41" s="515"/>
      <c r="M41" s="518"/>
      <c r="N41" s="515"/>
      <c r="O41" s="517" t="str">
        <f>B41</f>
        <v>CONSTRUCTION CONTINGENCY</v>
      </c>
      <c r="P41" s="518"/>
      <c r="Q41" s="515"/>
      <c r="S41" s="518"/>
      <c r="T41" s="515"/>
      <c r="V41" s="452" t="str">
        <f>B41</f>
        <v>CONSTRUCTION CONTINGENCY</v>
      </c>
    </row>
    <row r="42" spans="1:23" ht="12.6" customHeight="1">
      <c r="B42" s="452" t="s">
        <v>3897</v>
      </c>
      <c r="F42" s="626">
        <f>G42/$B$39</f>
        <v>6.540977035318947E-2</v>
      </c>
      <c r="G42" s="1409">
        <v>439116</v>
      </c>
      <c r="H42" s="1410"/>
      <c r="I42" s="452"/>
      <c r="J42" s="1409"/>
      <c r="K42" s="1410"/>
      <c r="L42" s="842"/>
      <c r="M42" s="1409"/>
      <c r="N42" s="1410"/>
      <c r="O42" s="452"/>
      <c r="P42" s="1409">
        <v>439116</v>
      </c>
      <c r="Q42" s="1410"/>
      <c r="R42" s="452"/>
      <c r="S42" s="1409"/>
      <c r="T42" s="1410"/>
      <c r="V42" s="1446"/>
      <c r="W42" s="1447"/>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839</v>
      </c>
      <c r="B45" s="687" t="s">
        <v>913</v>
      </c>
      <c r="H45" s="830"/>
      <c r="I45" s="830"/>
      <c r="J45" s="1043" t="s">
        <v>2269</v>
      </c>
      <c r="K45" s="1044"/>
      <c r="L45" s="515"/>
      <c r="M45" s="1059" t="s">
        <v>643</v>
      </c>
      <c r="N45" s="1060"/>
      <c r="P45" s="1043" t="s">
        <v>2270</v>
      </c>
      <c r="Q45" s="1044"/>
      <c r="S45" s="1043" t="s">
        <v>2271</v>
      </c>
      <c r="T45" s="1044"/>
      <c r="V45" s="688" t="str">
        <f>B45</f>
        <v>DEVELOPMENT BUDGET</v>
      </c>
    </row>
    <row r="46" spans="1:23" s="452" customFormat="1" ht="18.75" customHeight="1" thickBot="1">
      <c r="G46" s="1057" t="s">
        <v>1616</v>
      </c>
      <c r="H46" s="1058"/>
      <c r="J46" s="1045"/>
      <c r="K46" s="1046"/>
      <c r="L46" s="515"/>
      <c r="M46" s="1061"/>
      <c r="N46" s="1062"/>
      <c r="P46" s="1045"/>
      <c r="Q46" s="1046"/>
      <c r="S46" s="1045"/>
      <c r="T46" s="1046"/>
      <c r="V46" s="1024" t="s">
        <v>3807</v>
      </c>
      <c r="W46" s="1024"/>
    </row>
    <row r="47" spans="1:23" s="452" customFormat="1" ht="12" customHeight="1">
      <c r="B47" s="455" t="s">
        <v>2641</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3096</v>
      </c>
      <c r="G48" s="1409"/>
      <c r="H48" s="1410"/>
      <c r="J48" s="1409"/>
      <c r="K48" s="1410"/>
      <c r="L48" s="842"/>
      <c r="M48" s="1409"/>
      <c r="N48" s="1410"/>
      <c r="P48" s="1409"/>
      <c r="Q48" s="1410"/>
      <c r="S48" s="1409"/>
      <c r="T48" s="1410"/>
      <c r="V48" s="1436"/>
      <c r="W48" s="1437"/>
    </row>
    <row r="49" spans="1:23" s="452" customFormat="1" ht="12" customHeight="1">
      <c r="B49" s="452" t="s">
        <v>3097</v>
      </c>
      <c r="G49" s="1409"/>
      <c r="H49" s="1410"/>
      <c r="J49" s="1409"/>
      <c r="K49" s="1410"/>
      <c r="L49" s="842"/>
      <c r="M49" s="1409"/>
      <c r="N49" s="1410"/>
      <c r="P49" s="1409"/>
      <c r="Q49" s="1410"/>
      <c r="S49" s="1409"/>
      <c r="T49" s="1410"/>
      <c r="V49" s="1438"/>
      <c r="W49" s="1439"/>
    </row>
    <row r="50" spans="1:23" s="452" customFormat="1" ht="12" customHeight="1">
      <c r="B50" s="452" t="s">
        <v>3098</v>
      </c>
      <c r="G50" s="1409">
        <v>103000</v>
      </c>
      <c r="H50" s="1410"/>
      <c r="J50" s="1409"/>
      <c r="K50" s="1410"/>
      <c r="L50" s="842"/>
      <c r="M50" s="1409"/>
      <c r="N50" s="1410"/>
      <c r="P50" s="1409">
        <v>103000</v>
      </c>
      <c r="Q50" s="1410"/>
      <c r="S50" s="1409"/>
      <c r="T50" s="1410"/>
      <c r="V50" s="1438"/>
      <c r="W50" s="1439"/>
    </row>
    <row r="51" spans="1:23" s="452" customFormat="1" ht="12" customHeight="1">
      <c r="B51" s="452" t="s">
        <v>4018</v>
      </c>
      <c r="G51" s="1409"/>
      <c r="H51" s="1410"/>
      <c r="J51" s="1409"/>
      <c r="K51" s="1410"/>
      <c r="L51" s="842"/>
      <c r="M51" s="1409"/>
      <c r="N51" s="1410"/>
      <c r="P51" s="1409"/>
      <c r="Q51" s="1410"/>
      <c r="S51" s="1409"/>
      <c r="T51" s="1410"/>
      <c r="V51" s="1438"/>
      <c r="W51" s="1439"/>
    </row>
    <row r="52" spans="1:23" s="452" customFormat="1" ht="12" customHeight="1">
      <c r="B52" s="452" t="s">
        <v>2642</v>
      </c>
      <c r="G52" s="1409"/>
      <c r="H52" s="1410"/>
      <c r="J52" s="1409"/>
      <c r="K52" s="1410"/>
      <c r="L52" s="842"/>
      <c r="M52" s="1409"/>
      <c r="N52" s="1410"/>
      <c r="P52" s="1409"/>
      <c r="Q52" s="1410"/>
      <c r="S52" s="1409"/>
      <c r="T52" s="1410"/>
      <c r="V52" s="1438"/>
      <c r="W52" s="1439"/>
    </row>
    <row r="53" spans="1:23" s="452" customFormat="1" ht="12" customHeight="1">
      <c r="B53" s="452" t="s">
        <v>3099</v>
      </c>
      <c r="G53" s="1409">
        <v>10000</v>
      </c>
      <c r="H53" s="1410"/>
      <c r="J53" s="1409"/>
      <c r="K53" s="1410"/>
      <c r="L53" s="842"/>
      <c r="M53" s="1409"/>
      <c r="N53" s="1410"/>
      <c r="P53" s="1409">
        <v>10000</v>
      </c>
      <c r="Q53" s="1410"/>
      <c r="S53" s="1409"/>
      <c r="T53" s="1410"/>
      <c r="V53" s="1438"/>
      <c r="W53" s="1439"/>
    </row>
    <row r="54" spans="1:23" s="452" customFormat="1" ht="12" customHeight="1">
      <c r="B54" s="452" t="s">
        <v>2280</v>
      </c>
      <c r="G54" s="1409"/>
      <c r="H54" s="1410"/>
      <c r="J54" s="1409"/>
      <c r="K54" s="1410"/>
      <c r="L54" s="842"/>
      <c r="M54" s="1409"/>
      <c r="N54" s="1410"/>
      <c r="P54" s="1409"/>
      <c r="Q54" s="1410"/>
      <c r="S54" s="1409"/>
      <c r="T54" s="1410"/>
      <c r="V54" s="1438"/>
      <c r="W54" s="1439"/>
    </row>
    <row r="55" spans="1:23" s="452" customFormat="1" ht="12" customHeight="1">
      <c r="B55" s="522" t="s">
        <v>1248</v>
      </c>
      <c r="D55" s="520"/>
      <c r="E55" s="520"/>
      <c r="F55" s="521"/>
      <c r="G55" s="1409">
        <v>44775</v>
      </c>
      <c r="H55" s="1410"/>
      <c r="I55" s="475"/>
      <c r="J55" s="1409"/>
      <c r="K55" s="1410"/>
      <c r="L55" s="842"/>
      <c r="M55" s="1409"/>
      <c r="N55" s="1410"/>
      <c r="P55" s="1409">
        <v>44775</v>
      </c>
      <c r="Q55" s="1410"/>
      <c r="S55" s="1409"/>
      <c r="T55" s="1410"/>
      <c r="V55" s="1438"/>
      <c r="W55" s="1439"/>
    </row>
    <row r="56" spans="1:23" s="452" customFormat="1" ht="12" customHeight="1" thickBot="1">
      <c r="A56" s="551" t="str">
        <f>IF(AND(G56&gt;0,OR(C56="",C56="&lt;Enter detailed description here; use Comments section if needed&gt;")),"X","")</f>
        <v/>
      </c>
      <c r="B56" s="452" t="s">
        <v>2775</v>
      </c>
      <c r="C56" s="1290" t="s">
        <v>899</v>
      </c>
      <c r="D56" s="1290"/>
      <c r="E56" s="1290"/>
      <c r="F56" s="1291"/>
      <c r="G56" s="1440">
        <v>30000</v>
      </c>
      <c r="H56" s="1441"/>
      <c r="J56" s="1440"/>
      <c r="K56" s="1441"/>
      <c r="L56" s="842"/>
      <c r="M56" s="1440"/>
      <c r="N56" s="1441"/>
      <c r="P56" s="1440">
        <v>30000</v>
      </c>
      <c r="Q56" s="1441"/>
      <c r="S56" s="1409"/>
      <c r="T56" s="1410"/>
      <c r="U56" s="550" t="str">
        <f>IF(AND(G56&gt;0,OR(C56="",C56="&lt;Enter detailed description here; use Comments section if needed&gt;")),"NO DESCRIPTION PROVIDED - please enter detailed description in Other box at left; use Comments section below if needed.","")</f>
        <v/>
      </c>
      <c r="V56" s="1438"/>
      <c r="W56" s="1439"/>
    </row>
    <row r="57" spans="1:23" s="452" customFormat="1" ht="12" customHeight="1" thickTop="1">
      <c r="F57" s="516" t="s">
        <v>2029</v>
      </c>
      <c r="G57" s="1013">
        <f>SUM(G48:H56)</f>
        <v>187775</v>
      </c>
      <c r="H57" s="1014"/>
      <c r="J57" s="1013">
        <f>SUM(J48:K56)</f>
        <v>0</v>
      </c>
      <c r="K57" s="1014"/>
      <c r="L57" s="518"/>
      <c r="M57" s="1013">
        <f>SUM(M48:N56)</f>
        <v>0</v>
      </c>
      <c r="N57" s="1014"/>
      <c r="P57" s="1013">
        <f>SUM(P48:Q56)</f>
        <v>187775</v>
      </c>
      <c r="Q57" s="1014"/>
      <c r="S57" s="1013">
        <f>SUM(S48:T56)</f>
        <v>0</v>
      </c>
      <c r="T57" s="1014"/>
      <c r="V57" s="1444"/>
      <c r="W57" s="1445"/>
    </row>
    <row r="58" spans="1:23" s="452" customFormat="1" ht="12" customHeight="1">
      <c r="B58" s="455" t="s">
        <v>627</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628</v>
      </c>
      <c r="G59" s="1409">
        <v>312478</v>
      </c>
      <c r="H59" s="1410"/>
      <c r="J59" s="1409"/>
      <c r="K59" s="1410"/>
      <c r="L59" s="842"/>
      <c r="M59" s="1409"/>
      <c r="N59" s="1410"/>
      <c r="P59" s="1409">
        <v>312478</v>
      </c>
      <c r="Q59" s="1410"/>
      <c r="S59" s="1409"/>
      <c r="T59" s="1410"/>
      <c r="V59" s="1436"/>
      <c r="W59" s="1437"/>
    </row>
    <row r="60" spans="1:23" s="452" customFormat="1" ht="12" customHeight="1">
      <c r="B60" s="452" t="s">
        <v>629</v>
      </c>
      <c r="G60" s="1409">
        <v>54100</v>
      </c>
      <c r="H60" s="1410"/>
      <c r="J60" s="1409"/>
      <c r="K60" s="1410"/>
      <c r="L60" s="842"/>
      <c r="M60" s="1409"/>
      <c r="N60" s="1410"/>
      <c r="P60" s="1409">
        <v>54100</v>
      </c>
      <c r="Q60" s="1410"/>
      <c r="S60" s="1409"/>
      <c r="T60" s="1410"/>
      <c r="V60" s="1438"/>
      <c r="W60" s="1439"/>
    </row>
    <row r="61" spans="1:23" s="452" customFormat="1" ht="12" customHeight="1">
      <c r="B61" s="452" t="s">
        <v>1217</v>
      </c>
      <c r="G61" s="1409">
        <v>20000</v>
      </c>
      <c r="H61" s="1410"/>
      <c r="J61" s="1409"/>
      <c r="K61" s="1410"/>
      <c r="L61" s="842"/>
      <c r="M61" s="1409"/>
      <c r="N61" s="1410"/>
      <c r="P61" s="1409">
        <v>20000</v>
      </c>
      <c r="Q61" s="1410"/>
      <c r="S61" s="1409"/>
      <c r="T61" s="1410"/>
      <c r="V61" s="1438"/>
      <c r="W61" s="1439"/>
    </row>
    <row r="62" spans="1:23" s="452" customFormat="1" ht="12" customHeight="1">
      <c r="B62" s="452" t="s">
        <v>1218</v>
      </c>
      <c r="G62" s="1409"/>
      <c r="H62" s="1410"/>
      <c r="J62" s="1409"/>
      <c r="K62" s="1410"/>
      <c r="L62" s="842"/>
      <c r="M62" s="1409"/>
      <c r="N62" s="1410"/>
      <c r="P62" s="1409"/>
      <c r="Q62" s="1410"/>
      <c r="S62" s="1409"/>
      <c r="T62" s="1410"/>
      <c r="V62" s="1438"/>
      <c r="W62" s="1439"/>
    </row>
    <row r="63" spans="1:23" s="452" customFormat="1" ht="12" customHeight="1">
      <c r="B63" s="452" t="s">
        <v>1219</v>
      </c>
      <c r="G63" s="1409">
        <v>6000</v>
      </c>
      <c r="H63" s="1410"/>
      <c r="J63" s="1409"/>
      <c r="K63" s="1410"/>
      <c r="L63" s="842"/>
      <c r="M63" s="1409"/>
      <c r="N63" s="1410"/>
      <c r="P63" s="1409">
        <v>6000</v>
      </c>
      <c r="Q63" s="1410"/>
      <c r="S63" s="1409"/>
      <c r="T63" s="1410"/>
      <c r="V63" s="1438"/>
      <c r="W63" s="1439"/>
    </row>
    <row r="64" spans="1:23" s="452" customFormat="1" ht="12" customHeight="1">
      <c r="B64" s="452" t="s">
        <v>1220</v>
      </c>
      <c r="G64" s="1409"/>
      <c r="H64" s="1410"/>
      <c r="J64" s="1409"/>
      <c r="K64" s="1410"/>
      <c r="L64" s="842"/>
      <c r="M64" s="1409"/>
      <c r="N64" s="1410"/>
      <c r="P64" s="1409"/>
      <c r="Q64" s="1410"/>
      <c r="S64" s="1409"/>
      <c r="T64" s="1410"/>
      <c r="V64" s="1438"/>
      <c r="W64" s="1439"/>
    </row>
    <row r="65" spans="1:23" s="452" customFormat="1" ht="12" customHeight="1">
      <c r="B65" s="452" t="s">
        <v>630</v>
      </c>
      <c r="G65" s="1409">
        <v>208000</v>
      </c>
      <c r="H65" s="1410"/>
      <c r="J65" s="1409"/>
      <c r="K65" s="1410"/>
      <c r="L65" s="842"/>
      <c r="M65" s="1409"/>
      <c r="N65" s="1410"/>
      <c r="P65" s="1409">
        <v>208000</v>
      </c>
      <c r="Q65" s="1410"/>
      <c r="S65" s="1409"/>
      <c r="T65" s="1410"/>
      <c r="V65" s="1438"/>
      <c r="W65" s="1439"/>
    </row>
    <row r="66" spans="1:23" s="452" customFormat="1" ht="12" customHeight="1">
      <c r="B66" s="452" t="s">
        <v>631</v>
      </c>
      <c r="G66" s="1409">
        <v>15000</v>
      </c>
      <c r="H66" s="1410"/>
      <c r="J66" s="1409"/>
      <c r="K66" s="1410"/>
      <c r="L66" s="842"/>
      <c r="M66" s="1409"/>
      <c r="N66" s="1410"/>
      <c r="P66" s="1409"/>
      <c r="Q66" s="1410"/>
      <c r="S66" s="1409">
        <v>15000</v>
      </c>
      <c r="T66" s="1410"/>
      <c r="V66" s="1438"/>
      <c r="W66" s="1439"/>
    </row>
    <row r="67" spans="1:23" s="452" customFormat="1" ht="12" customHeight="1">
      <c r="B67" s="452" t="s">
        <v>2407</v>
      </c>
      <c r="G67" s="1409">
        <v>83000</v>
      </c>
      <c r="H67" s="1410"/>
      <c r="J67" s="1409"/>
      <c r="K67" s="1410"/>
      <c r="L67" s="842"/>
      <c r="M67" s="1409"/>
      <c r="N67" s="1410"/>
      <c r="P67" s="1409">
        <v>83000</v>
      </c>
      <c r="Q67" s="1410"/>
      <c r="S67" s="1409"/>
      <c r="T67" s="1410"/>
      <c r="V67" s="1438"/>
      <c r="W67" s="1439"/>
    </row>
    <row r="68" spans="1:23" s="452" customFormat="1" ht="12" customHeight="1" thickBot="1">
      <c r="A68" s="551" t="str">
        <f>IF(AND(G68&gt;0,OR(C68="",C68="&lt;Enter detailed description here; use Comments section if needed&gt;")),"X","")</f>
        <v/>
      </c>
      <c r="B68" s="452" t="s">
        <v>2775</v>
      </c>
      <c r="C68" s="1290" t="s">
        <v>4134</v>
      </c>
      <c r="D68" s="1290"/>
      <c r="E68" s="1290"/>
      <c r="F68" s="1291"/>
      <c r="G68" s="1409">
        <v>142417</v>
      </c>
      <c r="H68" s="1410"/>
      <c r="J68" s="1409"/>
      <c r="K68" s="1410"/>
      <c r="L68" s="842"/>
      <c r="M68" s="1409"/>
      <c r="N68" s="1410"/>
      <c r="P68" s="1409">
        <v>131417</v>
      </c>
      <c r="Q68" s="1410"/>
      <c r="S68" s="1409">
        <v>11000</v>
      </c>
      <c r="T68" s="1410"/>
      <c r="U68" s="550" t="str">
        <f>IF(AND(G68&gt;0,OR(C68="",C68="&lt;Enter detailed description here; use Comments section if needed&gt;")),"NO DESCRIPTION PROVIDED - please enter detailed description in Other box at left; use Comments section below if needed.","")</f>
        <v/>
      </c>
      <c r="V68" s="1438"/>
      <c r="W68" s="1439"/>
    </row>
    <row r="69" spans="1:23" s="452" customFormat="1" ht="12" customHeight="1" thickTop="1">
      <c r="F69" s="516" t="s">
        <v>2029</v>
      </c>
      <c r="G69" s="1013">
        <f>SUM(G59:H68)</f>
        <v>840995</v>
      </c>
      <c r="H69" s="1014"/>
      <c r="J69" s="1013">
        <f>SUM(J59:K68)</f>
        <v>0</v>
      </c>
      <c r="K69" s="1014"/>
      <c r="L69" s="518"/>
      <c r="M69" s="1013">
        <f>SUM(M59:N68)</f>
        <v>0</v>
      </c>
      <c r="N69" s="1014"/>
      <c r="P69" s="1013">
        <f>SUM(P59:Q68)</f>
        <v>814995</v>
      </c>
      <c r="Q69" s="1014"/>
      <c r="S69" s="1013">
        <f>SUM(S59:T68)</f>
        <v>26000</v>
      </c>
      <c r="T69" s="1014"/>
      <c r="V69" s="1444"/>
      <c r="W69" s="1445"/>
    </row>
    <row r="70" spans="1:23" ht="12" customHeight="1">
      <c r="A70" s="452"/>
      <c r="B70" s="455" t="s">
        <v>1355</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1356</v>
      </c>
      <c r="G71" s="1409">
        <v>45000</v>
      </c>
      <c r="H71" s="1410"/>
      <c r="J71" s="1409"/>
      <c r="K71" s="1410"/>
      <c r="L71" s="842"/>
      <c r="M71" s="1409"/>
      <c r="N71" s="1410"/>
      <c r="P71" s="1409">
        <v>45000</v>
      </c>
      <c r="Q71" s="1410"/>
      <c r="S71" s="1409"/>
      <c r="T71" s="1410"/>
      <c r="V71" s="1448"/>
      <c r="W71" s="1449"/>
    </row>
    <row r="72" spans="1:23" s="452" customFormat="1" ht="12" customHeight="1">
      <c r="B72" s="452" t="s">
        <v>1357</v>
      </c>
      <c r="G72" s="1409">
        <v>50000</v>
      </c>
      <c r="H72" s="1410"/>
      <c r="J72" s="1409"/>
      <c r="K72" s="1410"/>
      <c r="L72" s="842"/>
      <c r="M72" s="1409"/>
      <c r="N72" s="1410"/>
      <c r="P72" s="1409">
        <v>50000</v>
      </c>
      <c r="Q72" s="1410"/>
      <c r="S72" s="1409"/>
      <c r="T72" s="1410"/>
      <c r="V72" s="1450"/>
      <c r="W72" s="1451"/>
    </row>
    <row r="73" spans="1:23" s="452" customFormat="1" ht="12" customHeight="1">
      <c r="B73" s="452" t="s">
        <v>1358</v>
      </c>
      <c r="D73" s="532" t="s">
        <v>1480</v>
      </c>
      <c r="E73" s="1452" t="s">
        <v>4061</v>
      </c>
      <c r="G73" s="1409">
        <v>16750</v>
      </c>
      <c r="H73" s="1410"/>
      <c r="I73" s="475"/>
      <c r="J73" s="1409"/>
      <c r="K73" s="1410"/>
      <c r="L73" s="842"/>
      <c r="M73" s="1409"/>
      <c r="N73" s="1410"/>
      <c r="P73" s="1409">
        <v>16750</v>
      </c>
      <c r="Q73" s="1410"/>
      <c r="S73" s="1409"/>
      <c r="T73" s="1410"/>
      <c r="V73" s="1450"/>
      <c r="W73" s="1451"/>
    </row>
    <row r="74" spans="1:23" s="452" customFormat="1" ht="12" customHeight="1" thickBot="1">
      <c r="B74" s="452" t="s">
        <v>1359</v>
      </c>
      <c r="D74" s="532" t="s">
        <v>1480</v>
      </c>
      <c r="E74" s="1452" t="s">
        <v>4061</v>
      </c>
      <c r="G74" s="1409">
        <v>33250</v>
      </c>
      <c r="H74" s="1410"/>
      <c r="I74" s="475"/>
      <c r="J74" s="1409"/>
      <c r="K74" s="1410"/>
      <c r="L74" s="842"/>
      <c r="M74" s="1409"/>
      <c r="N74" s="1410"/>
      <c r="P74" s="1409">
        <v>33250</v>
      </c>
      <c r="Q74" s="1410"/>
      <c r="S74" s="1409"/>
      <c r="T74" s="1410"/>
      <c r="V74" s="1450"/>
      <c r="W74" s="1451"/>
    </row>
    <row r="75" spans="1:23" s="452" customFormat="1" ht="12" customHeight="1" thickTop="1">
      <c r="F75" s="516" t="s">
        <v>2029</v>
      </c>
      <c r="G75" s="1013">
        <f>SUM(G71:H74)</f>
        <v>145000</v>
      </c>
      <c r="H75" s="1014"/>
      <c r="J75" s="1013">
        <f>SUM(J71:K74)</f>
        <v>0</v>
      </c>
      <c r="K75" s="1014"/>
      <c r="L75" s="518"/>
      <c r="M75" s="1013">
        <f>SUM(M71:N74)</f>
        <v>0</v>
      </c>
      <c r="N75" s="1014"/>
      <c r="P75" s="1013">
        <f>SUM(P71:Q74)</f>
        <v>145000</v>
      </c>
      <c r="Q75" s="1014"/>
      <c r="S75" s="1013">
        <f>SUM(S71:T74)</f>
        <v>0</v>
      </c>
      <c r="T75" s="1014"/>
      <c r="V75" s="1453"/>
      <c r="W75" s="1454"/>
    </row>
    <row r="76" spans="1:23" s="452" customFormat="1" ht="12" customHeight="1">
      <c r="B76" s="455" t="s">
        <v>2643</v>
      </c>
      <c r="J76" s="518"/>
      <c r="K76" s="518"/>
      <c r="M76" s="518"/>
      <c r="N76" s="518"/>
      <c r="O76" s="517" t="str">
        <f>B76</f>
        <v>PERMANENT FINANCING FEES</v>
      </c>
      <c r="P76" s="518"/>
      <c r="Q76" s="518"/>
      <c r="S76" s="518"/>
      <c r="T76" s="518"/>
      <c r="V76" s="452" t="str">
        <f>B76</f>
        <v>PERMANENT FINANCING FEES</v>
      </c>
    </row>
    <row r="77" spans="1:23" s="452" customFormat="1" ht="12" customHeight="1">
      <c r="B77" s="452" t="s">
        <v>1360</v>
      </c>
      <c r="G77" s="1409"/>
      <c r="H77" s="1410"/>
      <c r="J77" s="1015"/>
      <c r="K77" s="1015"/>
      <c r="L77" s="842"/>
      <c r="M77" s="1015"/>
      <c r="N77" s="1015"/>
      <c r="P77" s="1015"/>
      <c r="Q77" s="1015"/>
      <c r="S77" s="1409"/>
      <c r="T77" s="1410"/>
      <c r="V77" s="1448"/>
      <c r="W77" s="1449"/>
    </row>
    <row r="78" spans="1:23" s="452" customFormat="1" ht="12" customHeight="1">
      <c r="B78" s="452" t="s">
        <v>1361</v>
      </c>
      <c r="G78" s="1409">
        <v>15000</v>
      </c>
      <c r="H78" s="1410"/>
      <c r="J78" s="1056"/>
      <c r="K78" s="1056"/>
      <c r="L78" s="842"/>
      <c r="M78" s="1056"/>
      <c r="N78" s="1056"/>
      <c r="P78" s="1056"/>
      <c r="Q78" s="1056"/>
      <c r="S78" s="1409">
        <v>15000</v>
      </c>
      <c r="T78" s="1410"/>
      <c r="V78" s="1450"/>
      <c r="W78" s="1451"/>
    </row>
    <row r="79" spans="1:23" s="452" customFormat="1" ht="12" customHeight="1">
      <c r="B79" s="452" t="s">
        <v>1362</v>
      </c>
      <c r="G79" s="1409">
        <v>73812</v>
      </c>
      <c r="H79" s="1410"/>
      <c r="J79" s="1409"/>
      <c r="K79" s="1410"/>
      <c r="L79" s="842"/>
      <c r="M79" s="1409"/>
      <c r="N79" s="1410"/>
      <c r="P79" s="1409">
        <v>59600</v>
      </c>
      <c r="Q79" s="1410"/>
      <c r="S79" s="1409">
        <v>14212</v>
      </c>
      <c r="T79" s="1410"/>
      <c r="V79" s="1450"/>
      <c r="W79" s="1451"/>
    </row>
    <row r="80" spans="1:23" s="452" customFormat="1" ht="12" customHeight="1">
      <c r="B80" s="452" t="s">
        <v>1363</v>
      </c>
      <c r="G80" s="1409">
        <v>8000</v>
      </c>
      <c r="H80" s="1410"/>
      <c r="J80" s="1409"/>
      <c r="K80" s="1410"/>
      <c r="L80" s="842"/>
      <c r="M80" s="1409"/>
      <c r="N80" s="1410"/>
      <c r="P80" s="1409">
        <v>8000</v>
      </c>
      <c r="Q80" s="1410"/>
      <c r="S80" s="1409"/>
      <c r="T80" s="1410"/>
      <c r="V80" s="1450"/>
      <c r="W80" s="1451"/>
    </row>
    <row r="81" spans="1:23" s="452" customFormat="1" ht="12" customHeight="1">
      <c r="B81" s="452" t="s">
        <v>1364</v>
      </c>
      <c r="G81" s="1409"/>
      <c r="H81" s="1410"/>
      <c r="J81" s="1409"/>
      <c r="K81" s="1410"/>
      <c r="L81" s="842"/>
      <c r="M81" s="1409"/>
      <c r="N81" s="1410"/>
      <c r="P81" s="1409"/>
      <c r="Q81" s="1410"/>
      <c r="S81" s="1409"/>
      <c r="T81" s="1410"/>
      <c r="V81" s="1450"/>
      <c r="W81" s="1451"/>
    </row>
    <row r="82" spans="1:23" s="452" customFormat="1" ht="12" customHeight="1">
      <c r="B82" s="452" t="s">
        <v>3041</v>
      </c>
      <c r="G82" s="1409"/>
      <c r="H82" s="1410"/>
      <c r="J82" s="1409"/>
      <c r="K82" s="1410"/>
      <c r="L82" s="842"/>
      <c r="M82" s="1409"/>
      <c r="N82" s="1410"/>
      <c r="P82" s="1409"/>
      <c r="Q82" s="1410"/>
      <c r="S82" s="1409"/>
      <c r="T82" s="1410"/>
      <c r="V82" s="1450"/>
      <c r="W82" s="1451"/>
    </row>
    <row r="83" spans="1:23" s="452" customFormat="1" ht="12" customHeight="1" thickBot="1">
      <c r="A83" s="551" t="str">
        <f>IF(AND(G83&gt;0,OR(C83="",C83="&lt;Enter detailed description here; use Comments section if needed&gt;")),"X","")</f>
        <v/>
      </c>
      <c r="B83" s="452" t="s">
        <v>2775</v>
      </c>
      <c r="C83" s="1290" t="s">
        <v>2909</v>
      </c>
      <c r="D83" s="1290"/>
      <c r="E83" s="1290"/>
      <c r="F83" s="1291"/>
      <c r="G83" s="1409"/>
      <c r="H83" s="1410"/>
      <c r="J83" s="1409"/>
      <c r="K83" s="1410"/>
      <c r="L83" s="842"/>
      <c r="M83" s="1409"/>
      <c r="N83" s="1410"/>
      <c r="P83" s="1409"/>
      <c r="Q83" s="1410"/>
      <c r="S83" s="1409"/>
      <c r="T83" s="1410"/>
      <c r="U83" s="550" t="str">
        <f>IF(AND(G83&gt;0,OR(C83="",C83="&lt;Enter detailed description here; use Comments section if needed&gt;")),"NO DESCRIPTION PROVIDED - please enter detailed description in Other box at left; use Comments section below if needed.","")</f>
        <v/>
      </c>
      <c r="V83" s="1450"/>
      <c r="W83" s="1451"/>
    </row>
    <row r="84" spans="1:23" s="452" customFormat="1" ht="12" customHeight="1" thickTop="1">
      <c r="F84" s="516" t="s">
        <v>2029</v>
      </c>
      <c r="G84" s="1013">
        <f>SUM(G77:H83)</f>
        <v>96812</v>
      </c>
      <c r="H84" s="1014"/>
      <c r="J84" s="1013">
        <f>SUM(J79:K83)</f>
        <v>0</v>
      </c>
      <c r="K84" s="1014"/>
      <c r="L84" s="518"/>
      <c r="M84" s="1013">
        <f>SUM(M79:N83)</f>
        <v>0</v>
      </c>
      <c r="N84" s="1014"/>
      <c r="P84" s="1013">
        <f>SUM(P79:Q83)</f>
        <v>67600</v>
      </c>
      <c r="Q84" s="1014"/>
      <c r="S84" s="1013">
        <f>SUM(S77:T83)</f>
        <v>29212</v>
      </c>
      <c r="T84" s="1014"/>
      <c r="V84" s="1453"/>
      <c r="W84" s="1454"/>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839</v>
      </c>
      <c r="B86" s="687" t="s">
        <v>913</v>
      </c>
      <c r="H86" s="830"/>
      <c r="I86" s="830"/>
      <c r="J86" s="1043" t="s">
        <v>2269</v>
      </c>
      <c r="K86" s="1044"/>
      <c r="L86" s="515"/>
      <c r="M86" s="1059" t="s">
        <v>643</v>
      </c>
      <c r="N86" s="1060"/>
      <c r="P86" s="1043" t="s">
        <v>2270</v>
      </c>
      <c r="Q86" s="1044"/>
      <c r="S86" s="1043" t="s">
        <v>2271</v>
      </c>
      <c r="T86" s="1044"/>
      <c r="V86" s="688" t="str">
        <f>B86</f>
        <v>DEVELOPMENT BUDGET</v>
      </c>
    </row>
    <row r="87" spans="1:23" s="452" customFormat="1" ht="18" customHeight="1" thickBot="1">
      <c r="G87" s="1057" t="s">
        <v>1616</v>
      </c>
      <c r="H87" s="1058"/>
      <c r="J87" s="1045"/>
      <c r="K87" s="1046"/>
      <c r="L87" s="515"/>
      <c r="M87" s="1061"/>
      <c r="N87" s="1062"/>
      <c r="P87" s="1045"/>
      <c r="Q87" s="1046"/>
      <c r="S87" s="1045"/>
      <c r="T87" s="1046"/>
      <c r="V87" s="1024" t="s">
        <v>3807</v>
      </c>
      <c r="W87" s="1024"/>
    </row>
    <row r="88" spans="1:23" s="452" customFormat="1" ht="13.15" customHeight="1">
      <c r="B88" s="455" t="s">
        <v>2644</v>
      </c>
      <c r="J88" s="518"/>
      <c r="K88" s="518"/>
      <c r="M88" s="518"/>
      <c r="N88" s="518"/>
      <c r="O88" s="517" t="str">
        <f>B88</f>
        <v>DCA-RELATED COSTS</v>
      </c>
      <c r="P88" s="518"/>
      <c r="Q88" s="518"/>
      <c r="S88" s="518"/>
      <c r="T88" s="518"/>
      <c r="V88" s="452" t="str">
        <f>B88</f>
        <v>DCA-RELATED COSTS</v>
      </c>
    </row>
    <row r="89" spans="1:23" s="452" customFormat="1" ht="12.6" customHeight="1">
      <c r="B89" s="452" t="s">
        <v>3499</v>
      </c>
      <c r="G89" s="1409"/>
      <c r="H89" s="1410"/>
      <c r="J89" s="518"/>
      <c r="K89" s="518"/>
      <c r="L89" s="842"/>
      <c r="M89" s="518"/>
      <c r="N89" s="518"/>
      <c r="P89" s="518"/>
      <c r="Q89" s="518"/>
      <c r="S89" s="1409"/>
      <c r="T89" s="1410"/>
      <c r="V89" s="1448"/>
      <c r="W89" s="1449"/>
    </row>
    <row r="90" spans="1:23" s="452" customFormat="1" ht="12.6" customHeight="1">
      <c r="B90" s="452" t="s">
        <v>1293</v>
      </c>
      <c r="G90" s="1409">
        <v>6500</v>
      </c>
      <c r="H90" s="1410"/>
      <c r="J90" s="518"/>
      <c r="K90" s="518"/>
      <c r="L90" s="533"/>
      <c r="M90" s="518"/>
      <c r="N90" s="518"/>
      <c r="P90" s="518"/>
      <c r="Q90" s="518"/>
      <c r="S90" s="1409">
        <v>6500</v>
      </c>
      <c r="T90" s="1410"/>
      <c r="V90" s="1450"/>
      <c r="W90" s="1451"/>
    </row>
    <row r="91" spans="1:23" s="452" customFormat="1" ht="12.6" customHeight="1">
      <c r="B91" s="452" t="s">
        <v>4037</v>
      </c>
      <c r="G91" s="1409"/>
      <c r="H91" s="1410"/>
      <c r="J91" s="518"/>
      <c r="K91" s="518"/>
      <c r="L91" s="533"/>
      <c r="M91" s="518"/>
      <c r="N91" s="518"/>
      <c r="O91" s="830"/>
      <c r="P91" s="518"/>
      <c r="Q91" s="518"/>
      <c r="S91" s="1409"/>
      <c r="T91" s="1410"/>
      <c r="V91" s="1450"/>
      <c r="W91" s="1451"/>
    </row>
    <row r="92" spans="1:23" s="452" customFormat="1" ht="12.6" customHeight="1">
      <c r="B92" s="452" t="s">
        <v>720</v>
      </c>
      <c r="E92" s="1070">
        <f>'DCA Underwriting Assumptions'!$Q$41*$J$165</f>
        <v>61080</v>
      </c>
      <c r="F92" s="1071"/>
      <c r="G92" s="1409">
        <v>61080</v>
      </c>
      <c r="H92" s="1410"/>
      <c r="J92" s="518"/>
      <c r="K92" s="518"/>
      <c r="L92" s="842"/>
      <c r="M92" s="518"/>
      <c r="N92" s="518"/>
      <c r="O92" s="830"/>
      <c r="P92" s="518"/>
      <c r="Q92" s="518"/>
      <c r="S92" s="1409">
        <v>61080</v>
      </c>
      <c r="T92" s="1410"/>
      <c r="V92" s="1450"/>
      <c r="W92" s="1451"/>
    </row>
    <row r="93" spans="1:23" s="452" customFormat="1" ht="12.6" customHeight="1">
      <c r="B93" s="452" t="s">
        <v>903</v>
      </c>
      <c r="E93" s="107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56000</v>
      </c>
      <c r="F93" s="1071"/>
      <c r="G93" s="1409">
        <v>56000</v>
      </c>
      <c r="H93" s="1410"/>
      <c r="J93" s="419"/>
      <c r="K93" s="419"/>
      <c r="L93" s="419"/>
      <c r="M93" s="419"/>
      <c r="N93" s="419"/>
      <c r="O93" s="419"/>
      <c r="P93" s="419"/>
      <c r="Q93" s="419"/>
      <c r="S93" s="1409">
        <v>56000</v>
      </c>
      <c r="T93" s="1410"/>
      <c r="V93" s="1450"/>
      <c r="W93" s="1451"/>
    </row>
    <row r="94" spans="1:23" s="452" customFormat="1" ht="12.6" customHeight="1">
      <c r="B94" s="452" t="s">
        <v>638</v>
      </c>
      <c r="G94" s="1409"/>
      <c r="H94" s="1410"/>
      <c r="J94" s="419"/>
      <c r="K94" s="419"/>
      <c r="L94" s="419"/>
      <c r="M94" s="419"/>
      <c r="N94" s="419"/>
      <c r="O94" s="419"/>
      <c r="P94" s="419"/>
      <c r="Q94" s="419"/>
      <c r="S94" s="1409"/>
      <c r="T94" s="1410"/>
      <c r="V94" s="1450"/>
      <c r="W94" s="1451"/>
    </row>
    <row r="95" spans="1:23" s="452" customFormat="1" ht="12.6" customHeight="1">
      <c r="B95" s="452" t="s">
        <v>2826</v>
      </c>
      <c r="G95" s="1409">
        <v>3000</v>
      </c>
      <c r="H95" s="1410"/>
      <c r="J95" s="419"/>
      <c r="K95" s="419"/>
      <c r="L95" s="419"/>
      <c r="M95" s="419"/>
      <c r="N95" s="419"/>
      <c r="O95" s="419"/>
      <c r="P95" s="419"/>
      <c r="Q95" s="419"/>
      <c r="S95" s="1409">
        <v>3000</v>
      </c>
      <c r="T95" s="1410"/>
      <c r="V95" s="1450"/>
      <c r="W95" s="1451"/>
    </row>
    <row r="96" spans="1:23" s="452" customFormat="1" ht="12.6" customHeight="1">
      <c r="A96" s="551" t="str">
        <f>IF(AND(G96&gt;0,OR(C96="",C96="&lt;Enter detailed description here; use Comments section if needed&gt;")),"X","")</f>
        <v/>
      </c>
      <c r="B96" s="452" t="s">
        <v>2775</v>
      </c>
      <c r="C96" s="1290" t="s">
        <v>2909</v>
      </c>
      <c r="D96" s="1290"/>
      <c r="E96" s="1290"/>
      <c r="F96" s="1291"/>
      <c r="G96" s="1409"/>
      <c r="H96" s="1410"/>
      <c r="J96" s="419"/>
      <c r="K96" s="419"/>
      <c r="L96" s="419"/>
      <c r="M96" s="419"/>
      <c r="N96" s="419"/>
      <c r="O96" s="419"/>
      <c r="P96" s="419"/>
      <c r="Q96" s="419"/>
      <c r="S96" s="1409"/>
      <c r="T96" s="1410"/>
      <c r="U96" s="550" t="str">
        <f>IF(AND(G96&gt;0,OR(C96="",C96="&lt;Enter detailed description here; use Comments section if needed&gt;")),"NO DESCRIPTION PROVIDED - please enter detailed description in Other box at left; use Comments section below if needed.","")</f>
        <v/>
      </c>
      <c r="V96" s="1450"/>
      <c r="W96" s="1451"/>
    </row>
    <row r="97" spans="1:23" s="452" customFormat="1" ht="12.6" customHeight="1" thickBot="1">
      <c r="A97" s="551" t="str">
        <f>IF(AND(G97&gt;0,OR(C97="",C97="&lt;Enter detailed description here; use Comments section if needed&gt;")),"X","")</f>
        <v/>
      </c>
      <c r="B97" s="452" t="s">
        <v>2775</v>
      </c>
      <c r="C97" s="1290" t="s">
        <v>2909</v>
      </c>
      <c r="D97" s="1290"/>
      <c r="E97" s="1290"/>
      <c r="F97" s="1291"/>
      <c r="G97" s="1409"/>
      <c r="H97" s="1410"/>
      <c r="J97" s="419"/>
      <c r="K97" s="419"/>
      <c r="L97" s="419"/>
      <c r="M97" s="419"/>
      <c r="N97" s="419"/>
      <c r="O97" s="419"/>
      <c r="P97" s="419"/>
      <c r="Q97" s="419"/>
      <c r="S97" s="1409"/>
      <c r="T97" s="1410"/>
      <c r="U97" s="550" t="str">
        <f>IF(AND(G97&gt;0,OR(C97="",C97="&lt;Enter detailed description here; use Comments section if needed&gt;")),"NO DESCRIPTION PROVIDED - please enter detailed description in Other box at left; use Comments section below if needed.","")</f>
        <v/>
      </c>
      <c r="V97" s="1450"/>
      <c r="W97" s="1451"/>
    </row>
    <row r="98" spans="1:23" s="452" customFormat="1" ht="12.6" customHeight="1" thickTop="1">
      <c r="F98" s="516" t="s">
        <v>2029</v>
      </c>
      <c r="G98" s="1013">
        <f>SUM(G89:H97)</f>
        <v>126580</v>
      </c>
      <c r="H98" s="1014"/>
      <c r="J98" s="518"/>
      <c r="K98" s="518"/>
      <c r="L98" s="842"/>
      <c r="M98" s="518"/>
      <c r="N98" s="518"/>
      <c r="P98" s="518"/>
      <c r="Q98" s="518"/>
      <c r="S98" s="1013">
        <f>SUM(S89:T97)</f>
        <v>126580</v>
      </c>
      <c r="T98" s="1014"/>
      <c r="V98" s="1453"/>
      <c r="W98" s="1454"/>
    </row>
    <row r="99" spans="1:23" s="452" customFormat="1" ht="13.15" customHeight="1">
      <c r="B99" s="455" t="s">
        <v>3042</v>
      </c>
      <c r="J99" s="518"/>
      <c r="K99" s="518"/>
      <c r="M99" s="518"/>
      <c r="N99" s="518"/>
      <c r="O99" s="517" t="str">
        <f>B99</f>
        <v>EQUITY COSTS</v>
      </c>
      <c r="P99" s="518"/>
      <c r="Q99" s="518"/>
      <c r="S99" s="518"/>
      <c r="T99" s="518"/>
      <c r="V99" s="452" t="str">
        <f>B99</f>
        <v>EQUITY COSTS</v>
      </c>
    </row>
    <row r="100" spans="1:23" s="452" customFormat="1" ht="12.6" customHeight="1">
      <c r="B100" s="452" t="s">
        <v>2279</v>
      </c>
      <c r="G100" s="1409"/>
      <c r="H100" s="1410"/>
      <c r="J100" s="1015"/>
      <c r="K100" s="1015"/>
      <c r="L100" s="842"/>
      <c r="M100" s="1015"/>
      <c r="N100" s="1015"/>
      <c r="O100" s="830"/>
      <c r="P100" s="1015"/>
      <c r="Q100" s="1015"/>
      <c r="S100" s="1409"/>
      <c r="T100" s="1410"/>
      <c r="V100" s="1448"/>
      <c r="W100" s="1449"/>
    </row>
    <row r="101" spans="1:23" s="452" customFormat="1" ht="12.6" customHeight="1">
      <c r="B101" s="452" t="s">
        <v>2281</v>
      </c>
      <c r="G101" s="1409"/>
      <c r="H101" s="1410"/>
      <c r="J101" s="1015"/>
      <c r="K101" s="1015"/>
      <c r="L101" s="842"/>
      <c r="M101" s="1015"/>
      <c r="N101" s="1015"/>
      <c r="O101" s="830"/>
      <c r="P101" s="1015"/>
      <c r="Q101" s="1015"/>
      <c r="S101" s="1409"/>
      <c r="T101" s="1410"/>
      <c r="V101" s="1450"/>
      <c r="W101" s="1451"/>
    </row>
    <row r="102" spans="1:23" s="452" customFormat="1" ht="12.6" customHeight="1">
      <c r="B102" s="452" t="s">
        <v>2870</v>
      </c>
      <c r="G102" s="1409">
        <v>25000</v>
      </c>
      <c r="H102" s="1410"/>
      <c r="J102" s="1015"/>
      <c r="K102" s="1015"/>
      <c r="L102" s="842"/>
      <c r="M102" s="1015"/>
      <c r="N102" s="1015"/>
      <c r="O102" s="830"/>
      <c r="P102" s="1015"/>
      <c r="Q102" s="1015"/>
      <c r="S102" s="1409">
        <v>25000</v>
      </c>
      <c r="T102" s="1410"/>
      <c r="V102" s="1450"/>
      <c r="W102" s="1451"/>
    </row>
    <row r="103" spans="1:23" s="452" customFormat="1" ht="12.6" customHeight="1" thickBot="1">
      <c r="A103" s="551" t="str">
        <f>IF(AND(G103&gt;0,OR(C103="",C103="&lt;Enter detailed description here; use Comments section if needed&gt;")),"X","")</f>
        <v/>
      </c>
      <c r="B103" s="452" t="s">
        <v>2775</v>
      </c>
      <c r="C103" s="1290" t="s">
        <v>2909</v>
      </c>
      <c r="D103" s="1290"/>
      <c r="E103" s="1290"/>
      <c r="F103" s="1291"/>
      <c r="G103" s="1409"/>
      <c r="H103" s="1410"/>
      <c r="J103" s="1015"/>
      <c r="K103" s="1015"/>
      <c r="L103" s="842"/>
      <c r="M103" s="1015"/>
      <c r="N103" s="1015"/>
      <c r="O103" s="830"/>
      <c r="P103" s="1015"/>
      <c r="Q103" s="1015"/>
      <c r="S103" s="1409"/>
      <c r="T103" s="1410"/>
      <c r="U103" s="550" t="str">
        <f>IF(AND(G103&gt;0,OR(C103="",C103="&lt;Enter detailed description here; use Comments section if needed&gt;")),"NO DESCRIPTION PROVIDED - please enter detailed description in Other box at left; use Comments section below if needed.","")</f>
        <v/>
      </c>
      <c r="V103" s="1450"/>
      <c r="W103" s="1451"/>
    </row>
    <row r="104" spans="1:23" s="452" customFormat="1" ht="12.6" customHeight="1" thickTop="1">
      <c r="F104" s="516" t="s">
        <v>2029</v>
      </c>
      <c r="G104" s="1013">
        <f>SUM(G100:H103)</f>
        <v>25000</v>
      </c>
      <c r="H104" s="1014"/>
      <c r="J104" s="1015"/>
      <c r="K104" s="1015"/>
      <c r="L104" s="842"/>
      <c r="M104" s="1015"/>
      <c r="N104" s="1015"/>
      <c r="O104" s="830"/>
      <c r="P104" s="1015"/>
      <c r="Q104" s="1015"/>
      <c r="S104" s="1013">
        <f>SUM(S100:T103)</f>
        <v>25000</v>
      </c>
      <c r="T104" s="1014"/>
      <c r="V104" s="1453"/>
      <c r="W104" s="1454"/>
    </row>
    <row r="105" spans="1:23" s="452" customFormat="1" ht="13.15" customHeight="1">
      <c r="B105" s="455" t="s">
        <v>2282</v>
      </c>
      <c r="J105" s="518"/>
      <c r="K105" s="515"/>
      <c r="M105" s="518"/>
      <c r="N105" s="515"/>
      <c r="O105" s="517" t="str">
        <f>B105</f>
        <v>DEVELOPER'S FEE</v>
      </c>
      <c r="P105" s="518"/>
      <c r="Q105" s="515"/>
      <c r="S105" s="518"/>
      <c r="T105" s="515"/>
      <c r="V105" s="452" t="str">
        <f>B105</f>
        <v>DEVELOPER'S FEE</v>
      </c>
    </row>
    <row r="106" spans="1:23" s="452" customFormat="1" ht="12.6" customHeight="1">
      <c r="B106" s="452" t="s">
        <v>342</v>
      </c>
      <c r="F106" s="627">
        <f>G106/$G$109</f>
        <v>0.2</v>
      </c>
      <c r="G106" s="1409">
        <v>245000</v>
      </c>
      <c r="H106" s="1410"/>
      <c r="J106" s="1409"/>
      <c r="K106" s="1410"/>
      <c r="L106" s="517"/>
      <c r="M106" s="1409"/>
      <c r="N106" s="1410"/>
      <c r="P106" s="1409">
        <v>245000</v>
      </c>
      <c r="Q106" s="1410"/>
      <c r="S106" s="1409"/>
      <c r="T106" s="1410"/>
      <c r="V106" s="1448"/>
      <c r="W106" s="1449"/>
    </row>
    <row r="107" spans="1:23" s="452" customFormat="1" ht="12.6" customHeight="1">
      <c r="B107" s="452" t="s">
        <v>343</v>
      </c>
      <c r="F107" s="627">
        <f>G107/$G$109</f>
        <v>0</v>
      </c>
      <c r="G107" s="1409"/>
      <c r="H107" s="1410"/>
      <c r="J107" s="1409"/>
      <c r="K107" s="1410"/>
      <c r="L107" s="842"/>
      <c r="M107" s="1409"/>
      <c r="N107" s="1410"/>
      <c r="P107" s="1409"/>
      <c r="Q107" s="1410"/>
      <c r="S107" s="1409"/>
      <c r="T107" s="1410"/>
      <c r="V107" s="1450"/>
      <c r="W107" s="1451"/>
    </row>
    <row r="108" spans="1:23" s="452" customFormat="1" ht="12.6" customHeight="1" thickBot="1">
      <c r="B108" s="452" t="s">
        <v>335</v>
      </c>
      <c r="F108" s="627">
        <f>G108/$G$109</f>
        <v>0.8</v>
      </c>
      <c r="G108" s="1409">
        <v>980000</v>
      </c>
      <c r="H108" s="1410"/>
      <c r="J108" s="1409"/>
      <c r="K108" s="1410"/>
      <c r="L108" s="842"/>
      <c r="M108" s="1409"/>
      <c r="N108" s="1410"/>
      <c r="P108" s="1409">
        <v>980000</v>
      </c>
      <c r="Q108" s="1410"/>
      <c r="S108" s="1409"/>
      <c r="T108" s="1410"/>
      <c r="V108" s="1450"/>
      <c r="W108" s="1451"/>
    </row>
    <row r="109" spans="1:23" s="452" customFormat="1" ht="12.6" customHeight="1" thickTop="1">
      <c r="C109" s="550" t="str">
        <f>IF(G109&lt;='DCA Underwriting Assumptions'!$Q$47,"","Developer Fee exceeds DCA Program Maximum !!!")</f>
        <v/>
      </c>
      <c r="F109" s="516" t="s">
        <v>2029</v>
      </c>
      <c r="G109" s="1013">
        <f>SUM(G106:H108)</f>
        <v>1225000</v>
      </c>
      <c r="H109" s="1014"/>
      <c r="J109" s="1013">
        <f>SUM(J106:K108)</f>
        <v>0</v>
      </c>
      <c r="K109" s="1014"/>
      <c r="L109" s="842"/>
      <c r="M109" s="1013">
        <f>SUM(M106:N108)</f>
        <v>0</v>
      </c>
      <c r="N109" s="1014"/>
      <c r="P109" s="1013">
        <f>SUM(P106:Q108)</f>
        <v>1225000</v>
      </c>
      <c r="Q109" s="1014"/>
      <c r="S109" s="1013">
        <f>SUM(S106:T108)</f>
        <v>0</v>
      </c>
      <c r="T109" s="1014"/>
      <c r="V109" s="1453"/>
      <c r="W109" s="1454"/>
    </row>
    <row r="110" spans="1:23" s="452" customFormat="1" ht="13.15" customHeight="1">
      <c r="B110" s="455" t="s">
        <v>1381</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230</v>
      </c>
      <c r="G111" s="1409"/>
      <c r="H111" s="1410"/>
      <c r="J111" s="534"/>
      <c r="K111" s="534"/>
      <c r="L111" s="534"/>
      <c r="M111" s="534"/>
      <c r="N111" s="534"/>
      <c r="P111" s="534"/>
      <c r="Q111" s="534"/>
      <c r="S111" s="1409"/>
      <c r="T111" s="1410"/>
      <c r="V111" s="1448"/>
      <c r="W111" s="1449"/>
    </row>
    <row r="112" spans="1:23" s="452" customFormat="1" ht="12.6" customHeight="1">
      <c r="B112" s="452" t="s">
        <v>3498</v>
      </c>
      <c r="G112" s="1409">
        <v>88077</v>
      </c>
      <c r="H112" s="1410"/>
      <c r="J112" s="1015"/>
      <c r="K112" s="1015"/>
      <c r="L112" s="842"/>
      <c r="M112" s="1015"/>
      <c r="N112" s="1015"/>
      <c r="O112" s="830"/>
      <c r="P112" s="1015"/>
      <c r="Q112" s="1015"/>
      <c r="R112" s="830"/>
      <c r="S112" s="1409">
        <v>88077</v>
      </c>
      <c r="T112" s="1410"/>
      <c r="V112" s="1450"/>
      <c r="W112" s="1451"/>
    </row>
    <row r="113" spans="1:23" s="452" customFormat="1" ht="12.6" customHeight="1">
      <c r="B113" s="452" t="s">
        <v>2586</v>
      </c>
      <c r="F113" s="475"/>
      <c r="G113" s="1409">
        <v>221954</v>
      </c>
      <c r="H113" s="1410"/>
      <c r="J113" s="533"/>
      <c r="K113" s="533"/>
      <c r="L113" s="533"/>
      <c r="M113" s="533"/>
      <c r="N113" s="533"/>
      <c r="O113" s="830"/>
      <c r="P113" s="533"/>
      <c r="Q113" s="533"/>
      <c r="R113" s="830"/>
      <c r="S113" s="1409">
        <v>221954</v>
      </c>
      <c r="T113" s="1410"/>
      <c r="V113" s="1450"/>
      <c r="W113" s="1451"/>
    </row>
    <row r="114" spans="1:23" s="452" customFormat="1" ht="12.6" customHeight="1">
      <c r="B114" s="452" t="s">
        <v>3266</v>
      </c>
      <c r="G114" s="1409"/>
      <c r="H114" s="1410"/>
      <c r="J114" s="534"/>
      <c r="K114" s="534"/>
      <c r="L114" s="534"/>
      <c r="M114" s="534"/>
      <c r="N114" s="534"/>
      <c r="P114" s="534"/>
      <c r="Q114" s="534"/>
      <c r="S114" s="1409"/>
      <c r="T114" s="1410"/>
      <c r="V114" s="1450"/>
      <c r="W114" s="1451"/>
    </row>
    <row r="115" spans="1:23" s="452" customFormat="1" ht="12.6" customHeight="1">
      <c r="B115" s="452" t="s">
        <v>3267</v>
      </c>
      <c r="E115" s="452" t="s">
        <v>189</v>
      </c>
      <c r="F115" s="793">
        <f>G115/'Part VI-Revenues &amp; Expenses'!$M$62</f>
        <v>3628.5714285714284</v>
      </c>
      <c r="G115" s="1409">
        <v>254000</v>
      </c>
      <c r="H115" s="1410"/>
      <c r="J115" s="1409"/>
      <c r="K115" s="1410"/>
      <c r="L115" s="842"/>
      <c r="M115" s="1409"/>
      <c r="N115" s="1410"/>
      <c r="P115" s="1409">
        <v>254000</v>
      </c>
      <c r="Q115" s="1410"/>
      <c r="S115" s="1409"/>
      <c r="T115" s="1410"/>
      <c r="V115" s="1450"/>
      <c r="W115" s="1451"/>
    </row>
    <row r="116" spans="1:23" s="452" customFormat="1" ht="12.6" customHeight="1" thickBot="1">
      <c r="A116" s="551" t="str">
        <f>IF(AND(G116&gt;0,OR(C116="",C116="&lt;Enter detailed description here; use Comments section if needed&gt;")),"X","")</f>
        <v/>
      </c>
      <c r="B116" s="452" t="s">
        <v>2775</v>
      </c>
      <c r="C116" s="1290" t="s">
        <v>2909</v>
      </c>
      <c r="D116" s="1290"/>
      <c r="E116" s="1290"/>
      <c r="F116" s="1291"/>
      <c r="G116" s="1409"/>
      <c r="H116" s="1410"/>
      <c r="J116" s="1409"/>
      <c r="K116" s="1410"/>
      <c r="L116" s="842"/>
      <c r="M116" s="1409"/>
      <c r="N116" s="1410"/>
      <c r="P116" s="1409"/>
      <c r="Q116" s="1410"/>
      <c r="S116" s="1409"/>
      <c r="T116" s="1410"/>
      <c r="U116" s="550" t="str">
        <f>IF(AND(G116&gt;0,OR(C116="",C116="&lt;Enter detailed description here; use Comments section if needed&gt;")),"NO DESCRIPTION PROVIDED - please enter detailed description in Other box at left; use Comments section below if needed.","")</f>
        <v/>
      </c>
      <c r="V116" s="1450"/>
      <c r="W116" s="1451"/>
    </row>
    <row r="117" spans="1:23" s="452" customFormat="1" ht="12.6" customHeight="1" thickTop="1">
      <c r="B117" s="535"/>
      <c r="F117" s="516" t="s">
        <v>2029</v>
      </c>
      <c r="G117" s="1013">
        <f>SUM(G111:H116)</f>
        <v>564031</v>
      </c>
      <c r="H117" s="1014"/>
      <c r="J117" s="1013">
        <f>SUM(J115:K116)</f>
        <v>0</v>
      </c>
      <c r="K117" s="1014"/>
      <c r="L117" s="842"/>
      <c r="M117" s="1013">
        <f>SUM(M115:N116)</f>
        <v>0</v>
      </c>
      <c r="N117" s="1014"/>
      <c r="P117" s="1013">
        <f>SUM(P115:Q116)</f>
        <v>254000</v>
      </c>
      <c r="Q117" s="1014"/>
      <c r="S117" s="1013">
        <f>SUM(S111:T116)</f>
        <v>310031</v>
      </c>
      <c r="T117" s="1014"/>
      <c r="V117" s="1453"/>
      <c r="W117" s="1454"/>
    </row>
    <row r="118" spans="1:23" s="452" customFormat="1" ht="13.15" customHeight="1">
      <c r="B118" s="455" t="s">
        <v>832</v>
      </c>
      <c r="C118" s="826"/>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833</v>
      </c>
      <c r="C119" s="826"/>
      <c r="G119" s="1409"/>
      <c r="H119" s="1410"/>
      <c r="J119" s="1409"/>
      <c r="K119" s="1410"/>
      <c r="L119" s="517"/>
      <c r="M119" s="1409"/>
      <c r="N119" s="1410"/>
      <c r="P119" s="1409"/>
      <c r="Q119" s="1410"/>
      <c r="S119" s="1409"/>
      <c r="T119" s="1410"/>
      <c r="V119" s="1448"/>
      <c r="W119" s="1449"/>
    </row>
    <row r="120" spans="1:23" s="452" customFormat="1" ht="12.6" customHeight="1" thickBot="1">
      <c r="A120" s="551" t="str">
        <f>IF(AND(G120&gt;0,OR(C120="",C120="&lt;Enter detailed description here; use Comments section if needed&gt;")),"X","")</f>
        <v/>
      </c>
      <c r="B120" s="452" t="s">
        <v>2775</v>
      </c>
      <c r="C120" s="1290" t="s">
        <v>900</v>
      </c>
      <c r="D120" s="1290"/>
      <c r="E120" s="1290"/>
      <c r="F120" s="1291"/>
      <c r="G120" s="1409">
        <v>12000</v>
      </c>
      <c r="H120" s="1410"/>
      <c r="J120" s="1409"/>
      <c r="K120" s="1410"/>
      <c r="L120" s="842"/>
      <c r="M120" s="1409"/>
      <c r="N120" s="1410"/>
      <c r="P120" s="1409">
        <v>12000</v>
      </c>
      <c r="Q120" s="1410"/>
      <c r="S120" s="1409"/>
      <c r="T120" s="1410"/>
      <c r="U120" s="550" t="str">
        <f>IF(AND(G120&gt;0,OR(C120="",C120="&lt;Enter detailed description here; use Comments section if needed&gt;")),"NO DESCRIPTION PROVIDED - please enter detailed description in Other box at left; use Comments section below if needed.","")</f>
        <v/>
      </c>
      <c r="V120" s="1450"/>
      <c r="W120" s="1451"/>
    </row>
    <row r="121" spans="1:23" s="452" customFormat="1" ht="12.6" customHeight="1" thickTop="1">
      <c r="C121" s="826"/>
      <c r="F121" s="516" t="s">
        <v>2029</v>
      </c>
      <c r="G121" s="1013">
        <f>SUM(G119:H120)</f>
        <v>12000</v>
      </c>
      <c r="H121" s="1014"/>
      <c r="J121" s="1013">
        <f>SUM(J119:K120)</f>
        <v>0</v>
      </c>
      <c r="K121" s="1014"/>
      <c r="L121" s="842"/>
      <c r="M121" s="1013">
        <f>SUM(M119:N120)</f>
        <v>0</v>
      </c>
      <c r="N121" s="1014"/>
      <c r="P121" s="1013">
        <f>SUM(P119:Q120)</f>
        <v>12000</v>
      </c>
      <c r="Q121" s="1014"/>
      <c r="S121" s="1013">
        <f>SUM(S119:T120)</f>
        <v>0</v>
      </c>
      <c r="T121" s="1014"/>
      <c r="V121" s="1450"/>
      <c r="W121" s="1451"/>
    </row>
    <row r="122" spans="1:23" s="452" customFormat="1" ht="3" customHeight="1" thickBot="1">
      <c r="C122" s="826"/>
      <c r="H122" s="531"/>
      <c r="I122" s="531"/>
      <c r="L122" s="830"/>
      <c r="V122" s="1450"/>
      <c r="W122" s="1451"/>
    </row>
    <row r="123" spans="1:23" s="452" customFormat="1" ht="13.9" customHeight="1" thickBot="1">
      <c r="B123" s="459" t="s">
        <v>2283</v>
      </c>
      <c r="G123" s="1025">
        <f>G17+G23+G27+G32+G36+G42+G57+G69+G75+G84+G98+G104+G109+G117+G121</f>
        <v>11469093</v>
      </c>
      <c r="H123" s="1026"/>
      <c r="J123" s="1025">
        <f>J17+J23+J27+J32+J36+J42+J57+J69+J75+J84+J98+J104+J109+J117+J121</f>
        <v>0</v>
      </c>
      <c r="K123" s="1026"/>
      <c r="M123" s="1025">
        <f>M17+M23+M27+M32+M36+M42+M57+M69+M75+M84+M98+M104+M109+M117+M121</f>
        <v>0</v>
      </c>
      <c r="N123" s="1026"/>
      <c r="P123" s="1025">
        <f>P17+P23+P27+P32+P36+P42+P57+P69+P75+P84+P98+P104+P109+P117+P121</f>
        <v>9952270</v>
      </c>
      <c r="Q123" s="1026"/>
      <c r="S123" s="1025">
        <f>S17+S23+S27+S32+S36+S42+S57+S69+S75+S84+S98+S104+S109+S117+S121</f>
        <v>1516823</v>
      </c>
      <c r="T123" s="1026"/>
      <c r="V123" s="1453"/>
      <c r="W123" s="1454"/>
    </row>
    <row r="124" spans="1:23" s="452" customFormat="1" ht="3" customHeight="1" thickBot="1">
      <c r="C124" s="826"/>
      <c r="H124" s="531"/>
      <c r="I124" s="531"/>
      <c r="L124" s="830"/>
    </row>
    <row r="125" spans="1:23" s="452" customFormat="1" ht="13.9" customHeight="1" thickBot="1">
      <c r="B125" s="459" t="s">
        <v>1129</v>
      </c>
      <c r="D125" s="1041">
        <f>IF(AND($T$155 = "Yes", 'Part IX A-Scoring Criteria'!$O$246 &gt; 0),'DCA Underwriting Assumptions'!$R$13, IF(AND('Part IV-Uses of Funds'!$T$156="Yes", 'Part IX A-Scoring Criteria'!$O$67&gt;0),'DCA Underwriting Assumptions'!$R$12, 'DCA Underwriting Assumptions'!$R$11))</f>
        <v>9396180</v>
      </c>
      <c r="E125" s="1042"/>
      <c r="F125" s="455" t="s">
        <v>2595</v>
      </c>
      <c r="G125" s="1054">
        <f>G123/'Part VI-Revenues &amp; Expenses'!$M$62</f>
        <v>163844.1857142857</v>
      </c>
      <c r="H125" s="1055"/>
      <c r="I125" s="536"/>
      <c r="J125" s="459" t="s">
        <v>2596</v>
      </c>
      <c r="M125" s="1054">
        <f>G123/'Part VI-Revenues &amp; Expenses'!$M$100</f>
        <v>269.86101176470589</v>
      </c>
      <c r="N125" s="1055"/>
    </row>
    <row r="126" spans="1:23" s="452" customFormat="1" ht="3" customHeight="1">
      <c r="I126" s="536"/>
      <c r="L126" s="536"/>
    </row>
    <row r="127" spans="1:23" s="452" customFormat="1" ht="3.6" customHeight="1" thickBot="1">
      <c r="D127" s="826"/>
      <c r="E127" s="826"/>
      <c r="I127" s="531"/>
      <c r="J127" s="531"/>
      <c r="K127" s="537"/>
      <c r="L127" s="458"/>
      <c r="P127" s="830"/>
    </row>
    <row r="128" spans="1:23" s="452" customFormat="1" ht="25.9" customHeight="1">
      <c r="A128" s="687" t="s">
        <v>2774</v>
      </c>
      <c r="B128" s="689" t="s">
        <v>3367</v>
      </c>
      <c r="C128" s="453"/>
      <c r="D128" s="842"/>
      <c r="E128" s="842"/>
      <c r="G128" s="830"/>
      <c r="H128" s="830"/>
      <c r="I128" s="538"/>
      <c r="J128" s="1043" t="s">
        <v>2269</v>
      </c>
      <c r="K128" s="1044"/>
      <c r="M128" s="1043" t="s">
        <v>1615</v>
      </c>
      <c r="N128" s="1044"/>
      <c r="P128" s="1043" t="s">
        <v>2270</v>
      </c>
      <c r="Q128" s="1044"/>
      <c r="V128" s="688" t="str">
        <f>B128</f>
        <v>TAX CREDIT CALCULATION - BASIS METHOD</v>
      </c>
    </row>
    <row r="129" spans="2:23" s="452" customFormat="1" ht="15" customHeight="1" thickBot="1">
      <c r="B129" s="459" t="s">
        <v>3935</v>
      </c>
      <c r="D129" s="842"/>
      <c r="E129" s="842"/>
      <c r="I129" s="538"/>
      <c r="J129" s="1045"/>
      <c r="K129" s="1046"/>
      <c r="L129" s="453"/>
      <c r="M129" s="1045"/>
      <c r="N129" s="1046"/>
      <c r="P129" s="1045"/>
      <c r="Q129" s="1046"/>
      <c r="V129" s="452" t="str">
        <f>B129</f>
        <v>Subtractions From Eligible Basis</v>
      </c>
      <c r="W129" s="499"/>
    </row>
    <row r="130" spans="2:23" s="452" customFormat="1" ht="6" customHeight="1">
      <c r="D130" s="826"/>
      <c r="E130" s="826"/>
      <c r="I130" s="531"/>
      <c r="J130" s="531"/>
      <c r="K130" s="537"/>
      <c r="L130" s="458"/>
      <c r="P130" s="830"/>
    </row>
    <row r="131" spans="2:23" s="452" customFormat="1" ht="13.9" customHeight="1">
      <c r="B131" s="826" t="s">
        <v>1955</v>
      </c>
      <c r="D131" s="830"/>
      <c r="E131" s="830"/>
      <c r="F131" s="830"/>
      <c r="G131" s="830"/>
      <c r="H131" s="830"/>
      <c r="I131" s="538"/>
      <c r="J131" s="1455"/>
      <c r="K131" s="1456"/>
      <c r="P131" s="1455"/>
      <c r="Q131" s="1456"/>
      <c r="V131" s="1448"/>
      <c r="W131" s="1449"/>
    </row>
    <row r="132" spans="2:23" s="452" customFormat="1" ht="13.9" customHeight="1">
      <c r="B132" s="830" t="s">
        <v>2521</v>
      </c>
      <c r="D132" s="830"/>
      <c r="E132" s="830"/>
      <c r="F132" s="830"/>
      <c r="G132" s="830"/>
      <c r="H132" s="830"/>
      <c r="I132" s="538"/>
      <c r="J132" s="1455"/>
      <c r="K132" s="1456"/>
      <c r="P132" s="1455"/>
      <c r="Q132" s="1456"/>
      <c r="V132" s="1450"/>
      <c r="W132" s="1451"/>
    </row>
    <row r="133" spans="2:23" s="452" customFormat="1" ht="13.9" customHeight="1">
      <c r="B133" s="830" t="s">
        <v>345</v>
      </c>
      <c r="D133" s="830"/>
      <c r="E133" s="830"/>
      <c r="I133" s="538"/>
      <c r="J133" s="1455"/>
      <c r="K133" s="1456"/>
      <c r="P133" s="1455"/>
      <c r="Q133" s="1456"/>
      <c r="V133" s="1450"/>
      <c r="W133" s="1451"/>
    </row>
    <row r="134" spans="2:23" s="452" customFormat="1" ht="13.9" customHeight="1">
      <c r="B134" s="830" t="s">
        <v>346</v>
      </c>
      <c r="D134" s="830"/>
      <c r="E134" s="830"/>
      <c r="I134" s="538"/>
      <c r="J134" s="1455"/>
      <c r="K134" s="1456"/>
      <c r="P134" s="1455"/>
      <c r="Q134" s="1456"/>
      <c r="V134" s="1450"/>
      <c r="W134" s="1451"/>
    </row>
    <row r="135" spans="2:23" s="452" customFormat="1" ht="13.9" customHeight="1">
      <c r="B135" s="830" t="s">
        <v>234</v>
      </c>
      <c r="D135" s="830"/>
      <c r="E135" s="830"/>
      <c r="I135" s="538"/>
      <c r="J135" s="1455"/>
      <c r="K135" s="1456"/>
      <c r="P135" s="1455">
        <v>1918151</v>
      </c>
      <c r="Q135" s="1456"/>
      <c r="V135" s="1450"/>
      <c r="W135" s="1451"/>
    </row>
    <row r="136" spans="2:23" s="452" customFormat="1" ht="13.9" customHeight="1" thickBot="1">
      <c r="B136" s="830" t="s">
        <v>1701</v>
      </c>
      <c r="C136" s="1290" t="s">
        <v>2909</v>
      </c>
      <c r="D136" s="1290"/>
      <c r="E136" s="1290"/>
      <c r="F136" s="1290"/>
      <c r="G136" s="1290"/>
      <c r="H136" s="1290"/>
      <c r="I136" s="1291"/>
      <c r="J136" s="1455"/>
      <c r="K136" s="1456"/>
      <c r="P136" s="1455"/>
      <c r="Q136" s="1456"/>
      <c r="V136" s="1450"/>
      <c r="W136" s="1451"/>
    </row>
    <row r="137" spans="2:23" s="452" customFormat="1" ht="13.9" customHeight="1" thickBot="1">
      <c r="B137" s="464" t="s">
        <v>347</v>
      </c>
      <c r="C137" s="467"/>
      <c r="J137" s="950">
        <f>SUM(J131:K136)</f>
        <v>0</v>
      </c>
      <c r="K137" s="951"/>
      <c r="P137" s="950">
        <f>SUM(P131:Q136)</f>
        <v>1918151</v>
      </c>
      <c r="Q137" s="951"/>
      <c r="V137" s="1453"/>
      <c r="W137" s="1454"/>
    </row>
    <row r="138" spans="2:23" s="452" customFormat="1" ht="3" customHeight="1"/>
    <row r="139" spans="2:23" s="452" customFormat="1" ht="15" customHeight="1" thickBot="1">
      <c r="B139" s="455" t="s">
        <v>3089</v>
      </c>
      <c r="V139" s="452" t="str">
        <f>B139</f>
        <v>Eligible Basis Calculation</v>
      </c>
    </row>
    <row r="140" spans="2:23" s="452" customFormat="1" ht="13.9" customHeight="1">
      <c r="B140" s="452" t="s">
        <v>2122</v>
      </c>
      <c r="J140" s="1050">
        <f>J123</f>
        <v>0</v>
      </c>
      <c r="K140" s="1051"/>
      <c r="M140" s="1048">
        <f>M123</f>
        <v>0</v>
      </c>
      <c r="N140" s="1049"/>
      <c r="P140" s="1050">
        <f>P123</f>
        <v>9952270</v>
      </c>
      <c r="Q140" s="1051"/>
      <c r="V140" s="1448"/>
      <c r="W140" s="1449"/>
    </row>
    <row r="141" spans="2:23" s="452" customFormat="1" ht="13.9" customHeight="1">
      <c r="B141" s="452" t="s">
        <v>2976</v>
      </c>
      <c r="J141" s="1011">
        <f>J137</f>
        <v>0</v>
      </c>
      <c r="K141" s="1012"/>
      <c r="M141" s="1019"/>
      <c r="N141" s="1019"/>
      <c r="P141" s="1011">
        <f>P137</f>
        <v>1918151</v>
      </c>
      <c r="Q141" s="1012"/>
      <c r="V141" s="1450"/>
      <c r="W141" s="1451"/>
    </row>
    <row r="142" spans="2:23" s="452" customFormat="1" ht="13.9" customHeight="1">
      <c r="B142" s="452" t="s">
        <v>2977</v>
      </c>
      <c r="J142" s="1011">
        <f>J140-J141</f>
        <v>0</v>
      </c>
      <c r="K142" s="1012"/>
      <c r="M142" s="1011">
        <f>M140</f>
        <v>0</v>
      </c>
      <c r="N142" s="1012"/>
      <c r="P142" s="1011">
        <f>P140-P141</f>
        <v>8034119</v>
      </c>
      <c r="Q142" s="1012"/>
      <c r="V142" s="1450"/>
      <c r="W142" s="1451"/>
    </row>
    <row r="143" spans="2:23" s="452" customFormat="1" ht="13.9" customHeight="1">
      <c r="B143" s="452" t="s">
        <v>3441</v>
      </c>
      <c r="G143" s="825" t="s">
        <v>3720</v>
      </c>
      <c r="H143" s="1278" t="s">
        <v>2102</v>
      </c>
      <c r="I143" s="1279"/>
      <c r="J143" s="1457"/>
      <c r="K143" s="1458"/>
      <c r="M143" s="1047"/>
      <c r="N143" s="1047"/>
      <c r="P143" s="1457">
        <v>1.3</v>
      </c>
      <c r="Q143" s="1458"/>
      <c r="V143" s="1450"/>
      <c r="W143" s="1451"/>
    </row>
    <row r="144" spans="2:23" s="452" customFormat="1" ht="13.9" customHeight="1">
      <c r="B144" s="452" t="s">
        <v>2415</v>
      </c>
      <c r="J144" s="1011">
        <f>J142*J143</f>
        <v>0</v>
      </c>
      <c r="K144" s="1012"/>
      <c r="M144" s="1011">
        <f>+M142</f>
        <v>0</v>
      </c>
      <c r="N144" s="1012"/>
      <c r="P144" s="1011">
        <f>P142*P143</f>
        <v>10444354.700000001</v>
      </c>
      <c r="Q144" s="1012"/>
      <c r="V144" s="1450"/>
      <c r="W144" s="1451"/>
    </row>
    <row r="145" spans="1:23" s="452" customFormat="1" ht="13.9" customHeight="1">
      <c r="B145" s="452" t="s">
        <v>3849</v>
      </c>
      <c r="J145" s="1052">
        <f>MIN('Part VI-Revenues &amp; Expenses'!$M$58/'Part VI-Revenues &amp; Expenses'!$M$60,'Part VI-Revenues &amp; Expenses'!$M$96/'Part VI-Revenues &amp; Expenses'!$M$98)</f>
        <v>1</v>
      </c>
      <c r="K145" s="1053"/>
      <c r="M145" s="1052">
        <f>MIN('Part VI-Revenues &amp; Expenses'!$M$58/'Part VI-Revenues &amp; Expenses'!$M$60,'Part VI-Revenues &amp; Expenses'!$M$96/'Part VI-Revenues &amp; Expenses'!$M$98)</f>
        <v>1</v>
      </c>
      <c r="N145" s="1053"/>
      <c r="P145" s="1052">
        <f>MIN('Part VI-Revenues &amp; Expenses'!$M$58/'Part VI-Revenues &amp; Expenses'!$M$60,'Part VI-Revenues &amp; Expenses'!$M$96/'Part VI-Revenues &amp; Expenses'!$M$98)</f>
        <v>1</v>
      </c>
      <c r="Q145" s="1053"/>
      <c r="V145" s="1450"/>
      <c r="W145" s="1451"/>
    </row>
    <row r="146" spans="1:23" s="452" customFormat="1" ht="13.9" customHeight="1">
      <c r="B146" s="452" t="s">
        <v>3936</v>
      </c>
      <c r="J146" s="1011">
        <f>J144*J145</f>
        <v>0</v>
      </c>
      <c r="K146" s="1012"/>
      <c r="M146" s="1011">
        <f>M144*M145</f>
        <v>0</v>
      </c>
      <c r="N146" s="1012"/>
      <c r="P146" s="1011">
        <f>P144*P145</f>
        <v>10444354.700000001</v>
      </c>
      <c r="Q146" s="1012"/>
      <c r="V146" s="1450"/>
      <c r="W146" s="1451"/>
    </row>
    <row r="147" spans="1:23" s="452" customFormat="1" ht="13.9" customHeight="1">
      <c r="B147" s="452" t="s">
        <v>3937</v>
      </c>
      <c r="J147" s="1457"/>
      <c r="K147" s="1458"/>
      <c r="M147" s="1457"/>
      <c r="N147" s="1458"/>
      <c r="P147" s="1457">
        <v>0.09</v>
      </c>
      <c r="Q147" s="1458"/>
      <c r="V147" s="1450"/>
      <c r="W147" s="1451"/>
    </row>
    <row r="148" spans="1:23" s="452" customFormat="1" ht="13.9" customHeight="1" thickBot="1">
      <c r="B148" s="452" t="s">
        <v>3850</v>
      </c>
      <c r="J148" s="1027">
        <f>J146*J147</f>
        <v>0</v>
      </c>
      <c r="K148" s="1028"/>
      <c r="M148" s="1027">
        <f>M146*M147</f>
        <v>0</v>
      </c>
      <c r="N148" s="1028"/>
      <c r="P148" s="1027">
        <f>P146*P147</f>
        <v>939991.92300000007</v>
      </c>
      <c r="Q148" s="1028"/>
      <c r="V148" s="1450"/>
      <c r="W148" s="1451"/>
    </row>
    <row r="149" spans="1:23" s="452" customFormat="1" ht="13.9" customHeight="1" thickBot="1">
      <c r="B149" s="455" t="s">
        <v>3365</v>
      </c>
      <c r="J149" s="950">
        <f>J148+M148+P148</f>
        <v>939991.92300000007</v>
      </c>
      <c r="K149" s="1007"/>
      <c r="L149" s="1007"/>
      <c r="M149" s="1007"/>
      <c r="N149" s="1007"/>
      <c r="O149" s="1007"/>
      <c r="P149" s="1007"/>
      <c r="Q149" s="951"/>
      <c r="V149" s="1453"/>
      <c r="W149" s="1454"/>
    </row>
    <row r="150" spans="1:23" s="452" customFormat="1" ht="6" customHeight="1" thickBot="1">
      <c r="B150" s="539"/>
      <c r="L150" s="540"/>
      <c r="M150" s="540"/>
      <c r="N150" s="540"/>
      <c r="O150" s="540"/>
    </row>
    <row r="151" spans="1:23" s="452" customFormat="1" ht="15" customHeight="1">
      <c r="A151" s="688" t="s">
        <v>2776</v>
      </c>
      <c r="B151" s="688" t="s">
        <v>3368</v>
      </c>
      <c r="I151" s="830"/>
      <c r="J151" s="1033" t="s">
        <v>2258</v>
      </c>
      <c r="K151" s="1033"/>
      <c r="L151" s="1033"/>
      <c r="M151" s="1035" t="str">
        <f>IF(J153&gt;D125,"TDC exceeds PUCL!","")</f>
        <v>TDC exceeds PUCL!</v>
      </c>
      <c r="N151" s="1036"/>
      <c r="O151" s="1036"/>
      <c r="P151" s="1036"/>
      <c r="Q151" s="1036"/>
      <c r="R151" s="1037"/>
      <c r="S151" s="1029" t="s">
        <v>1983</v>
      </c>
      <c r="T151" s="1030"/>
      <c r="V151" s="688" t="str">
        <f>B151</f>
        <v>TAX CREDIT CALCULATION - GAP METHOD</v>
      </c>
    </row>
    <row r="152" spans="1:23" s="452" customFormat="1" ht="15" customHeight="1">
      <c r="B152" s="455" t="s">
        <v>2011</v>
      </c>
      <c r="I152" s="830"/>
      <c r="J152" s="1034">
        <f>MIN(G123,D125)</f>
        <v>9396180</v>
      </c>
      <c r="K152" s="1034"/>
      <c r="L152" s="1034"/>
      <c r="M152" s="1038" t="s">
        <v>4041</v>
      </c>
      <c r="N152" s="1039"/>
      <c r="O152" s="1039"/>
      <c r="P152" s="1039"/>
      <c r="Q152" s="1039"/>
      <c r="R152" s="1040"/>
      <c r="S152" s="1031"/>
      <c r="T152" s="1032"/>
      <c r="V152" s="1448"/>
      <c r="W152" s="1449"/>
    </row>
    <row r="153" spans="1:23" s="452" customFormat="1" ht="13.9" customHeight="1">
      <c r="B153" s="452" t="s">
        <v>1982</v>
      </c>
      <c r="J153" s="1459">
        <v>11469093</v>
      </c>
      <c r="K153" s="1460"/>
      <c r="L153" s="1460"/>
      <c r="M153" s="1038"/>
      <c r="N153" s="1039"/>
      <c r="O153" s="1039"/>
      <c r="P153" s="1039"/>
      <c r="Q153" s="1039"/>
      <c r="R153" s="1040"/>
      <c r="S153" s="1031"/>
      <c r="T153" s="1032"/>
      <c r="V153" s="1450"/>
      <c r="W153" s="1451"/>
    </row>
    <row r="154" spans="1:23" s="452" customFormat="1" ht="13.9" customHeight="1">
      <c r="B154" s="452" t="s">
        <v>2255</v>
      </c>
      <c r="J154" s="1011">
        <f>'Part III A-Sources of Funds'!$H$49-'Part III A-Sources of Funds'!$H$37-'Part III A-Sources of Funds'!$H$40-'Part III A-Sources of Funds'!$H$41</f>
        <v>3910266</v>
      </c>
      <c r="K154" s="1019"/>
      <c r="L154" s="1019"/>
      <c r="M154" s="1038"/>
      <c r="N154" s="1039"/>
      <c r="O154" s="1039"/>
      <c r="P154" s="1039"/>
      <c r="Q154" s="1039"/>
      <c r="R154" s="1040"/>
      <c r="S154" s="651"/>
      <c r="T154" s="654" t="s">
        <v>2257</v>
      </c>
      <c r="V154" s="1450"/>
      <c r="W154" s="1451"/>
    </row>
    <row r="155" spans="1:23" s="452" customFormat="1" ht="13.9" customHeight="1">
      <c r="B155" s="452" t="s">
        <v>2989</v>
      </c>
      <c r="J155" s="1011">
        <f>+J153-J154</f>
        <v>7558827</v>
      </c>
      <c r="K155" s="1019"/>
      <c r="L155" s="1019"/>
      <c r="M155" s="1023" t="s">
        <v>3863</v>
      </c>
      <c r="N155" s="1461"/>
      <c r="O155" s="1461"/>
      <c r="P155" s="1461"/>
      <c r="Q155" s="1461"/>
      <c r="R155" s="1462"/>
      <c r="S155" s="652" t="s">
        <v>1984</v>
      </c>
      <c r="T155" s="1463" t="s">
        <v>4060</v>
      </c>
      <c r="V155" s="1450"/>
      <c r="W155" s="1451"/>
    </row>
    <row r="156" spans="1:23" s="452" customFormat="1" ht="13.9" customHeight="1" thickBot="1">
      <c r="B156" s="452" t="s">
        <v>3310</v>
      </c>
      <c r="J156" s="959" t="str">
        <f>"/ 10"</f>
        <v>/ 10</v>
      </c>
      <c r="K156" s="959"/>
      <c r="L156" s="959"/>
      <c r="M156" s="1020">
        <f>'Part III A-Sources of Funds'!H36</f>
        <v>2106000</v>
      </c>
      <c r="N156" s="1021"/>
      <c r="O156" s="1021"/>
      <c r="P156" s="1021"/>
      <c r="Q156" s="1021"/>
      <c r="R156" s="1022"/>
      <c r="S156" s="653" t="s">
        <v>2256</v>
      </c>
      <c r="T156" s="1464" t="s">
        <v>4061</v>
      </c>
      <c r="V156" s="1450"/>
      <c r="W156" s="1451"/>
    </row>
    <row r="157" spans="1:23" s="452" customFormat="1" ht="13.9" customHeight="1">
      <c r="B157" s="452" t="s">
        <v>3311</v>
      </c>
      <c r="J157" s="1011">
        <f>J155/10</f>
        <v>755882.7</v>
      </c>
      <c r="K157" s="1019"/>
      <c r="L157" s="1012"/>
      <c r="M157" s="475"/>
      <c r="N157" s="895" t="s">
        <v>3312</v>
      </c>
      <c r="O157" s="895"/>
      <c r="Q157" s="895" t="s">
        <v>2131</v>
      </c>
      <c r="R157" s="895"/>
      <c r="V157" s="1450"/>
      <c r="W157" s="1451"/>
    </row>
    <row r="158" spans="1:23" s="452" customFormat="1" ht="13.9" customHeight="1" thickBot="1">
      <c r="B158" s="452" t="s">
        <v>3440</v>
      </c>
      <c r="J158" s="1016">
        <f>N158+Q158</f>
        <v>0.99</v>
      </c>
      <c r="K158" s="1017"/>
      <c r="L158" s="1018"/>
      <c r="M158" s="825" t="s">
        <v>3313</v>
      </c>
      <c r="N158" s="1465">
        <v>0.76</v>
      </c>
      <c r="O158" s="1466"/>
      <c r="P158" s="825" t="s">
        <v>834</v>
      </c>
      <c r="Q158" s="1465">
        <v>0.23</v>
      </c>
      <c r="R158" s="1466"/>
      <c r="V158" s="1450"/>
      <c r="W158" s="1451"/>
    </row>
    <row r="159" spans="1:23" s="452" customFormat="1" ht="13.9" customHeight="1" thickBot="1">
      <c r="B159" s="455" t="s">
        <v>3366</v>
      </c>
      <c r="J159" s="950">
        <f>IF(J158=0,"",J157/J158)</f>
        <v>763517.87878787878</v>
      </c>
      <c r="K159" s="1007"/>
      <c r="L159" s="951"/>
      <c r="M159" s="475"/>
      <c r="N159" s="830"/>
      <c r="O159" s="830"/>
      <c r="V159" s="1450"/>
      <c r="W159" s="1451"/>
    </row>
    <row r="160" spans="1:23" s="452" customFormat="1" ht="9" customHeight="1">
      <c r="J160" s="541"/>
      <c r="K160" s="541"/>
      <c r="L160" s="541"/>
      <c r="M160" s="475"/>
      <c r="N160" s="838"/>
      <c r="O160" s="838"/>
      <c r="V160" s="1450"/>
      <c r="W160" s="1451"/>
    </row>
    <row r="161" spans="1:23" s="452" customFormat="1" ht="16.149999999999999" customHeight="1">
      <c r="B161" s="455" t="s">
        <v>2366</v>
      </c>
      <c r="J161" s="1008">
        <f>+MIN(J149,J159,'DCA Underwriting Assumptions'!$R$6)</f>
        <v>763517.87878787878</v>
      </c>
      <c r="K161" s="1009"/>
      <c r="L161" s="1010"/>
      <c r="M161" s="475"/>
      <c r="N161" s="838"/>
      <c r="O161" s="838"/>
      <c r="V161" s="1450"/>
      <c r="W161" s="1451"/>
    </row>
    <row r="162" spans="1:23" s="452" customFormat="1" ht="9.6" customHeight="1">
      <c r="J162" s="541"/>
      <c r="K162" s="541"/>
      <c r="L162" s="541"/>
      <c r="M162" s="475"/>
      <c r="N162" s="838"/>
      <c r="O162" s="838"/>
      <c r="V162" s="1450"/>
      <c r="W162" s="1451"/>
    </row>
    <row r="163" spans="1:23" s="452" customFormat="1" ht="16.149999999999999" customHeight="1">
      <c r="B163" s="455" t="s">
        <v>2367</v>
      </c>
      <c r="J163" s="1467">
        <v>763500</v>
      </c>
      <c r="K163" s="1468"/>
      <c r="L163" s="1469"/>
      <c r="M163" s="542" t="str">
        <f>IF(J161=0,"",IF(J163&gt;J161,"ALLOCATION CANNOT EXCEED MAXIMUM - REVISE REQUEST!",""))</f>
        <v/>
      </c>
      <c r="N163" s="838"/>
      <c r="O163" s="838"/>
      <c r="V163" s="1450"/>
      <c r="W163" s="1451"/>
    </row>
    <row r="164" spans="1:23" s="452" customFormat="1" ht="9.6" customHeight="1">
      <c r="J164" s="541"/>
      <c r="K164" s="541"/>
      <c r="L164" s="541"/>
      <c r="M164" s="475"/>
      <c r="N164" s="838"/>
      <c r="O164" s="838"/>
      <c r="V164" s="1450"/>
      <c r="W164" s="1451"/>
    </row>
    <row r="165" spans="1:23" s="452" customFormat="1" ht="16.149999999999999" customHeight="1">
      <c r="A165" s="688" t="s">
        <v>2124</v>
      </c>
      <c r="B165" s="688" t="s">
        <v>3204</v>
      </c>
      <c r="D165" s="475"/>
      <c r="E165" s="475"/>
      <c r="F165" s="458"/>
      <c r="J165" s="1008">
        <f>IF(J163="",0,+MIN(J161,J163))</f>
        <v>763500</v>
      </c>
      <c r="K165" s="1009"/>
      <c r="L165" s="1010"/>
      <c r="N165" s="1470"/>
      <c r="O165" s="1470"/>
      <c r="P165" s="1470"/>
      <c r="Q165" s="1470"/>
      <c r="R165" s="1470"/>
      <c r="S165" s="1470"/>
      <c r="T165" s="1470"/>
      <c r="V165" s="1453"/>
      <c r="W165" s="1454"/>
    </row>
    <row r="166" spans="1:23" ht="3" customHeight="1"/>
    <row r="167" spans="1:23" ht="6" customHeight="1"/>
    <row r="168" spans="1:23" ht="12" customHeight="1">
      <c r="A168" s="455" t="s">
        <v>2126</v>
      </c>
      <c r="B168" s="484" t="s">
        <v>781</v>
      </c>
      <c r="K168" s="455" t="s">
        <v>731</v>
      </c>
      <c r="L168" s="455" t="s">
        <v>1591</v>
      </c>
    </row>
    <row r="169" spans="1:23" ht="146.44999999999999" customHeight="1">
      <c r="A169" s="1471" t="s">
        <v>4132</v>
      </c>
      <c r="B169" s="1472"/>
      <c r="C169" s="1472"/>
      <c r="D169" s="1472"/>
      <c r="E169" s="1472"/>
      <c r="F169" s="1472"/>
      <c r="G169" s="1472"/>
      <c r="H169" s="1472"/>
      <c r="I169" s="1472"/>
      <c r="J169" s="1473"/>
      <c r="K169" s="1474"/>
      <c r="L169" s="1472"/>
      <c r="M169" s="1472"/>
      <c r="N169" s="1472"/>
      <c r="O169" s="1472"/>
      <c r="P169" s="1472"/>
      <c r="Q169" s="1472"/>
      <c r="R169" s="1472"/>
      <c r="S169" s="1472"/>
      <c r="T169" s="1473"/>
      <c r="V169" s="965" t="s">
        <v>4049</v>
      </c>
      <c r="W169" s="965"/>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4"/>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C97:F97"/>
    <mergeCell ref="G102:H102"/>
    <mergeCell ref="G101:H101"/>
    <mergeCell ref="G100:H100"/>
    <mergeCell ref="G98:H98"/>
    <mergeCell ref="C120:F120"/>
    <mergeCell ref="C116:F116"/>
    <mergeCell ref="G119:H119"/>
    <mergeCell ref="P103:Q103"/>
    <mergeCell ref="C103:F103"/>
    <mergeCell ref="P102:Q102"/>
    <mergeCell ref="M102:N102"/>
    <mergeCell ref="J103:K103"/>
    <mergeCell ref="J106:K106"/>
    <mergeCell ref="P104:Q104"/>
    <mergeCell ref="M108:N108"/>
    <mergeCell ref="J104:K104"/>
    <mergeCell ref="M101:N101"/>
    <mergeCell ref="J101:K101"/>
    <mergeCell ref="J102:K102"/>
    <mergeCell ref="G116:H116"/>
    <mergeCell ref="G107:H107"/>
    <mergeCell ref="G113:H113"/>
    <mergeCell ref="G115:H115"/>
    <mergeCell ref="G121:H121"/>
    <mergeCell ref="G120:H120"/>
    <mergeCell ref="G111:H111"/>
    <mergeCell ref="G109:H109"/>
    <mergeCell ref="G112:H112"/>
    <mergeCell ref="G108:H108"/>
    <mergeCell ref="J120:K120"/>
    <mergeCell ref="V169:W169"/>
    <mergeCell ref="P108:Q108"/>
    <mergeCell ref="P109:Q109"/>
    <mergeCell ref="M123:N123"/>
    <mergeCell ref="M121:N121"/>
    <mergeCell ref="M120:N120"/>
    <mergeCell ref="M117:N117"/>
    <mergeCell ref="J121:K121"/>
    <mergeCell ref="J112:K112"/>
    <mergeCell ref="J116:K116"/>
    <mergeCell ref="M119:N119"/>
    <mergeCell ref="G117:H117"/>
    <mergeCell ref="H143:I143"/>
    <mergeCell ref="J141:K141"/>
    <mergeCell ref="J146:K146"/>
    <mergeCell ref="M146:N146"/>
    <mergeCell ref="M145:N145"/>
    <mergeCell ref="V152:W165"/>
    <mergeCell ref="V140:W149"/>
    <mergeCell ref="V131:W137"/>
    <mergeCell ref="S120:T120"/>
    <mergeCell ref="S115:T115"/>
    <mergeCell ref="P132:Q132"/>
    <mergeCell ref="V119:W123"/>
    <mergeCell ref="V111:W117"/>
    <mergeCell ref="S121:T121"/>
    <mergeCell ref="P144:Q144"/>
    <mergeCell ref="P145:Q145"/>
    <mergeCell ref="P135:Q135"/>
    <mergeCell ref="P134:Q134"/>
    <mergeCell ref="P140:Q140"/>
    <mergeCell ref="P142:Q142"/>
    <mergeCell ref="P141:Q141"/>
    <mergeCell ref="P137:Q137"/>
    <mergeCell ref="P115:Q115"/>
    <mergeCell ref="P136:Q136"/>
    <mergeCell ref="P116:Q116"/>
    <mergeCell ref="P128:Q129"/>
    <mergeCell ref="P131:Q131"/>
    <mergeCell ref="P133:Q133"/>
    <mergeCell ref="G19:H19"/>
    <mergeCell ref="S64:T64"/>
    <mergeCell ref="P57:Q57"/>
    <mergeCell ref="P52:Q52"/>
    <mergeCell ref="M36:N36"/>
    <mergeCell ref="M35:N35"/>
    <mergeCell ref="G36:H36"/>
    <mergeCell ref="G35:H35"/>
    <mergeCell ref="S15:T15"/>
    <mergeCell ref="S57:T57"/>
    <mergeCell ref="S52:T52"/>
    <mergeCell ref="S53:T53"/>
    <mergeCell ref="S29:T29"/>
    <mergeCell ref="S30:T30"/>
    <mergeCell ref="S48:T48"/>
    <mergeCell ref="S55:T55"/>
    <mergeCell ref="P51:Q51"/>
    <mergeCell ref="J63:K63"/>
    <mergeCell ref="M64:N64"/>
    <mergeCell ref="J59:K59"/>
    <mergeCell ref="M61:N61"/>
    <mergeCell ref="M71:N71"/>
    <mergeCell ref="J74:K74"/>
    <mergeCell ref="P83:Q83"/>
    <mergeCell ref="P77:Q77"/>
    <mergeCell ref="S77:T77"/>
    <mergeCell ref="P80:Q80"/>
    <mergeCell ref="S80:T80"/>
    <mergeCell ref="P79:Q79"/>
    <mergeCell ref="S79:T79"/>
    <mergeCell ref="S83:T83"/>
    <mergeCell ref="S81:T81"/>
    <mergeCell ref="S75:T75"/>
    <mergeCell ref="S73:T73"/>
    <mergeCell ref="P71:Q71"/>
    <mergeCell ref="S74:T74"/>
    <mergeCell ref="S72:T72"/>
    <mergeCell ref="S71:T71"/>
    <mergeCell ref="P81:Q81"/>
    <mergeCell ref="M75:N75"/>
    <mergeCell ref="J73:K73"/>
    <mergeCell ref="J72:K72"/>
    <mergeCell ref="B39:C39"/>
    <mergeCell ref="G51:H51"/>
    <mergeCell ref="M51:N51"/>
    <mergeCell ref="M49:N49"/>
    <mergeCell ref="G61:H61"/>
    <mergeCell ref="G68:H68"/>
    <mergeCell ref="P64:Q64"/>
    <mergeCell ref="G65:H65"/>
    <mergeCell ref="G50:H50"/>
    <mergeCell ref="G46:H46"/>
    <mergeCell ref="G48:H48"/>
    <mergeCell ref="M42:N42"/>
    <mergeCell ref="J45:K46"/>
    <mergeCell ref="M45:N46"/>
    <mergeCell ref="P68:Q68"/>
    <mergeCell ref="P67:Q67"/>
    <mergeCell ref="P66:Q66"/>
    <mergeCell ref="P65:Q65"/>
    <mergeCell ref="C56:F56"/>
    <mergeCell ref="J65:K65"/>
    <mergeCell ref="G67:H67"/>
    <mergeCell ref="M60:N60"/>
    <mergeCell ref="G63:H63"/>
    <mergeCell ref="J62:K62"/>
    <mergeCell ref="G79:H79"/>
    <mergeCell ref="G90:H90"/>
    <mergeCell ref="G84:H84"/>
    <mergeCell ref="G78:H78"/>
    <mergeCell ref="G89:H89"/>
    <mergeCell ref="G87:H87"/>
    <mergeCell ref="J86:K87"/>
    <mergeCell ref="J82:K82"/>
    <mergeCell ref="J84:K84"/>
    <mergeCell ref="J83:K83"/>
    <mergeCell ref="J79:K79"/>
    <mergeCell ref="J78:K78"/>
    <mergeCell ref="M69:N69"/>
    <mergeCell ref="M77:N77"/>
    <mergeCell ref="M79:N79"/>
    <mergeCell ref="J75:K75"/>
    <mergeCell ref="M72:N72"/>
    <mergeCell ref="M27:N27"/>
    <mergeCell ref="P29:Q29"/>
    <mergeCell ref="P31:Q31"/>
    <mergeCell ref="P30:Q30"/>
    <mergeCell ref="J31:K31"/>
    <mergeCell ref="M32:N32"/>
    <mergeCell ref="M31:N31"/>
    <mergeCell ref="M34:N34"/>
    <mergeCell ref="J71:K71"/>
    <mergeCell ref="J69:K69"/>
    <mergeCell ref="J77:K77"/>
    <mergeCell ref="P72:Q72"/>
    <mergeCell ref="P73:Q73"/>
    <mergeCell ref="P63:Q63"/>
    <mergeCell ref="P62:Q62"/>
    <mergeCell ref="P60:Q60"/>
    <mergeCell ref="P61:Q61"/>
    <mergeCell ref="M66:N66"/>
    <mergeCell ref="M73:N73"/>
    <mergeCell ref="G94:H94"/>
    <mergeCell ref="G75:H75"/>
    <mergeCell ref="G74:H74"/>
    <mergeCell ref="G93:H93"/>
    <mergeCell ref="G91:H91"/>
    <mergeCell ref="C32:D32"/>
    <mergeCell ref="G32:H32"/>
    <mergeCell ref="G59:H59"/>
    <mergeCell ref="E93:F93"/>
    <mergeCell ref="E92:F92"/>
    <mergeCell ref="C68:F68"/>
    <mergeCell ref="G81:H81"/>
    <mergeCell ref="G83:H83"/>
    <mergeCell ref="G69:H69"/>
    <mergeCell ref="G80:H80"/>
    <mergeCell ref="G77:H77"/>
    <mergeCell ref="G72:H72"/>
    <mergeCell ref="G71:H71"/>
    <mergeCell ref="G73:H73"/>
    <mergeCell ref="G82:H82"/>
    <mergeCell ref="C83:F83"/>
    <mergeCell ref="G92:H92"/>
    <mergeCell ref="G66:H66"/>
    <mergeCell ref="G64:H64"/>
    <mergeCell ref="G60:H60"/>
    <mergeCell ref="J42:K42"/>
    <mergeCell ref="J52:K52"/>
    <mergeCell ref="J50:K50"/>
    <mergeCell ref="J49:K49"/>
    <mergeCell ref="J35:K35"/>
    <mergeCell ref="G55:H55"/>
    <mergeCell ref="G49:H49"/>
    <mergeCell ref="G53:H53"/>
    <mergeCell ref="J57:K57"/>
    <mergeCell ref="G42:H42"/>
    <mergeCell ref="V1:W1"/>
    <mergeCell ref="A3:T3"/>
    <mergeCell ref="C14:F14"/>
    <mergeCell ref="J12:K12"/>
    <mergeCell ref="P5:Q6"/>
    <mergeCell ref="S8:T8"/>
    <mergeCell ref="S10:T10"/>
    <mergeCell ref="S17:T17"/>
    <mergeCell ref="S12:T12"/>
    <mergeCell ref="S11:T11"/>
    <mergeCell ref="S16:T16"/>
    <mergeCell ref="S14:T14"/>
    <mergeCell ref="A1:T1"/>
    <mergeCell ref="S5:T6"/>
    <mergeCell ref="S9:T9"/>
    <mergeCell ref="P8:Q8"/>
    <mergeCell ref="M5:N6"/>
    <mergeCell ref="M9:N9"/>
    <mergeCell ref="P11:Q11"/>
    <mergeCell ref="M11:N11"/>
    <mergeCell ref="M13:N13"/>
    <mergeCell ref="M12:N12"/>
    <mergeCell ref="P13:Q13"/>
    <mergeCell ref="G9:H9"/>
    <mergeCell ref="C15:F15"/>
    <mergeCell ref="P12:Q12"/>
    <mergeCell ref="M17:N17"/>
    <mergeCell ref="P15:Q15"/>
    <mergeCell ref="J16:K16"/>
    <mergeCell ref="J17:K17"/>
    <mergeCell ref="P17:Q17"/>
    <mergeCell ref="P16:Q16"/>
    <mergeCell ref="G16:H16"/>
    <mergeCell ref="M15:N15"/>
    <mergeCell ref="C16:F16"/>
    <mergeCell ref="G17:H17"/>
    <mergeCell ref="G12:H12"/>
    <mergeCell ref="J13:K13"/>
    <mergeCell ref="G15:H15"/>
    <mergeCell ref="M86:N87"/>
    <mergeCell ref="J26:K26"/>
    <mergeCell ref="P25:Q25"/>
    <mergeCell ref="P26:Q26"/>
    <mergeCell ref="M30:N30"/>
    <mergeCell ref="J27:K27"/>
    <mergeCell ref="M25:N25"/>
    <mergeCell ref="J29:K29"/>
    <mergeCell ref="P35:Q35"/>
    <mergeCell ref="P27:Q27"/>
    <mergeCell ref="M26:N26"/>
    <mergeCell ref="M81:N81"/>
    <mergeCell ref="M82:N82"/>
    <mergeCell ref="M84:N84"/>
    <mergeCell ref="M83:N83"/>
    <mergeCell ref="J80:K80"/>
    <mergeCell ref="M48:N48"/>
    <mergeCell ref="J68:K68"/>
    <mergeCell ref="J81:K81"/>
    <mergeCell ref="M80:N80"/>
    <mergeCell ref="M78:N78"/>
    <mergeCell ref="M74:N74"/>
    <mergeCell ref="J64:K64"/>
    <mergeCell ref="M67:N67"/>
    <mergeCell ref="P9:Q9"/>
    <mergeCell ref="P10:Q10"/>
    <mergeCell ref="M21:N21"/>
    <mergeCell ref="M16:N16"/>
    <mergeCell ref="M23:N23"/>
    <mergeCell ref="M22:N22"/>
    <mergeCell ref="M63:N63"/>
    <mergeCell ref="G20:H20"/>
    <mergeCell ref="G22:H22"/>
    <mergeCell ref="J25:K25"/>
    <mergeCell ref="J54:K54"/>
    <mergeCell ref="J60:K60"/>
    <mergeCell ref="G57:H57"/>
    <mergeCell ref="G54:H54"/>
    <mergeCell ref="M10:N10"/>
    <mergeCell ref="G26:H26"/>
    <mergeCell ref="G56:H56"/>
    <mergeCell ref="P59:Q59"/>
    <mergeCell ref="J56:K56"/>
    <mergeCell ref="P36:Q36"/>
    <mergeCell ref="P34:Q34"/>
    <mergeCell ref="P14:Q14"/>
    <mergeCell ref="G62:H62"/>
    <mergeCell ref="G34:H34"/>
    <mergeCell ref="M52:N52"/>
    <mergeCell ref="M56:N56"/>
    <mergeCell ref="M68:N68"/>
    <mergeCell ref="M55:N55"/>
    <mergeCell ref="M65:N65"/>
    <mergeCell ref="M62:N62"/>
    <mergeCell ref="J67:K67"/>
    <mergeCell ref="J14:K14"/>
    <mergeCell ref="J61:K61"/>
    <mergeCell ref="J66:K66"/>
    <mergeCell ref="J48:K48"/>
    <mergeCell ref="J53:K53"/>
    <mergeCell ref="M14:N14"/>
    <mergeCell ref="J34:K34"/>
    <mergeCell ref="J51:K51"/>
    <mergeCell ref="J55:K55"/>
    <mergeCell ref="J32:K32"/>
    <mergeCell ref="M59:N59"/>
    <mergeCell ref="M54:N54"/>
    <mergeCell ref="M57:N57"/>
    <mergeCell ref="J36:K36"/>
    <mergeCell ref="J30:K30"/>
    <mergeCell ref="J5:K6"/>
    <mergeCell ref="J11:K11"/>
    <mergeCell ref="J15:K15"/>
    <mergeCell ref="G8:H8"/>
    <mergeCell ref="G13:H13"/>
    <mergeCell ref="J9:K9"/>
    <mergeCell ref="J10:K10"/>
    <mergeCell ref="G31:H31"/>
    <mergeCell ref="M53:N53"/>
    <mergeCell ref="G14:H14"/>
    <mergeCell ref="G6:H6"/>
    <mergeCell ref="J8:K8"/>
    <mergeCell ref="G10:H10"/>
    <mergeCell ref="G29:H29"/>
    <mergeCell ref="G27:H27"/>
    <mergeCell ref="G21:H21"/>
    <mergeCell ref="G23:H23"/>
    <mergeCell ref="M50:N50"/>
    <mergeCell ref="G52:H52"/>
    <mergeCell ref="M8:N8"/>
    <mergeCell ref="M29:N29"/>
    <mergeCell ref="G30:H30"/>
    <mergeCell ref="G25:H25"/>
    <mergeCell ref="G11:H11"/>
    <mergeCell ref="V71:W75"/>
    <mergeCell ref="V59:W69"/>
    <mergeCell ref="V48:W57"/>
    <mergeCell ref="P75:Q75"/>
    <mergeCell ref="P45:Q46"/>
    <mergeCell ref="S34:T34"/>
    <mergeCell ref="S35:T35"/>
    <mergeCell ref="S27:T27"/>
    <mergeCell ref="S31:T31"/>
    <mergeCell ref="P55:Q55"/>
    <mergeCell ref="P56:Q56"/>
    <mergeCell ref="P32:Q32"/>
    <mergeCell ref="P54:Q54"/>
    <mergeCell ref="P42:Q42"/>
    <mergeCell ref="P53:Q53"/>
    <mergeCell ref="P50:Q50"/>
    <mergeCell ref="P48:Q48"/>
    <mergeCell ref="P49:Q49"/>
    <mergeCell ref="S45:T46"/>
    <mergeCell ref="S50:T50"/>
    <mergeCell ref="S36:T36"/>
    <mergeCell ref="S42:T42"/>
    <mergeCell ref="S32:T32"/>
    <mergeCell ref="S49:T49"/>
    <mergeCell ref="S59:T59"/>
    <mergeCell ref="S56:T56"/>
    <mergeCell ref="S51:T51"/>
    <mergeCell ref="S54:T54"/>
    <mergeCell ref="V6:W6"/>
    <mergeCell ref="V46:W46"/>
    <mergeCell ref="V42:W42"/>
    <mergeCell ref="V25:W27"/>
    <mergeCell ref="V19:W23"/>
    <mergeCell ref="V8:W17"/>
    <mergeCell ref="V29:W32"/>
    <mergeCell ref="V34:W36"/>
    <mergeCell ref="V38:W39"/>
    <mergeCell ref="S22:T22"/>
    <mergeCell ref="S19:T19"/>
    <mergeCell ref="S23:T23"/>
    <mergeCell ref="S21:T21"/>
    <mergeCell ref="S20:T20"/>
    <mergeCell ref="S25:T25"/>
    <mergeCell ref="S26:T26"/>
    <mergeCell ref="S13:T13"/>
    <mergeCell ref="P86:Q87"/>
    <mergeCell ref="P82:Q82"/>
    <mergeCell ref="P84:Q84"/>
    <mergeCell ref="S86:T87"/>
    <mergeCell ref="S68:T68"/>
    <mergeCell ref="S69:T69"/>
    <mergeCell ref="S63:T63"/>
    <mergeCell ref="S62:T62"/>
    <mergeCell ref="S60:T60"/>
    <mergeCell ref="S84:T84"/>
    <mergeCell ref="S61:T61"/>
    <mergeCell ref="P69:Q69"/>
    <mergeCell ref="P74:Q74"/>
    <mergeCell ref="P78:Q78"/>
    <mergeCell ref="S65:T65"/>
    <mergeCell ref="S66:T66"/>
    <mergeCell ref="S67:T67"/>
    <mergeCell ref="G114:H114"/>
    <mergeCell ref="G95:H95"/>
    <mergeCell ref="G97:H97"/>
    <mergeCell ref="M115:N115"/>
    <mergeCell ref="M112:N112"/>
    <mergeCell ref="G103:H103"/>
    <mergeCell ref="J109:K109"/>
    <mergeCell ref="G104:H104"/>
    <mergeCell ref="G106:H106"/>
    <mergeCell ref="M144:N144"/>
    <mergeCell ref="J142:K142"/>
    <mergeCell ref="J145:K145"/>
    <mergeCell ref="J144:K144"/>
    <mergeCell ref="J143:K143"/>
    <mergeCell ref="G123:H123"/>
    <mergeCell ref="G125:H125"/>
    <mergeCell ref="J123:K123"/>
    <mergeCell ref="J131:K131"/>
    <mergeCell ref="J134:K134"/>
    <mergeCell ref="M125:N125"/>
    <mergeCell ref="D125:E125"/>
    <mergeCell ref="J133:K133"/>
    <mergeCell ref="J128:K129"/>
    <mergeCell ref="C96:F96"/>
    <mergeCell ref="M143:N143"/>
    <mergeCell ref="M140:N140"/>
    <mergeCell ref="J108:K108"/>
    <mergeCell ref="M104:N104"/>
    <mergeCell ref="M142:N142"/>
    <mergeCell ref="M141:N141"/>
    <mergeCell ref="J117:K117"/>
    <mergeCell ref="J100:K100"/>
    <mergeCell ref="C136:I136"/>
    <mergeCell ref="J140:K140"/>
    <mergeCell ref="J135:K135"/>
    <mergeCell ref="J137:K137"/>
    <mergeCell ref="M106:N106"/>
    <mergeCell ref="M109:N109"/>
    <mergeCell ref="J132:K132"/>
    <mergeCell ref="M128:N129"/>
    <mergeCell ref="J136:K136"/>
    <mergeCell ref="J107:K107"/>
    <mergeCell ref="J115:K115"/>
    <mergeCell ref="G96:H96"/>
    <mergeCell ref="J147:K147"/>
    <mergeCell ref="J148:K148"/>
    <mergeCell ref="S151:T153"/>
    <mergeCell ref="J151:L151"/>
    <mergeCell ref="P148:Q148"/>
    <mergeCell ref="M148:N148"/>
    <mergeCell ref="J149:Q149"/>
    <mergeCell ref="M147:N147"/>
    <mergeCell ref="J152:L152"/>
    <mergeCell ref="M151:R151"/>
    <mergeCell ref="J153:L153"/>
    <mergeCell ref="M152:R154"/>
    <mergeCell ref="J119:K119"/>
    <mergeCell ref="P120:Q120"/>
    <mergeCell ref="P117:Q117"/>
    <mergeCell ref="P119:Q119"/>
    <mergeCell ref="P123:Q123"/>
    <mergeCell ref="P121:Q121"/>
    <mergeCell ref="V106:W109"/>
    <mergeCell ref="P112:Q112"/>
    <mergeCell ref="S106:T106"/>
    <mergeCell ref="S123:T123"/>
    <mergeCell ref="S113:T113"/>
    <mergeCell ref="S111:T111"/>
    <mergeCell ref="S114:T114"/>
    <mergeCell ref="S108:T108"/>
    <mergeCell ref="S107:T107"/>
    <mergeCell ref="P107:Q107"/>
    <mergeCell ref="V87:W87"/>
    <mergeCell ref="V77:W84"/>
    <mergeCell ref="V89:W98"/>
    <mergeCell ref="S91:T91"/>
    <mergeCell ref="S89:T89"/>
    <mergeCell ref="S109:T109"/>
    <mergeCell ref="S78:T78"/>
    <mergeCell ref="S95:T95"/>
    <mergeCell ref="S82:T82"/>
    <mergeCell ref="S96:T96"/>
    <mergeCell ref="S94:T94"/>
    <mergeCell ref="S92:T92"/>
    <mergeCell ref="S102:T102"/>
    <mergeCell ref="V100:W104"/>
    <mergeCell ref="S104:T104"/>
    <mergeCell ref="S101:T101"/>
    <mergeCell ref="S103:T103"/>
    <mergeCell ref="S100:T100"/>
    <mergeCell ref="J158:L158"/>
    <mergeCell ref="N158:O158"/>
    <mergeCell ref="J155:L155"/>
    <mergeCell ref="J154:L154"/>
    <mergeCell ref="M156:R156"/>
    <mergeCell ref="Q158:R158"/>
    <mergeCell ref="M155:R155"/>
    <mergeCell ref="Q157:R157"/>
    <mergeCell ref="N157:O157"/>
    <mergeCell ref="J156:L156"/>
    <mergeCell ref="J157:L157"/>
    <mergeCell ref="J159:L159"/>
    <mergeCell ref="A169:J169"/>
    <mergeCell ref="K169:T169"/>
    <mergeCell ref="J163:L163"/>
    <mergeCell ref="J161:L161"/>
    <mergeCell ref="J165:L165"/>
    <mergeCell ref="S90:T90"/>
    <mergeCell ref="P147:Q147"/>
    <mergeCell ref="P143:Q143"/>
    <mergeCell ref="P146:Q146"/>
    <mergeCell ref="S98:T98"/>
    <mergeCell ref="P101:Q101"/>
    <mergeCell ref="S97:T97"/>
    <mergeCell ref="S93:T93"/>
    <mergeCell ref="S112:T112"/>
    <mergeCell ref="P106:Q106"/>
    <mergeCell ref="M100:N100"/>
    <mergeCell ref="M116:N116"/>
    <mergeCell ref="S119:T119"/>
    <mergeCell ref="S117:T117"/>
    <mergeCell ref="P100:Q100"/>
    <mergeCell ref="M103:N103"/>
    <mergeCell ref="M107:N107"/>
    <mergeCell ref="S116:T116"/>
  </mergeCells>
  <phoneticPr fontId="5" type="noConversion"/>
  <conditionalFormatting sqref="G34 P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P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cfRule type="cellIs" dxfId="5" priority="2" operator="greaterThan">
      <formula>$G$34</formula>
    </cfRule>
  </conditionalFormatting>
  <conditionalFormatting sqref="J35:K35 M35:N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6" t="str">
        <f>CONCATENATE("PART FIVE - UTILITY ALLOWANCES","  -  ",'Part I-Project Information'!$O$4," ",'Part I-Project Information'!$F$22,", ",'Part I-Project Information'!F24,", ",'Part I-Project Information'!J25," County")</f>
        <v>PART FIVE - UTILITY ALLOWANCES  -  2012-052 Freedom's Path I, Augusta, Richmond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716</v>
      </c>
      <c r="I3" s="854" t="str">
        <f>VLOOKUP('Part I-Project Information'!$J$25,'Part I-Project Information'!$C$181:$D$340,2)</f>
        <v>Middle</v>
      </c>
    </row>
    <row r="4" spans="1:20" s="9" customFormat="1"/>
    <row r="5" spans="1:20" s="9" customFormat="1">
      <c r="A5" s="16" t="s">
        <v>839</v>
      </c>
      <c r="B5" s="16" t="s">
        <v>2984</v>
      </c>
      <c r="F5" s="9" t="s">
        <v>3815</v>
      </c>
      <c r="I5" s="1475" t="s">
        <v>894</v>
      </c>
      <c r="J5" s="1476"/>
      <c r="K5" s="1476"/>
      <c r="L5" s="1476"/>
      <c r="M5" s="1477"/>
    </row>
    <row r="6" spans="1:20" s="9" customFormat="1" ht="13.15" customHeight="1">
      <c r="A6" s="16"/>
      <c r="F6" s="9" t="s">
        <v>861</v>
      </c>
      <c r="H6" s="31"/>
      <c r="I6" s="1478">
        <v>40787</v>
      </c>
      <c r="J6" s="1479"/>
      <c r="K6" s="75" t="s">
        <v>742</v>
      </c>
      <c r="L6" s="1475" t="s">
        <v>895</v>
      </c>
      <c r="M6" s="1477"/>
    </row>
    <row r="7" spans="1:20" s="9" customFormat="1" ht="6" customHeight="1">
      <c r="A7" s="16"/>
    </row>
    <row r="8" spans="1:20" s="16" customFormat="1">
      <c r="B8" s="340"/>
      <c r="C8" s="340"/>
      <c r="D8" s="340"/>
      <c r="E8" s="340"/>
      <c r="F8" s="1075" t="s">
        <v>831</v>
      </c>
      <c r="G8" s="1075"/>
      <c r="I8" s="1074" t="s">
        <v>2038</v>
      </c>
      <c r="J8" s="1074"/>
      <c r="K8" s="1074"/>
      <c r="L8" s="1074"/>
      <c r="M8" s="1074"/>
    </row>
    <row r="9" spans="1:20" s="16" customFormat="1">
      <c r="B9" s="340" t="s">
        <v>979</v>
      </c>
      <c r="D9" s="340" t="s">
        <v>1699</v>
      </c>
      <c r="F9" s="845" t="s">
        <v>867</v>
      </c>
      <c r="G9" s="845" t="s">
        <v>332</v>
      </c>
      <c r="I9" s="341">
        <v>0</v>
      </c>
      <c r="J9" s="342">
        <v>1</v>
      </c>
      <c r="K9" s="342">
        <v>2</v>
      </c>
      <c r="L9" s="342">
        <v>3</v>
      </c>
      <c r="M9" s="342">
        <v>4</v>
      </c>
    </row>
    <row r="10" spans="1:20" s="9" customFormat="1">
      <c r="B10" s="343" t="s">
        <v>334</v>
      </c>
      <c r="C10" s="344"/>
      <c r="D10" s="1480" t="s">
        <v>893</v>
      </c>
      <c r="E10" s="1481"/>
      <c r="F10" s="1482"/>
      <c r="G10" s="1482" t="s">
        <v>578</v>
      </c>
      <c r="H10" s="345"/>
      <c r="I10" s="1483">
        <v>22</v>
      </c>
      <c r="J10" s="1483">
        <v>28</v>
      </c>
      <c r="K10" s="1483"/>
      <c r="L10" s="1483"/>
      <c r="M10" s="1483"/>
    </row>
    <row r="11" spans="1:20" s="9" customFormat="1">
      <c r="B11" s="346" t="s">
        <v>610</v>
      </c>
      <c r="C11" s="347"/>
      <c r="D11" s="346" t="s">
        <v>1695</v>
      </c>
      <c r="E11" s="347"/>
      <c r="F11" s="1484"/>
      <c r="G11" s="1484" t="s">
        <v>578</v>
      </c>
      <c r="H11" s="348"/>
      <c r="I11" s="1485">
        <v>12</v>
      </c>
      <c r="J11" s="1485">
        <v>16</v>
      </c>
      <c r="K11" s="1485"/>
      <c r="L11" s="1486"/>
      <c r="M11" s="1486"/>
    </row>
    <row r="12" spans="1:20" s="9" customFormat="1">
      <c r="B12" s="346" t="s">
        <v>1696</v>
      </c>
      <c r="C12" s="347"/>
      <c r="D12" s="1487" t="s">
        <v>1695</v>
      </c>
      <c r="E12" s="1488"/>
      <c r="F12" s="1484"/>
      <c r="G12" s="1484" t="s">
        <v>578</v>
      </c>
      <c r="H12" s="348"/>
      <c r="I12" s="1485">
        <v>10</v>
      </c>
      <c r="J12" s="1485">
        <v>11</v>
      </c>
      <c r="K12" s="1485"/>
      <c r="L12" s="1486"/>
      <c r="M12" s="1486"/>
    </row>
    <row r="13" spans="1:20" s="9" customFormat="1">
      <c r="B13" s="346" t="s">
        <v>1697</v>
      </c>
      <c r="C13" s="347"/>
      <c r="D13" s="1487" t="s">
        <v>1695</v>
      </c>
      <c r="E13" s="1488"/>
      <c r="F13" s="1484"/>
      <c r="G13" s="1484" t="s">
        <v>578</v>
      </c>
      <c r="H13" s="348"/>
      <c r="I13" s="1485">
        <v>10</v>
      </c>
      <c r="J13" s="1485">
        <v>17</v>
      </c>
      <c r="K13" s="1485"/>
      <c r="L13" s="1486"/>
      <c r="M13" s="1486"/>
    </row>
    <row r="14" spans="1:20" s="9" customFormat="1">
      <c r="B14" s="346" t="s">
        <v>1698</v>
      </c>
      <c r="C14" s="347"/>
      <c r="D14" s="346" t="s">
        <v>1695</v>
      </c>
      <c r="E14" s="349"/>
      <c r="F14" s="1484"/>
      <c r="G14" s="1484" t="s">
        <v>578</v>
      </c>
      <c r="H14" s="348"/>
      <c r="I14" s="1485">
        <v>25</v>
      </c>
      <c r="J14" s="1485">
        <v>27</v>
      </c>
      <c r="K14" s="1485"/>
      <c r="L14" s="1486"/>
      <c r="M14" s="1486"/>
    </row>
    <row r="15" spans="1:20" s="9" customFormat="1">
      <c r="B15" s="346" t="s">
        <v>1443</v>
      </c>
      <c r="C15" s="347"/>
      <c r="D15" s="346" t="s">
        <v>2983</v>
      </c>
      <c r="E15" s="1489" t="s">
        <v>4061</v>
      </c>
      <c r="F15" s="1484"/>
      <c r="G15" s="1484" t="s">
        <v>578</v>
      </c>
      <c r="H15" s="348"/>
      <c r="I15" s="1485">
        <v>36</v>
      </c>
      <c r="J15" s="1485">
        <v>36</v>
      </c>
      <c r="K15" s="1485"/>
      <c r="L15" s="1486"/>
      <c r="M15" s="1486"/>
    </row>
    <row r="16" spans="1:20" s="9" customFormat="1">
      <c r="B16" s="350" t="s">
        <v>333</v>
      </c>
      <c r="C16" s="351"/>
      <c r="D16" s="350"/>
      <c r="E16" s="317"/>
      <c r="F16" s="1490"/>
      <c r="G16" s="1490" t="s">
        <v>578</v>
      </c>
      <c r="H16" s="352"/>
      <c r="I16" s="1491">
        <v>23</v>
      </c>
      <c r="J16" s="1491">
        <v>23</v>
      </c>
      <c r="K16" s="1491"/>
      <c r="L16" s="1492"/>
      <c r="M16" s="1492"/>
    </row>
    <row r="17" spans="1:19" s="9" customFormat="1">
      <c r="B17" s="340" t="s">
        <v>1069</v>
      </c>
      <c r="D17" s="31"/>
      <c r="E17" s="31"/>
      <c r="F17" s="109"/>
      <c r="G17" s="109"/>
      <c r="I17" s="845">
        <f>SUM(I10:I16)</f>
        <v>138</v>
      </c>
      <c r="J17" s="845">
        <f>SUM(J10:J16)</f>
        <v>158</v>
      </c>
      <c r="K17" s="845">
        <f>SUM(K10:K16)</f>
        <v>0</v>
      </c>
      <c r="L17" s="845">
        <f>SUM(L10:L16)</f>
        <v>0</v>
      </c>
      <c r="M17" s="845">
        <f>SUM(M10:M16)</f>
        <v>0</v>
      </c>
    </row>
    <row r="18" spans="1:19" s="9" customFormat="1" ht="11.25" customHeight="1">
      <c r="M18" s="31"/>
      <c r="N18" s="31"/>
      <c r="O18" s="31"/>
      <c r="P18" s="31"/>
      <c r="Q18" s="31"/>
      <c r="R18" s="31"/>
      <c r="S18" s="31"/>
    </row>
    <row r="19" spans="1:19" s="9" customFormat="1">
      <c r="A19" s="16" t="s">
        <v>2774</v>
      </c>
      <c r="B19" s="16" t="s">
        <v>2985</v>
      </c>
      <c r="F19" s="9" t="s">
        <v>3815</v>
      </c>
      <c r="I19" s="1475"/>
      <c r="J19" s="1476"/>
      <c r="K19" s="1476"/>
      <c r="L19" s="1476"/>
      <c r="M19" s="1477"/>
    </row>
    <row r="20" spans="1:19" s="9" customFormat="1" ht="13.15" customHeight="1">
      <c r="A20" s="16"/>
      <c r="B20" s="16"/>
      <c r="F20" s="9" t="s">
        <v>861</v>
      </c>
      <c r="H20" s="31"/>
      <c r="I20" s="1478"/>
      <c r="J20" s="1479"/>
      <c r="K20" s="75" t="s">
        <v>742</v>
      </c>
      <c r="L20" s="1475"/>
      <c r="M20" s="1477"/>
    </row>
    <row r="21" spans="1:19" s="9" customFormat="1" ht="6" customHeight="1">
      <c r="A21" s="16"/>
    </row>
    <row r="22" spans="1:19" s="16" customFormat="1">
      <c r="B22" s="340"/>
      <c r="C22" s="340"/>
      <c r="D22" s="340"/>
      <c r="E22" s="340"/>
      <c r="F22" s="1075" t="s">
        <v>831</v>
      </c>
      <c r="G22" s="1075"/>
      <c r="I22" s="1074" t="s">
        <v>2038</v>
      </c>
      <c r="J22" s="1074"/>
      <c r="K22" s="1074"/>
      <c r="L22" s="1074"/>
      <c r="M22" s="1074"/>
    </row>
    <row r="23" spans="1:19" s="16" customFormat="1">
      <c r="B23" s="340" t="s">
        <v>979</v>
      </c>
      <c r="D23" s="340" t="s">
        <v>1699</v>
      </c>
      <c r="F23" s="845" t="s">
        <v>867</v>
      </c>
      <c r="G23" s="845" t="s">
        <v>332</v>
      </c>
      <c r="I23" s="341">
        <v>0</v>
      </c>
      <c r="J23" s="342">
        <v>1</v>
      </c>
      <c r="K23" s="342">
        <v>2</v>
      </c>
      <c r="L23" s="342">
        <v>3</v>
      </c>
      <c r="M23" s="342">
        <v>4</v>
      </c>
    </row>
    <row r="24" spans="1:19" s="9" customFormat="1">
      <c r="B24" s="343" t="s">
        <v>334</v>
      </c>
      <c r="C24" s="344"/>
      <c r="D24" s="1480" t="s">
        <v>2155</v>
      </c>
      <c r="E24" s="1481"/>
      <c r="F24" s="1482"/>
      <c r="G24" s="1482"/>
      <c r="H24" s="345"/>
      <c r="I24" s="1483"/>
      <c r="J24" s="1483"/>
      <c r="K24" s="1483"/>
      <c r="L24" s="1483"/>
      <c r="M24" s="1483"/>
    </row>
    <row r="25" spans="1:19" s="9" customFormat="1">
      <c r="B25" s="346" t="s">
        <v>610</v>
      </c>
      <c r="C25" s="347"/>
      <c r="D25" s="346" t="s">
        <v>1695</v>
      </c>
      <c r="E25" s="347"/>
      <c r="F25" s="1484"/>
      <c r="G25" s="1484"/>
      <c r="H25" s="348"/>
      <c r="I25" s="1485"/>
      <c r="J25" s="1485"/>
      <c r="K25" s="1485"/>
      <c r="L25" s="1486"/>
      <c r="M25" s="1486"/>
    </row>
    <row r="26" spans="1:19" s="9" customFormat="1">
      <c r="B26" s="346" t="s">
        <v>1696</v>
      </c>
      <c r="C26" s="347"/>
      <c r="D26" s="1487" t="s">
        <v>2155</v>
      </c>
      <c r="E26" s="1488"/>
      <c r="F26" s="1484"/>
      <c r="G26" s="1484"/>
      <c r="H26" s="348"/>
      <c r="I26" s="1485"/>
      <c r="J26" s="1485"/>
      <c r="K26" s="1485"/>
      <c r="L26" s="1486"/>
      <c r="M26" s="1486"/>
    </row>
    <row r="27" spans="1:19" s="9" customFormat="1">
      <c r="B27" s="346" t="s">
        <v>1697</v>
      </c>
      <c r="C27" s="347"/>
      <c r="D27" s="1487" t="s">
        <v>2155</v>
      </c>
      <c r="E27" s="1488"/>
      <c r="F27" s="1484"/>
      <c r="G27" s="1484"/>
      <c r="H27" s="348"/>
      <c r="I27" s="1485"/>
      <c r="J27" s="1485"/>
      <c r="K27" s="1485"/>
      <c r="L27" s="1486"/>
      <c r="M27" s="1486"/>
    </row>
    <row r="28" spans="1:19" s="9" customFormat="1">
      <c r="B28" s="346" t="s">
        <v>1698</v>
      </c>
      <c r="C28" s="347"/>
      <c r="D28" s="346" t="s">
        <v>1695</v>
      </c>
      <c r="E28" s="349"/>
      <c r="F28" s="1484"/>
      <c r="G28" s="1484"/>
      <c r="H28" s="348"/>
      <c r="I28" s="1485"/>
      <c r="J28" s="1485"/>
      <c r="K28" s="1485"/>
      <c r="L28" s="1486"/>
      <c r="M28" s="1486"/>
    </row>
    <row r="29" spans="1:19" s="9" customFormat="1">
      <c r="B29" s="346" t="s">
        <v>1443</v>
      </c>
      <c r="C29" s="347"/>
      <c r="D29" s="346" t="s">
        <v>2983</v>
      </c>
      <c r="E29" s="1489" t="s">
        <v>2039</v>
      </c>
      <c r="F29" s="1484"/>
      <c r="G29" s="1484"/>
      <c r="H29" s="348"/>
      <c r="I29" s="1485"/>
      <c r="J29" s="1485"/>
      <c r="K29" s="1485"/>
      <c r="L29" s="1486"/>
      <c r="M29" s="1486"/>
    </row>
    <row r="30" spans="1:19" s="9" customFormat="1">
      <c r="B30" s="350" t="s">
        <v>333</v>
      </c>
      <c r="C30" s="351"/>
      <c r="D30" s="350"/>
      <c r="E30" s="317"/>
      <c r="F30" s="1490"/>
      <c r="G30" s="1490"/>
      <c r="H30" s="352"/>
      <c r="I30" s="1491"/>
      <c r="J30" s="1491"/>
      <c r="K30" s="1491"/>
      <c r="L30" s="1492"/>
      <c r="M30" s="1492"/>
    </row>
    <row r="31" spans="1:19" s="9" customFormat="1">
      <c r="B31" s="340" t="s">
        <v>1069</v>
      </c>
      <c r="D31" s="31"/>
      <c r="E31" s="31"/>
      <c r="F31" s="109"/>
      <c r="G31" s="109"/>
      <c r="I31" s="845">
        <f>SUM(I24:I30)</f>
        <v>0</v>
      </c>
      <c r="J31" s="845">
        <f>SUM(J24:J30)</f>
        <v>0</v>
      </c>
      <c r="K31" s="845">
        <f>SUM(K24:K30)</f>
        <v>0</v>
      </c>
      <c r="L31" s="845">
        <f>SUM(L24:L30)</f>
        <v>0</v>
      </c>
      <c r="M31" s="845">
        <f>SUM(M24:M30)</f>
        <v>0</v>
      </c>
    </row>
    <row r="32" spans="1:19">
      <c r="A32" s="9"/>
    </row>
    <row r="33" spans="1:19">
      <c r="B33" s="353" t="s">
        <v>244</v>
      </c>
    </row>
    <row r="34" spans="1:19" s="9" customFormat="1" ht="6" customHeight="1">
      <c r="M34" s="31"/>
      <c r="N34" s="31"/>
      <c r="O34" s="31"/>
      <c r="P34" s="31"/>
      <c r="Q34" s="31"/>
      <c r="R34" s="31"/>
      <c r="S34" s="31"/>
    </row>
    <row r="35" spans="1:19" s="9" customFormat="1" ht="12" customHeight="1">
      <c r="A35" s="16"/>
      <c r="B35" s="16" t="s">
        <v>781</v>
      </c>
      <c r="M35" s="31"/>
      <c r="N35" s="31"/>
      <c r="O35" s="31"/>
      <c r="P35" s="31"/>
      <c r="Q35" s="31"/>
      <c r="R35" s="31"/>
      <c r="S35" s="31"/>
    </row>
    <row r="36" spans="1:19" s="9" customFormat="1" ht="24.75" customHeight="1">
      <c r="B36" s="1493" t="s">
        <v>371</v>
      </c>
      <c r="C36" s="1494"/>
      <c r="D36" s="1494"/>
      <c r="E36" s="1494"/>
      <c r="F36" s="1494"/>
      <c r="G36" s="1494"/>
      <c r="H36" s="1494"/>
      <c r="I36" s="1494"/>
      <c r="J36" s="1494"/>
      <c r="K36" s="1494"/>
      <c r="L36" s="1494"/>
      <c r="M36" s="1495"/>
      <c r="N36" s="31"/>
      <c r="O36" s="884" t="s">
        <v>4049</v>
      </c>
      <c r="P36" s="884"/>
      <c r="Q36" s="884"/>
      <c r="R36" s="884"/>
      <c r="S36" s="884"/>
    </row>
    <row r="37" spans="1:19" s="9" customFormat="1" ht="3" customHeight="1">
      <c r="M37" s="31"/>
      <c r="N37" s="31"/>
      <c r="O37" s="884"/>
      <c r="P37" s="884"/>
      <c r="Q37" s="884"/>
      <c r="R37" s="884"/>
      <c r="S37" s="884"/>
    </row>
    <row r="38" spans="1:19" s="9" customFormat="1" ht="12" customHeight="1">
      <c r="A38" s="16"/>
      <c r="B38" s="16" t="s">
        <v>327</v>
      </c>
      <c r="M38" s="31"/>
      <c r="N38" s="31"/>
      <c r="O38" s="884"/>
      <c r="P38" s="884"/>
      <c r="Q38" s="884"/>
      <c r="R38" s="884"/>
      <c r="S38" s="884"/>
    </row>
    <row r="39" spans="1:19" s="9" customFormat="1" ht="24.75" customHeight="1">
      <c r="B39" s="1496"/>
      <c r="C39" s="1497"/>
      <c r="D39" s="1497"/>
      <c r="E39" s="1497"/>
      <c r="F39" s="1497"/>
      <c r="G39" s="1497"/>
      <c r="H39" s="1497"/>
      <c r="I39" s="1497"/>
      <c r="J39" s="1497"/>
      <c r="K39" s="1497"/>
      <c r="L39" s="1497"/>
      <c r="M39" s="1498"/>
      <c r="N39" s="31"/>
      <c r="O39" s="884"/>
      <c r="P39" s="884"/>
      <c r="Q39" s="884"/>
      <c r="R39" s="884"/>
      <c r="S39" s="884"/>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2012-06-13T23:13:59Z</cp:lastPrinted>
  <dcterms:created xsi:type="dcterms:W3CDTF">2005-09-15T20:51:37Z</dcterms:created>
  <dcterms:modified xsi:type="dcterms:W3CDTF">2012-08-03T21:57:33Z</dcterms:modified>
</cp:coreProperties>
</file>