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14235" windowHeight="9090"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K29" i="8"/>
  <c r="J29"/>
  <c r="I29"/>
  <c r="H29"/>
  <c r="G29"/>
  <c r="F29"/>
  <c r="E29"/>
  <c r="D29"/>
  <c r="C29"/>
  <c r="B29"/>
  <c r="BK11" i="36" l="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97"/>
  <c r="B69"/>
  <c r="B68"/>
  <c r="B67"/>
  <c r="B66"/>
  <c r="K99"/>
  <c r="J99"/>
  <c r="I99"/>
  <c r="H99"/>
  <c r="G99"/>
  <c r="F99"/>
  <c r="E99"/>
  <c r="D99"/>
  <c r="C99"/>
  <c r="K98"/>
  <c r="J98"/>
  <c r="I98"/>
  <c r="H98"/>
  <c r="G98"/>
  <c r="F98"/>
  <c r="E98"/>
  <c r="D98"/>
  <c r="C98"/>
  <c r="K97"/>
  <c r="J97"/>
  <c r="I97"/>
  <c r="H97"/>
  <c r="G97"/>
  <c r="F97"/>
  <c r="E97"/>
  <c r="D97"/>
  <c r="C97"/>
  <c r="K96"/>
  <c r="J96"/>
  <c r="I96"/>
  <c r="H96"/>
  <c r="G96"/>
  <c r="F96"/>
  <c r="E96"/>
  <c r="D96"/>
  <c r="C96"/>
  <c r="C66"/>
  <c r="D66"/>
  <c r="E66"/>
  <c r="F66"/>
  <c r="G66"/>
  <c r="H66"/>
  <c r="I66"/>
  <c r="J66"/>
  <c r="C67"/>
  <c r="D67"/>
  <c r="E67"/>
  <c r="F67"/>
  <c r="G67"/>
  <c r="H67"/>
  <c r="I67"/>
  <c r="J67"/>
  <c r="C68"/>
  <c r="D68"/>
  <c r="E68"/>
  <c r="F68"/>
  <c r="G68"/>
  <c r="H68"/>
  <c r="I68"/>
  <c r="J68"/>
  <c r="C69"/>
  <c r="D69"/>
  <c r="E69"/>
  <c r="F69"/>
  <c r="G69"/>
  <c r="H69"/>
  <c r="I69"/>
  <c r="J69"/>
  <c r="K69"/>
  <c r="K68"/>
  <c r="K67"/>
  <c r="K66"/>
  <c r="D36"/>
  <c r="E36"/>
  <c r="F36"/>
  <c r="G36"/>
  <c r="H36"/>
  <c r="I36"/>
  <c r="J36"/>
  <c r="K36"/>
  <c r="D37"/>
  <c r="E37"/>
  <c r="F37"/>
  <c r="G37"/>
  <c r="H37"/>
  <c r="I37"/>
  <c r="J37"/>
  <c r="K37"/>
  <c r="D38"/>
  <c r="E38"/>
  <c r="F38"/>
  <c r="G38"/>
  <c r="H38"/>
  <c r="I38"/>
  <c r="J38"/>
  <c r="K38"/>
  <c r="D39"/>
  <c r="E39"/>
  <c r="F39"/>
  <c r="G39"/>
  <c r="H39"/>
  <c r="I39"/>
  <c r="J39"/>
  <c r="K39"/>
  <c r="C39"/>
  <c r="C38"/>
  <c r="C37"/>
  <c r="B39"/>
  <c r="B38"/>
  <c r="B37"/>
  <c r="B36"/>
  <c r="V37" i="15"/>
  <c r="V129"/>
  <c r="A3" i="6"/>
  <c r="H3" s="1"/>
  <c r="M221" i="11"/>
  <c r="N182"/>
  <c r="N177"/>
  <c r="N146"/>
  <c r="N67"/>
  <c r="P49"/>
  <c r="O49"/>
  <c r="C40" i="8" l="1"/>
  <c r="D40" s="1"/>
  <c r="C70"/>
  <c r="C100"/>
  <c r="P218" i="11"/>
  <c r="O273"/>
  <c r="P273"/>
  <c r="E40" i="8" l="1"/>
  <c r="D100"/>
  <c r="D70"/>
  <c r="M291" i="11"/>
  <c r="M6" s="1"/>
  <c r="L277"/>
  <c r="A265"/>
  <c r="P246"/>
  <c r="O246"/>
  <c r="L233"/>
  <c r="O242" l="1"/>
  <c r="P242"/>
  <c r="E100" i="8"/>
  <c r="E70"/>
  <c r="F40"/>
  <c r="O264" i="11"/>
  <c r="P264"/>
  <c r="L211"/>
  <c r="G40" i="8" l="1"/>
  <c r="F100"/>
  <c r="F7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100" i="8" l="1"/>
  <c r="G70"/>
  <c r="K83"/>
  <c r="H40"/>
  <c r="B23"/>
  <c r="B53"/>
  <c r="D53"/>
  <c r="F53"/>
  <c r="H53"/>
  <c r="J53"/>
  <c r="B83"/>
  <c r="D83"/>
  <c r="F83"/>
  <c r="H83"/>
  <c r="J83"/>
  <c r="C23"/>
  <c r="C53"/>
  <c r="E53"/>
  <c r="G53"/>
  <c r="I53"/>
  <c r="K53"/>
  <c r="C83"/>
  <c r="E83"/>
  <c r="G83"/>
  <c r="I83"/>
  <c r="Q18" i="36"/>
  <c r="Q19"/>
  <c r="Q20"/>
  <c r="Q21"/>
  <c r="Q22"/>
  <c r="Q23"/>
  <c r="Q24"/>
  <c r="Q25"/>
  <c r="Q26"/>
  <c r="Q27"/>
  <c r="Q28"/>
  <c r="Q29"/>
  <c r="Q30"/>
  <c r="Q31"/>
  <c r="Q32"/>
  <c r="Q33"/>
  <c r="Q34"/>
  <c r="Q35"/>
  <c r="Q36"/>
  <c r="Q37"/>
  <c r="Q38"/>
  <c r="Q39"/>
  <c r="Q40"/>
  <c r="Q41"/>
  <c r="Q42"/>
  <c r="Q43"/>
  <c r="Q44"/>
  <c r="Q45"/>
  <c r="Q46"/>
  <c r="Q47"/>
  <c r="J43" i="6"/>
  <c r="F61" i="8"/>
  <c r="H23"/>
  <c r="O41" i="15"/>
  <c r="M17"/>
  <c r="A104" i="11"/>
  <c r="O90"/>
  <c r="O8"/>
  <c r="O132"/>
  <c r="O161"/>
  <c r="O254"/>
  <c r="G109" i="15"/>
  <c r="F108"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Q17" s="1"/>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L182" i="11"/>
  <c r="R163"/>
  <c r="R162"/>
  <c r="L228"/>
  <c r="G133"/>
  <c r="M37" i="3"/>
  <c r="B28" i="8"/>
  <c r="M36" i="3"/>
  <c r="M35"/>
  <c r="M34"/>
  <c r="M33"/>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c r="K20"/>
  <c r="L20" s="1"/>
  <c r="K21"/>
  <c r="L21"/>
  <c r="K22"/>
  <c r="L22" s="1"/>
  <c r="K23"/>
  <c r="L23"/>
  <c r="K24"/>
  <c r="L24" s="1"/>
  <c r="K25"/>
  <c r="L25"/>
  <c r="K26"/>
  <c r="L26" s="1"/>
  <c r="K27"/>
  <c r="L27"/>
  <c r="K28"/>
  <c r="L28" s="1"/>
  <c r="K29"/>
  <c r="L29"/>
  <c r="K30"/>
  <c r="L30" s="1"/>
  <c r="K31"/>
  <c r="L31"/>
  <c r="K32"/>
  <c r="L32" s="1"/>
  <c r="K33"/>
  <c r="L33"/>
  <c r="K34"/>
  <c r="L34" s="1"/>
  <c r="K35"/>
  <c r="L35"/>
  <c r="K36"/>
  <c r="L36" s="1"/>
  <c r="K37"/>
  <c r="L37"/>
  <c r="K38"/>
  <c r="L38" s="1"/>
  <c r="K39"/>
  <c r="L39"/>
  <c r="K40"/>
  <c r="L40" s="1"/>
  <c r="K41"/>
  <c r="L41"/>
  <c r="K42"/>
  <c r="L42" s="1"/>
  <c r="K43"/>
  <c r="L43"/>
  <c r="K44"/>
  <c r="L44" s="1"/>
  <c r="K45"/>
  <c r="L45"/>
  <c r="K46"/>
  <c r="L46" s="1"/>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D91" i="8"/>
  <c r="H31"/>
  <c r="GJ10" i="36"/>
  <c r="GE10"/>
  <c r="FZ10"/>
  <c r="FU10"/>
  <c r="GN10"/>
  <c r="GM10"/>
  <c r="GL10"/>
  <c r="GK10"/>
  <c r="GI10"/>
  <c r="GI48" s="1"/>
  <c r="L87" s="1"/>
  <c r="GH10"/>
  <c r="GG10"/>
  <c r="GG48" s="1"/>
  <c r="J87" s="1"/>
  <c r="GF10"/>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F106" i="15" l="1"/>
  <c r="C109"/>
  <c r="F107"/>
  <c r="D37" i="3"/>
  <c r="B39" i="15"/>
  <c r="F42" s="1"/>
  <c r="AZ48" i="36"/>
  <c r="H64" s="1"/>
  <c r="CT48"/>
  <c r="AO48"/>
  <c r="L59" s="1"/>
  <c r="AK48"/>
  <c r="H59" s="1"/>
  <c r="W48"/>
  <c r="I56" s="1"/>
  <c r="BG48"/>
  <c r="AM48"/>
  <c r="J59" s="1"/>
  <c r="AQ48"/>
  <c r="X48"/>
  <c r="J56" s="1"/>
  <c r="Y48"/>
  <c r="K56" s="1"/>
  <c r="CV48"/>
  <c r="AS48"/>
  <c r="Z48"/>
  <c r="L56" s="1"/>
  <c r="V48"/>
  <c r="H56" s="1"/>
  <c r="CS48"/>
  <c r="AX48"/>
  <c r="K65" s="1"/>
  <c r="FT48"/>
  <c r="L90" s="1"/>
  <c r="GS48"/>
  <c r="AW48"/>
  <c r="J65" s="1"/>
  <c r="BA48"/>
  <c r="I64" s="1"/>
  <c r="BB48"/>
  <c r="J64" s="1"/>
  <c r="BD48"/>
  <c r="L64" s="1"/>
  <c r="AV48"/>
  <c r="I65" s="1"/>
  <c r="FY48"/>
  <c r="L85" s="1"/>
  <c r="FN48"/>
  <c r="K91" s="1"/>
  <c r="FB48"/>
  <c r="I89" s="1"/>
  <c r="K17" i="8"/>
  <c r="H17"/>
  <c r="D17"/>
  <c r="B18"/>
  <c r="J18"/>
  <c r="H18"/>
  <c r="F18"/>
  <c r="D18"/>
  <c r="I86"/>
  <c r="E86"/>
  <c r="K56"/>
  <c r="G56"/>
  <c r="C56"/>
  <c r="I26"/>
  <c r="E26"/>
  <c r="F26"/>
  <c r="H86"/>
  <c r="D86"/>
  <c r="J56"/>
  <c r="F56"/>
  <c r="B56"/>
  <c r="H26"/>
  <c r="D26"/>
  <c r="F86"/>
  <c r="H56"/>
  <c r="K86"/>
  <c r="G86"/>
  <c r="C86"/>
  <c r="I56"/>
  <c r="E56"/>
  <c r="K26"/>
  <c r="G26"/>
  <c r="C26"/>
  <c r="J86"/>
  <c r="B86"/>
  <c r="D56"/>
  <c r="B26"/>
  <c r="J26"/>
  <c r="AU48" i="36"/>
  <c r="H65" s="1"/>
  <c r="AY48"/>
  <c r="L65" s="1"/>
  <c r="BC48"/>
  <c r="K64" s="1"/>
  <c r="K66" s="1"/>
  <c r="AT48"/>
  <c r="AP48"/>
  <c r="I40" i="8"/>
  <c r="FP48" i="36"/>
  <c r="H90" s="1"/>
  <c r="EX48"/>
  <c r="J17" i="8"/>
  <c r="G17"/>
  <c r="C17"/>
  <c r="GF48" i="36"/>
  <c r="I87" s="1"/>
  <c r="CU48"/>
  <c r="HF48"/>
  <c r="BY48"/>
  <c r="H94" s="1"/>
  <c r="AL48"/>
  <c r="I59" s="1"/>
  <c r="AD48"/>
  <c r="K57" s="1"/>
  <c r="AB48"/>
  <c r="I57" s="1"/>
  <c r="L254" i="11"/>
  <c r="H70" i="8"/>
  <c r="I17"/>
  <c r="F17"/>
  <c r="B17"/>
  <c r="K18"/>
  <c r="I18"/>
  <c r="G18"/>
  <c r="E18"/>
  <c r="C18"/>
  <c r="GZ48" i="36"/>
  <c r="HL48"/>
  <c r="I84" i="8"/>
  <c r="E84"/>
  <c r="K54"/>
  <c r="G54"/>
  <c r="C54"/>
  <c r="I24"/>
  <c r="E24"/>
  <c r="J24"/>
  <c r="H84"/>
  <c r="D84"/>
  <c r="J54"/>
  <c r="F54"/>
  <c r="B54"/>
  <c r="H24"/>
  <c r="D24"/>
  <c r="F84"/>
  <c r="D54"/>
  <c r="D63" s="1"/>
  <c r="B24"/>
  <c r="K84"/>
  <c r="G84"/>
  <c r="C84"/>
  <c r="I54"/>
  <c r="E54"/>
  <c r="K24"/>
  <c r="G24"/>
  <c r="C24"/>
  <c r="J84"/>
  <c r="H54"/>
  <c r="F24"/>
  <c r="B84"/>
  <c r="AR48" i="36"/>
  <c r="FW48"/>
  <c r="J85" s="1"/>
  <c r="FH48"/>
  <c r="J92" s="1"/>
  <c r="E17" i="8"/>
  <c r="GH48" i="36"/>
  <c r="K87" s="1"/>
  <c r="CW48"/>
  <c r="GO48"/>
  <c r="K85" i="8"/>
  <c r="G85"/>
  <c r="C85"/>
  <c r="I55"/>
  <c r="E55"/>
  <c r="K25"/>
  <c r="G25"/>
  <c r="C25"/>
  <c r="J55"/>
  <c r="J85"/>
  <c r="F85"/>
  <c r="B85"/>
  <c r="H55"/>
  <c r="D55"/>
  <c r="J25"/>
  <c r="F25"/>
  <c r="B25"/>
  <c r="D85"/>
  <c r="F55"/>
  <c r="H25"/>
  <c r="I85"/>
  <c r="E85"/>
  <c r="K55"/>
  <c r="G55"/>
  <c r="C55"/>
  <c r="I25"/>
  <c r="E25"/>
  <c r="H85"/>
  <c r="B55"/>
  <c r="D25"/>
  <c r="AN48" i="36"/>
  <c r="K59" s="1"/>
  <c r="AE48"/>
  <c r="L57" s="1"/>
  <c r="AC48"/>
  <c r="J57" s="1"/>
  <c r="AA48"/>
  <c r="H57" s="1"/>
  <c r="M123" i="15"/>
  <c r="M140" s="1"/>
  <c r="M142" s="1"/>
  <c r="M144" s="1"/>
  <c r="H100" i="8"/>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K58"/>
  <c r="K60" s="1"/>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F62" i="8"/>
  <c r="D23"/>
  <c r="B61"/>
  <c r="F23"/>
  <c r="J23"/>
  <c r="K92"/>
  <c r="K91"/>
  <c r="E23"/>
  <c r="G23"/>
  <c r="I23"/>
  <c r="K23"/>
  <c r="GN48" i="36"/>
  <c r="L88" s="1"/>
  <c r="GL48"/>
  <c r="J88" s="1"/>
  <c r="GJ48"/>
  <c r="H88" s="1"/>
  <c r="GD48"/>
  <c r="L86" s="1"/>
  <c r="GB48"/>
  <c r="J86" s="1"/>
  <c r="FZ48"/>
  <c r="H86" s="1"/>
  <c r="FX48"/>
  <c r="K85" s="1"/>
  <c r="FV48"/>
  <c r="I85" s="1"/>
  <c r="FO48"/>
  <c r="L91" s="1"/>
  <c r="FM48"/>
  <c r="J91" s="1"/>
  <c r="FI48"/>
  <c r="K92" s="1"/>
  <c r="FG48"/>
  <c r="I92" s="1"/>
  <c r="E33" i="15"/>
  <c r="C28" i="8"/>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CO48"/>
  <c r="I97" s="1"/>
  <c r="CN48"/>
  <c r="H97" s="1"/>
  <c r="CH48"/>
  <c r="L95" s="1"/>
  <c r="CC48"/>
  <c r="L94" s="1"/>
  <c r="CG48"/>
  <c r="K95" s="1"/>
  <c r="CB48"/>
  <c r="K94" s="1"/>
  <c r="CF48"/>
  <c r="J95" s="1"/>
  <c r="CA48"/>
  <c r="J94" s="1"/>
  <c r="CE48"/>
  <c r="I95" s="1"/>
  <c r="BZ48"/>
  <c r="I94" s="1"/>
  <c r="CD48"/>
  <c r="H95" s="1"/>
  <c r="J97"/>
  <c r="B63" i="8" l="1"/>
  <c r="J63"/>
  <c r="B32"/>
  <c r="B33"/>
  <c r="H66" i="36"/>
  <c r="I58"/>
  <c r="J58"/>
  <c r="J60" s="1"/>
  <c r="J62" s="1"/>
  <c r="M56"/>
  <c r="H58"/>
  <c r="H60" s="1"/>
  <c r="H62" s="1"/>
  <c r="I60"/>
  <c r="I62" s="1"/>
  <c r="J66"/>
  <c r="I77"/>
  <c r="L66"/>
  <c r="M90"/>
  <c r="Q90" s="1"/>
  <c r="K70"/>
  <c r="K80"/>
  <c r="K77"/>
  <c r="M59"/>
  <c r="M72"/>
  <c r="Q72" s="1"/>
  <c r="H74"/>
  <c r="M87"/>
  <c r="M57"/>
  <c r="I66"/>
  <c r="M64"/>
  <c r="M89"/>
  <c r="Q89" s="1"/>
  <c r="L58"/>
  <c r="L60" s="1"/>
  <c r="L62" s="1"/>
  <c r="H70"/>
  <c r="M65"/>
  <c r="M79"/>
  <c r="Q79" s="1"/>
  <c r="J70"/>
  <c r="L70"/>
  <c r="M61"/>
  <c r="M99"/>
  <c r="M91"/>
  <c r="Q91" s="1"/>
  <c r="M69"/>
  <c r="Q69" s="1"/>
  <c r="M73"/>
  <c r="Q73" s="1"/>
  <c r="M75"/>
  <c r="Q75" s="1"/>
  <c r="L77"/>
  <c r="F63" i="8"/>
  <c r="H32"/>
  <c r="D92"/>
  <c r="M78" i="36"/>
  <c r="Q78" s="1"/>
  <c r="J80"/>
  <c r="J77"/>
  <c r="D93" i="8"/>
  <c r="I84" i="36"/>
  <c r="F33" i="8"/>
  <c r="D31"/>
  <c r="I80" i="36"/>
  <c r="M76"/>
  <c r="Q76" s="1"/>
  <c r="J282" i="11"/>
  <c r="I70" i="8"/>
  <c r="J40"/>
  <c r="L80" i="36"/>
  <c r="I100" i="8"/>
  <c r="H33"/>
  <c r="I70" i="36"/>
  <c r="B14" i="8"/>
  <c r="H80" i="36"/>
  <c r="K84"/>
  <c r="M68"/>
  <c r="Q68" s="1"/>
  <c r="H77"/>
  <c r="I74"/>
  <c r="H50" i="3"/>
  <c r="I213" i="11"/>
  <c r="M85" i="36"/>
  <c r="J84"/>
  <c r="H84"/>
  <c r="L84"/>
  <c r="M88"/>
  <c r="M86"/>
  <c r="J74"/>
  <c r="L74"/>
  <c r="K74"/>
  <c r="K62"/>
  <c r="D33" i="8"/>
  <c r="B34"/>
  <c r="H92"/>
  <c r="H93"/>
  <c r="H91"/>
  <c r="D32"/>
  <c r="J62"/>
  <c r="J61"/>
  <c r="B62"/>
  <c r="F92"/>
  <c r="F91"/>
  <c r="F93"/>
  <c r="H61"/>
  <c r="H62"/>
  <c r="J32"/>
  <c r="J33"/>
  <c r="J31"/>
  <c r="B31"/>
  <c r="J92"/>
  <c r="J91"/>
  <c r="J93"/>
  <c r="B93"/>
  <c r="B91"/>
  <c r="B92"/>
  <c r="D61"/>
  <c r="D62"/>
  <c r="F32"/>
  <c r="F31"/>
  <c r="H63"/>
  <c r="G92"/>
  <c r="G91"/>
  <c r="C92"/>
  <c r="C91"/>
  <c r="I62"/>
  <c r="I61"/>
  <c r="E62"/>
  <c r="E61"/>
  <c r="K31"/>
  <c r="K32"/>
  <c r="G31"/>
  <c r="G32"/>
  <c r="C31"/>
  <c r="C32"/>
  <c r="I92"/>
  <c r="I91"/>
  <c r="E92"/>
  <c r="E91"/>
  <c r="K61"/>
  <c r="K62"/>
  <c r="G61"/>
  <c r="G62"/>
  <c r="C61"/>
  <c r="C62"/>
  <c r="I32"/>
  <c r="I31"/>
  <c r="E32"/>
  <c r="E31"/>
  <c r="J96" i="36"/>
  <c r="J98" s="1"/>
  <c r="J100" s="1"/>
  <c r="K96"/>
  <c r="K98" s="1"/>
  <c r="K100" s="1"/>
  <c r="L96"/>
  <c r="L98" s="1"/>
  <c r="L100" s="1"/>
  <c r="M97"/>
  <c r="M92"/>
  <c r="Q92" s="1"/>
  <c r="B74" i="8"/>
  <c r="H34"/>
  <c r="D34"/>
  <c r="C64"/>
  <c r="E64"/>
  <c r="G64"/>
  <c r="I64"/>
  <c r="K64"/>
  <c r="C94"/>
  <c r="E94"/>
  <c r="G94"/>
  <c r="I94"/>
  <c r="K94"/>
  <c r="K34"/>
  <c r="K33"/>
  <c r="G34"/>
  <c r="G33"/>
  <c r="C34"/>
  <c r="C33"/>
  <c r="E63"/>
  <c r="I63"/>
  <c r="C93"/>
  <c r="G93"/>
  <c r="K93"/>
  <c r="D28"/>
  <c r="J34"/>
  <c r="F34"/>
  <c r="B64"/>
  <c r="D64"/>
  <c r="F64"/>
  <c r="H64"/>
  <c r="J64"/>
  <c r="B94"/>
  <c r="D94"/>
  <c r="F94"/>
  <c r="H94"/>
  <c r="J94"/>
  <c r="I34"/>
  <c r="I33"/>
  <c r="E34"/>
  <c r="E33"/>
  <c r="C63"/>
  <c r="G63"/>
  <c r="K63"/>
  <c r="E93"/>
  <c r="I93"/>
  <c r="N6" i="36"/>
  <c r="P6"/>
  <c r="M95"/>
  <c r="Q95" s="1"/>
  <c r="H96"/>
  <c r="I96"/>
  <c r="I98" s="1"/>
  <c r="I100" s="1"/>
  <c r="M94"/>
  <c r="Q94" s="1"/>
  <c r="Q12" l="1"/>
  <c r="Q16"/>
  <c r="Q15"/>
  <c r="Q11"/>
  <c r="Q14"/>
  <c r="Q10"/>
  <c r="Q13"/>
  <c r="I214" i="11"/>
  <c r="O201" s="1"/>
  <c r="K221"/>
  <c r="D74" i="8"/>
  <c r="L214" i="11"/>
  <c r="H51" i="7"/>
  <c r="G14" i="8"/>
  <c r="D14"/>
  <c r="J44"/>
  <c r="B44"/>
  <c r="Q56" i="36"/>
  <c r="Q99"/>
  <c r="M80"/>
  <c r="M66"/>
  <c r="Q66" s="1"/>
  <c r="Q59"/>
  <c r="Q65"/>
  <c r="H50" i="7"/>
  <c r="H49" s="1"/>
  <c r="Q57" i="36"/>
  <c r="H52" i="7"/>
  <c r="H14" i="8"/>
  <c r="E74"/>
  <c r="F44"/>
  <c r="H54" i="7"/>
  <c r="I44" i="8"/>
  <c r="K14"/>
  <c r="F74"/>
  <c r="Q64" i="36"/>
  <c r="Q97"/>
  <c r="M60"/>
  <c r="Q61"/>
  <c r="I51" i="7"/>
  <c r="M84" i="36"/>
  <c r="Q84" s="1"/>
  <c r="I50" i="7"/>
  <c r="P52"/>
  <c r="M77" i="36"/>
  <c r="M58"/>
  <c r="Q58" s="1"/>
  <c r="M70"/>
  <c r="Q70" s="1"/>
  <c r="K40" i="8"/>
  <c r="J100"/>
  <c r="J70"/>
  <c r="E44"/>
  <c r="I74"/>
  <c r="C14"/>
  <c r="J74"/>
  <c r="O104" i="36"/>
  <c r="J14" i="8"/>
  <c r="C44"/>
  <c r="K44"/>
  <c r="G74"/>
  <c r="B15"/>
  <c r="K75" s="1"/>
  <c r="E14"/>
  <c r="H44"/>
  <c r="H74"/>
  <c r="P50" i="7"/>
  <c r="F14" i="8"/>
  <c r="G44"/>
  <c r="C74"/>
  <c r="K74"/>
  <c r="I14"/>
  <c r="D44"/>
  <c r="M74" i="36"/>
  <c r="C36" i="8"/>
  <c r="M62" i="36"/>
  <c r="R13" i="24"/>
  <c r="R11"/>
  <c r="D125" i="15" s="1"/>
  <c r="R12" i="24"/>
  <c r="E28" i="8"/>
  <c r="M96" i="36"/>
  <c r="H98"/>
  <c r="O218" i="11" l="1"/>
  <c r="O193" s="1"/>
  <c r="P201"/>
  <c r="P193" s="1"/>
  <c r="F45" i="7"/>
  <c r="Q80" i="36"/>
  <c r="P141" i="7"/>
  <c r="L31" i="11"/>
  <c r="H53" i="7"/>
  <c r="H55" s="1"/>
  <c r="P140"/>
  <c r="F44"/>
  <c r="Q60" i="36"/>
  <c r="L32" i="11"/>
  <c r="Q77" i="36"/>
  <c r="G15" i="8"/>
  <c r="G16" s="1"/>
  <c r="C45"/>
  <c r="C46" s="1"/>
  <c r="E75"/>
  <c r="E76" s="1"/>
  <c r="D45"/>
  <c r="D46" s="1"/>
  <c r="J75"/>
  <c r="J76" s="1"/>
  <c r="E45"/>
  <c r="E46" s="1"/>
  <c r="I75"/>
  <c r="I76" s="1"/>
  <c r="F75"/>
  <c r="F76" s="1"/>
  <c r="K70"/>
  <c r="K15"/>
  <c r="K16" s="1"/>
  <c r="F45"/>
  <c r="F46" s="1"/>
  <c r="J15"/>
  <c r="J16" s="1"/>
  <c r="K45"/>
  <c r="K46" s="1"/>
  <c r="B75"/>
  <c r="K100"/>
  <c r="I15"/>
  <c r="I16" s="1"/>
  <c r="J45"/>
  <c r="J46" s="1"/>
  <c r="D15"/>
  <c r="D16" s="1"/>
  <c r="B45"/>
  <c r="B46" s="1"/>
  <c r="C15"/>
  <c r="C16" s="1"/>
  <c r="D75"/>
  <c r="D76" s="1"/>
  <c r="H15"/>
  <c r="H16" s="1"/>
  <c r="I45"/>
  <c r="I46" s="1"/>
  <c r="G75"/>
  <c r="G76" s="1"/>
  <c r="J177" i="11"/>
  <c r="L177" s="1"/>
  <c r="E93" i="15"/>
  <c r="B16" i="8"/>
  <c r="E15"/>
  <c r="E16" s="1"/>
  <c r="H45"/>
  <c r="H46" s="1"/>
  <c r="H75"/>
  <c r="H76" s="1"/>
  <c r="F15"/>
  <c r="F16" s="1"/>
  <c r="G45"/>
  <c r="G46" s="1"/>
  <c r="C75"/>
  <c r="C76" s="1"/>
  <c r="F42" i="7"/>
  <c r="Q74" i="36"/>
  <c r="K76" i="8"/>
  <c r="K80" s="1"/>
  <c r="J158" i="36"/>
  <c r="J157"/>
  <c r="P71" i="7"/>
  <c r="P69"/>
  <c r="Q62" i="36"/>
  <c r="G125" i="15"/>
  <c r="J159" i="36"/>
  <c r="P67" i="7"/>
  <c r="F115" i="15"/>
  <c r="P160" i="36"/>
  <c r="D38" i="15"/>
  <c r="F28" i="8"/>
  <c r="M98" i="36"/>
  <c r="Q98" s="1"/>
  <c r="H100"/>
  <c r="M100" s="1"/>
  <c r="P49" i="7"/>
  <c r="P51" s="1"/>
  <c r="P53" s="1"/>
  <c r="P58" s="1"/>
  <c r="Q96" i="36"/>
  <c r="O30" i="11" l="1"/>
  <c r="R30" s="1"/>
  <c r="R218"/>
  <c r="B50" i="8"/>
  <c r="J20"/>
  <c r="H50"/>
  <c r="I50"/>
  <c r="J50"/>
  <c r="K20"/>
  <c r="C80"/>
  <c r="G20"/>
  <c r="C20"/>
  <c r="D50"/>
  <c r="F80"/>
  <c r="K50"/>
  <c r="D80"/>
  <c r="J80"/>
  <c r="C50"/>
  <c r="E80"/>
  <c r="I80"/>
  <c r="G80"/>
  <c r="I20"/>
  <c r="E20"/>
  <c r="B76"/>
  <c r="B80" s="1"/>
  <c r="D20"/>
  <c r="G50"/>
  <c r="H20"/>
  <c r="H80"/>
  <c r="B20"/>
  <c r="E50"/>
  <c r="F50"/>
  <c r="F20"/>
  <c r="J145" i="15"/>
  <c r="J146" s="1"/>
  <c r="J148" s="1"/>
  <c r="P30" i="11"/>
  <c r="K5" i="8"/>
  <c r="P145" i="15"/>
  <c r="P146" s="1"/>
  <c r="P148" s="1"/>
  <c r="K6" i="8"/>
  <c r="L30" i="11"/>
  <c r="O291"/>
  <c r="M145" i="15"/>
  <c r="M146" s="1"/>
  <c r="M148" s="1"/>
  <c r="J152"/>
  <c r="M151"/>
  <c r="B21" i="8"/>
  <c r="G28"/>
  <c r="Q100" i="36"/>
  <c r="Q53" s="1"/>
  <c r="D39" i="15"/>
  <c r="M125"/>
  <c r="P147" i="36" l="1"/>
  <c r="K7" i="8"/>
  <c r="P291" i="11"/>
  <c r="P292" s="1"/>
  <c r="J149" i="15"/>
  <c r="O6" i="11"/>
  <c r="O292"/>
  <c r="B81" i="8"/>
  <c r="J81"/>
  <c r="H81"/>
  <c r="F81"/>
  <c r="D81"/>
  <c r="C81"/>
  <c r="K51"/>
  <c r="I51"/>
  <c r="G51"/>
  <c r="E51"/>
  <c r="C51"/>
  <c r="D21"/>
  <c r="F21"/>
  <c r="H21"/>
  <c r="J21"/>
  <c r="K81"/>
  <c r="G81"/>
  <c r="J51"/>
  <c r="F51"/>
  <c r="E21"/>
  <c r="I81"/>
  <c r="E81"/>
  <c r="B51"/>
  <c r="H51"/>
  <c r="D51"/>
  <c r="C21"/>
  <c r="G21"/>
  <c r="I21"/>
  <c r="K21"/>
  <c r="H28"/>
  <c r="P157" i="36" l="1"/>
  <c r="N148"/>
  <c r="N149"/>
  <c r="P6" i="11"/>
  <c r="I28" i="8"/>
  <c r="B19" l="1"/>
  <c r="N157" i="36"/>
  <c r="P165"/>
  <c r="J28" i="8"/>
  <c r="K49" l="1"/>
  <c r="D49"/>
  <c r="D19"/>
  <c r="G49"/>
  <c r="B49"/>
  <c r="G79"/>
  <c r="B79"/>
  <c r="F79"/>
  <c r="I79"/>
  <c r="E79"/>
  <c r="K79"/>
  <c r="I19"/>
  <c r="C19"/>
  <c r="H49"/>
  <c r="H19"/>
  <c r="C49"/>
  <c r="I49"/>
  <c r="C79"/>
  <c r="J19"/>
  <c r="K19"/>
  <c r="E19"/>
  <c r="F49"/>
  <c r="D79"/>
  <c r="J79"/>
  <c r="F19"/>
  <c r="E49"/>
  <c r="G19"/>
  <c r="J49"/>
  <c r="H79"/>
  <c r="B35"/>
  <c r="B22"/>
  <c r="K28"/>
  <c r="J82" l="1"/>
  <c r="J95"/>
  <c r="C65"/>
  <c r="C52"/>
  <c r="I35"/>
  <c r="I22"/>
  <c r="I30" s="1"/>
  <c r="F82"/>
  <c r="F95"/>
  <c r="G52"/>
  <c r="G65"/>
  <c r="E52"/>
  <c r="E65"/>
  <c r="D95"/>
  <c r="D82"/>
  <c r="J22"/>
  <c r="J30" s="1"/>
  <c r="J35"/>
  <c r="H35"/>
  <c r="H22"/>
  <c r="H30" s="1"/>
  <c r="K95"/>
  <c r="K82"/>
  <c r="B82"/>
  <c r="B95"/>
  <c r="D22"/>
  <c r="D30" s="1"/>
  <c r="D35"/>
  <c r="G35"/>
  <c r="G22"/>
  <c r="G30" s="1"/>
  <c r="K35"/>
  <c r="K22"/>
  <c r="K30" s="1"/>
  <c r="H95"/>
  <c r="H82"/>
  <c r="F65"/>
  <c r="F52"/>
  <c r="C95"/>
  <c r="C82"/>
  <c r="H65"/>
  <c r="H52"/>
  <c r="E95"/>
  <c r="E82"/>
  <c r="G82"/>
  <c r="G95"/>
  <c r="D52"/>
  <c r="D65"/>
  <c r="J52"/>
  <c r="J65"/>
  <c r="F35"/>
  <c r="F22"/>
  <c r="F30" s="1"/>
  <c r="E22"/>
  <c r="E30" s="1"/>
  <c r="E35"/>
  <c r="I65"/>
  <c r="I52"/>
  <c r="C22"/>
  <c r="C30" s="1"/>
  <c r="C35"/>
  <c r="I95"/>
  <c r="I82"/>
  <c r="B52"/>
  <c r="B65"/>
  <c r="K52"/>
  <c r="K65"/>
  <c r="B58"/>
  <c r="C58" l="1"/>
  <c r="B60"/>
  <c r="D58" l="1"/>
  <c r="C60"/>
  <c r="E58" l="1"/>
  <c r="D60"/>
  <c r="F58" l="1"/>
  <c r="E60"/>
  <c r="F60" l="1"/>
  <c r="H58" l="1"/>
  <c r="G60"/>
  <c r="I58" l="1"/>
  <c r="H60"/>
  <c r="J58" l="1"/>
  <c r="I60"/>
  <c r="K58" l="1"/>
  <c r="J60"/>
  <c r="B88" l="1"/>
  <c r="K60"/>
  <c r="C88" l="1"/>
  <c r="B90"/>
  <c r="B96" l="1"/>
  <c r="D88"/>
  <c r="C90"/>
  <c r="E88" l="1"/>
  <c r="D90"/>
  <c r="F88" l="1"/>
  <c r="E90"/>
  <c r="G88" l="1"/>
  <c r="F90"/>
  <c r="H88" l="1"/>
  <c r="G90"/>
  <c r="I88" l="1"/>
  <c r="H90"/>
  <c r="J88" l="1"/>
  <c r="I90"/>
  <c r="K88" l="1"/>
  <c r="J90"/>
  <c r="K90" l="1"/>
  <c r="B30"/>
  <c r="B41"/>
  <c r="C41" s="1"/>
  <c r="D41" l="1"/>
  <c r="E41" l="1"/>
  <c r="F41" s="1"/>
  <c r="G41" l="1"/>
  <c r="H41" l="1"/>
  <c r="I41" l="1"/>
  <c r="J41" l="1"/>
  <c r="K41" l="1"/>
  <c r="B71" l="1"/>
  <c r="C71" l="1"/>
  <c r="D71" l="1"/>
  <c r="E71" l="1"/>
  <c r="F71" l="1"/>
  <c r="G71" l="1"/>
  <c r="H71" l="1"/>
  <c r="I71" l="1"/>
  <c r="J71" l="1"/>
  <c r="K71" l="1"/>
  <c r="B101" l="1"/>
  <c r="C101" l="1"/>
  <c r="D101" l="1"/>
  <c r="E101" l="1"/>
  <c r="F101" l="1"/>
  <c r="G101" l="1"/>
  <c r="H101" l="1"/>
  <c r="I101" l="1"/>
  <c r="J101" l="1"/>
  <c r="K101" l="1"/>
  <c r="L25" i="3"/>
  <c r="L27" s="1"/>
  <c r="H40" l="1"/>
  <c r="J40"/>
  <c r="L40"/>
  <c r="H41"/>
  <c r="J41"/>
  <c r="L41"/>
  <c r="O41"/>
  <c r="O42"/>
  <c r="O43"/>
  <c r="H49"/>
  <c r="H51"/>
  <c r="J6" i="7"/>
  <c r="E92" i="15"/>
  <c r="J154"/>
  <c r="J155"/>
  <c r="J157"/>
  <c r="J159"/>
  <c r="J161"/>
  <c r="M163"/>
  <c r="J165"/>
</calcChain>
</file>

<file path=xl/sharedStrings.xml><?xml version="1.0" encoding="utf-8"?>
<sst xmlns="http://schemas.openxmlformats.org/spreadsheetml/2006/main" count="7929" uniqueCount="4110">
  <si>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</si>
  <si>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</si>
  <si>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</si>
  <si>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</si>
  <si>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</si>
  <si>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</si>
  <si>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</si>
  <si>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</si>
  <si>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</si>
  <si>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</si>
  <si>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</si>
  <si>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</si>
  <si>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</si>
  <si>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</si>
  <si>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</si>
  <si>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</si>
  <si>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</si>
  <si>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</si>
  <si>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</si>
  <si>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</si>
  <si>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</si>
  <si>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</si>
  <si>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</si>
  <si>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</si>
  <si>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</si>
  <si>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</si>
  <si>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</si>
  <si>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</si>
  <si>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</si>
  <si>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</si>
  <si>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</si>
  <si>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</si>
  <si>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</si>
  <si>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</si>
  <si>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</si>
  <si>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</si>
  <si>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</si>
  <si>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</si>
  <si>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</si>
  <si>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</si>
  <si>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</si>
  <si>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</si>
  <si>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</si>
  <si>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</si>
  <si>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</si>
  <si>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</si>
  <si>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</si>
  <si>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</si>
  <si>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</si>
  <si>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</si>
  <si>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</si>
  <si>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</si>
  <si>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</si>
  <si>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</si>
  <si>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</si>
  <si>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</si>
  <si>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</si>
  <si>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</si>
  <si>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</si>
  <si>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</si>
  <si>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</si>
  <si>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</si>
  <si>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</si>
  <si>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</si>
  <si>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</si>
  <si>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</si>
  <si>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</si>
  <si>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</si>
  <si>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</si>
  <si>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</si>
  <si>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</si>
  <si>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</si>
  <si>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</si>
  <si>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</si>
  <si>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</si>
  <si>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</si>
  <si>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</si>
  <si>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</si>
  <si>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</si>
  <si>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</si>
  <si>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</si>
  <si>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</si>
  <si>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</si>
  <si>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</si>
  <si>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</si>
  <si>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</si>
  <si>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</si>
  <si>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</si>
  <si>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</si>
  <si>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</si>
  <si>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</si>
  <si>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</si>
  <si>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</si>
  <si>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</si>
  <si>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</si>
  <si>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</si>
  <si>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</si>
  <si>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</si>
  <si>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</si>
  <si>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</si>
  <si>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</si>
  <si>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</si>
  <si>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</si>
  <si>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</si>
  <si>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</si>
  <si>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</si>
  <si>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</si>
  <si>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</si>
  <si>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</si>
  <si>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</si>
  <si>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</si>
  <si>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</si>
  <si>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</si>
  <si>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</si>
  <si>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</si>
  <si>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</si>
  <si>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</si>
  <si>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</si>
  <si>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</si>
  <si>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</si>
  <si>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</si>
  <si>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</si>
  <si>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</si>
  <si>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</si>
  <si>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</si>
  <si>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</si>
  <si>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</si>
  <si>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</si>
  <si>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</si>
  <si>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</si>
  <si>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</si>
  <si>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</si>
  <si>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</si>
  <si>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</si>
  <si>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</si>
  <si>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</si>
  <si>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</si>
  <si>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</si>
  <si>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</si>
  <si>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</si>
  <si>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</si>
  <si>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</si>
  <si>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</si>
  <si>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</si>
  <si>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</si>
  <si>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</si>
  <si>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</si>
  <si>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</si>
  <si>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</si>
  <si>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</si>
  <si>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</si>
  <si>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</si>
  <si>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</si>
  <si>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</si>
  <si>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</si>
  <si>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</si>
  <si>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</si>
  <si>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</si>
  <si>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</si>
  <si>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</si>
  <si>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</si>
  <si>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</si>
  <si>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</si>
  <si>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</si>
  <si>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</si>
  <si>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</si>
  <si>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</si>
  <si>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</si>
  <si>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</si>
  <si>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</si>
  <si>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</si>
  <si>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</si>
  <si>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</si>
  <si>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</si>
  <si>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</si>
  <si>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</si>
  <si>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</si>
  <si>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</si>
  <si>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</si>
  <si>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</si>
  <si>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</si>
  <si>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</si>
  <si>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</si>
  <si>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</si>
  <si>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</si>
  <si>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</si>
  <si>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</si>
  <si>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</si>
  <si>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</si>
  <si>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</si>
  <si>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</si>
  <si>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</si>
  <si>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</si>
  <si>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</si>
  <si>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</si>
  <si>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</si>
  <si>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</si>
  <si>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</si>
  <si>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</si>
  <si>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</si>
  <si>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</si>
  <si>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</si>
  <si>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</si>
  <si>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</si>
  <si>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</si>
  <si>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</si>
  <si>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</si>
  <si>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</si>
  <si>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</si>
  <si>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</si>
  <si>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</si>
  <si>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</si>
  <si>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</si>
  <si>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</si>
  <si>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</si>
  <si>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</si>
  <si>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</si>
  <si>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</si>
  <si>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</si>
  <si>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</si>
  <si>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</si>
  <si>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</si>
  <si>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</si>
  <si>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</si>
  <si>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</si>
  <si>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</si>
  <si>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</si>
  <si>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</si>
  <si>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</si>
  <si>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</si>
  <si>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</si>
  <si>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</si>
  <si>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</si>
  <si>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</si>
  <si>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</si>
  <si>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</si>
  <si>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</si>
  <si>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</si>
  <si>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</si>
  <si>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</si>
  <si>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</si>
  <si>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</si>
  <si>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</si>
  <si>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</si>
  <si>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</si>
  <si>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</si>
  <si>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</si>
  <si>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</si>
  <si>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</si>
  <si>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</si>
  <si>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</si>
  <si>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</si>
  <si>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</si>
  <si>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</si>
  <si>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</si>
  <si>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</si>
  <si>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</si>
  <si>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</si>
  <si>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</si>
  <si>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</si>
  <si>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</si>
  <si>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</si>
  <si>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</si>
  <si>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</si>
  <si>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</si>
  <si>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</si>
  <si>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</si>
  <si>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</si>
  <si>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</si>
  <si>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</si>
  <si>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</si>
  <si>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</si>
  <si>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</si>
  <si>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</si>
  <si>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</si>
  <si>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</si>
  <si>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</si>
  <si>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</si>
  <si>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</si>
  <si>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</si>
  <si>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</si>
  <si>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</si>
  <si>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</si>
  <si>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</si>
  <si>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</si>
  <si>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</si>
  <si>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</si>
  <si>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</si>
  <si>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</si>
  <si>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</si>
  <si>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</si>
  <si>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</si>
  <si>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</si>
  <si>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</si>
  <si>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</si>
  <si>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</si>
  <si>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</si>
  <si>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</si>
  <si>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</si>
  <si>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</si>
  <si>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</si>
  <si>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</si>
  <si>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</si>
  <si>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</si>
  <si>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</si>
  <si>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</si>
  <si>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</si>
  <si>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</si>
  <si>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</si>
  <si>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</si>
  <si>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</si>
  <si>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</si>
  <si>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</si>
  <si>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</si>
  <si>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</si>
  <si>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</si>
  <si>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</si>
  <si>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</si>
  <si>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</si>
  <si>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</si>
  <si>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</si>
  <si>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</si>
  <si>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</si>
  <si>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</si>
  <si>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</si>
  <si>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</si>
  <si>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</si>
  <si>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</si>
  <si>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</si>
  <si>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</si>
  <si>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</si>
  <si>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</si>
  <si>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</si>
  <si>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</si>
  <si>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</si>
  <si>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</si>
  <si>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</si>
  <si>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</si>
  <si>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</si>
  <si>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</si>
  <si>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</si>
  <si>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</si>
  <si>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</si>
  <si>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</si>
  <si>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</si>
  <si>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</si>
  <si>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</si>
  <si>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</si>
  <si>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</si>
  <si>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</si>
  <si>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</si>
  <si>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</si>
  <si>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</si>
  <si>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</si>
  <si>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</si>
  <si>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</si>
  <si>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</si>
  <si>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</si>
  <si>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</si>
  <si>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</si>
  <si>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</si>
  <si>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</si>
  <si>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</si>
  <si>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</si>
  <si>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</si>
  <si>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</si>
  <si>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</si>
  <si>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</si>
  <si>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</si>
  <si>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</si>
  <si>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</si>
  <si>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</si>
  <si>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</si>
  <si>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</si>
  <si>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</si>
  <si>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</si>
  <si>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</si>
  <si>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</si>
  <si>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</si>
  <si>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</si>
  <si>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</si>
  <si>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</si>
  <si>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</si>
  <si>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</si>
  <si>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</si>
  <si>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</si>
  <si>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</si>
  <si>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</si>
  <si>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</si>
  <si>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</si>
  <si>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</si>
  <si>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</si>
  <si>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</si>
  <si>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</si>
  <si>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</si>
  <si>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</si>
  <si>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</si>
  <si>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</si>
  <si>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</si>
  <si>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</si>
  <si>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</si>
  <si>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</si>
  <si>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</si>
  <si>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</si>
  <si>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</si>
  <si>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</si>
  <si>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</si>
  <si>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</si>
  <si>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</si>
  <si>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</si>
  <si>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</si>
  <si>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</si>
  <si>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</si>
  <si>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</si>
  <si>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</si>
  <si>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</si>
  <si>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</si>
  <si>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</si>
  <si>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</si>
  <si>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</si>
  <si>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</si>
  <si>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</si>
  <si>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</si>
  <si>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</si>
  <si>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</si>
  <si>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</si>
  <si>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</si>
  <si>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</si>
  <si>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</si>
  <si>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</si>
  <si>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</si>
  <si>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</si>
  <si>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</si>
  <si>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</si>
  <si>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</si>
  <si>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</si>
  <si>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</si>
  <si>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</si>
  <si>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</si>
  <si>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</si>
  <si>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</si>
  <si>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</si>
  <si>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</si>
  <si>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</si>
  <si>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</si>
  <si>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</si>
  <si>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</si>
  <si>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</si>
  <si>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</si>
  <si>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</si>
  <si>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</si>
  <si>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</si>
  <si>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</si>
  <si>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</si>
  <si>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</si>
  <si>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</si>
  <si>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</si>
  <si>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</si>
  <si>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</si>
  <si>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</si>
  <si>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</si>
  <si>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</si>
  <si>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</si>
  <si>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</si>
  <si>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</si>
  <si>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</si>
  <si>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</si>
  <si>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</si>
  <si>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</si>
  <si>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</si>
  <si>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</si>
  <si>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</si>
  <si>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</si>
  <si>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</si>
  <si>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</si>
  <si>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</si>
  <si>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</si>
  <si>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</si>
  <si>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</si>
  <si>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</si>
  <si>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</si>
  <si>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</si>
  <si>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</si>
  <si>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</si>
  <si>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</si>
  <si>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</si>
  <si>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</si>
  <si>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</si>
  <si>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</si>
  <si>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</si>
  <si>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</si>
  <si>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</si>
  <si>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</si>
  <si>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</si>
  <si>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</si>
  <si>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</si>
  <si>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</si>
  <si>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</si>
  <si>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</si>
  <si>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</si>
  <si>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</si>
  <si>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</si>
  <si>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</si>
  <si>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</si>
  <si>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</si>
  <si>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</si>
  <si>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</si>
  <si>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</si>
  <si>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</si>
  <si>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</si>
  <si>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</si>
  <si>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</si>
  <si>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</si>
  <si>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</si>
  <si>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</si>
  <si>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</si>
  <si>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</si>
  <si>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</si>
  <si>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</si>
  <si>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</si>
  <si>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</si>
  <si>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</si>
  <si>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</si>
  <si>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</si>
  <si>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</si>
  <si>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</si>
  <si>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</si>
  <si>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</si>
  <si>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</si>
  <si>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</si>
  <si>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</si>
  <si>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</si>
  <si>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</si>
  <si>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</si>
  <si>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</si>
  <si>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</si>
  <si>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</si>
  <si>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</si>
  <si>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</si>
  <si>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</si>
  <si>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</si>
  <si>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</si>
  <si>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</si>
  <si>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</si>
  <si>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</si>
  <si>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</si>
  <si>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</si>
  <si>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</si>
  <si>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</si>
  <si>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</si>
  <si>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</si>
  <si>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</si>
  <si>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</si>
  <si>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</si>
  <si>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</si>
  <si>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</si>
  <si>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</si>
  <si>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</si>
  <si>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</si>
  <si>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</si>
  <si>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</si>
  <si>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</si>
  <si>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</si>
  <si>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</si>
  <si>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</si>
  <si>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</si>
  <si>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</si>
  <si>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</si>
  <si>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</si>
  <si>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</si>
  <si>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</si>
  <si>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</si>
  <si>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</si>
  <si>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</si>
  <si>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</si>
  <si>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</si>
  <si>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</si>
  <si>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</si>
  <si>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</si>
  <si>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</si>
  <si>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</si>
  <si>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</si>
  <si>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</si>
  <si>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</si>
  <si>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</si>
  <si>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</si>
  <si>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</si>
  <si>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</si>
  <si>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</si>
  <si>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</si>
  <si>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</si>
  <si>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</si>
  <si>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</si>
  <si>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</si>
  <si>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</si>
  <si>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</si>
  <si>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</si>
  <si>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</si>
  <si>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</si>
  <si>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</si>
  <si>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</si>
  <si>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</si>
  <si>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</si>
  <si>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</si>
  <si>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</si>
  <si>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</si>
  <si>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</si>
  <si>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</si>
  <si>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</si>
  <si>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</si>
  <si>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</si>
  <si>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</si>
  <si>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</si>
  <si>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</si>
  <si>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</si>
  <si>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</si>
  <si>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</si>
  <si>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</si>
  <si>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</si>
  <si>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</si>
  <si>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</si>
  <si>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</si>
  <si>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</si>
  <si>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</si>
  <si>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</si>
  <si>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</si>
  <si>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</si>
  <si>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</si>
  <si>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</si>
  <si>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</si>
  <si>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</si>
  <si>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</si>
  <si>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</si>
  <si>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</si>
  <si>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</si>
  <si>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</si>
  <si>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</si>
  <si>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</si>
  <si>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</si>
  <si>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</si>
  <si>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</si>
  <si>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</si>
  <si>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</si>
  <si>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</si>
  <si>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</si>
  <si>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</si>
  <si>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</si>
  <si>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</si>
  <si>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</si>
  <si>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</si>
  <si>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</si>
  <si>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</si>
  <si>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</si>
  <si>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</si>
  <si>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</si>
  <si>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</si>
  <si>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</si>
  <si>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</si>
  <si>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</si>
  <si>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</si>
  <si>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</si>
  <si>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</si>
  <si>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</si>
  <si>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</si>
  <si>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</si>
  <si>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</si>
  <si>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</si>
  <si>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</si>
  <si>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</si>
  <si>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</si>
  <si>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</si>
  <si>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</si>
  <si>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</si>
  <si>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</si>
  <si>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</si>
  <si>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</si>
  <si>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</si>
  <si>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</si>
  <si>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</si>
  <si>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</si>
  <si>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</si>
  <si>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</si>
  <si>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</si>
  <si>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</si>
  <si>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</si>
  <si>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</si>
  <si>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</si>
  <si>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</si>
  <si>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</si>
  <si>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</si>
  <si>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</si>
  <si>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</si>
  <si>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</si>
  <si>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</si>
  <si>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</si>
  <si>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</si>
  <si>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</si>
  <si>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</si>
  <si>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</si>
  <si>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</si>
  <si>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</si>
  <si>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</si>
  <si>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</si>
  <si>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</si>
  <si>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</si>
  <si>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</si>
  <si>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</si>
  <si>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</si>
  <si>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</si>
  <si>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</si>
  <si>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</si>
  <si>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</si>
  <si>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</si>
  <si>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</si>
  <si>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</si>
  <si>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</si>
  <si>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</si>
  <si>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</si>
  <si>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</si>
  <si>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</si>
  <si>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</si>
  <si>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</si>
  <si>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</si>
  <si>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</si>
  <si>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</si>
  <si>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</si>
  <si>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</si>
  <si>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</si>
  <si>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</si>
  <si>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</si>
  <si>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</si>
  <si>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</si>
  <si>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</si>
  <si>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</si>
  <si>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</si>
  <si>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</si>
  <si>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</si>
  <si>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</si>
  <si>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</si>
  <si>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</si>
  <si>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</si>
  <si>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</si>
  <si>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</si>
  <si>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</si>
  <si>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</si>
  <si>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</si>
  <si>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</si>
  <si>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</si>
  <si>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</si>
  <si>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</si>
  <si>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</si>
  <si>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</si>
  <si>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</si>
  <si>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</si>
  <si>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</si>
  <si>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</si>
  <si>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</si>
  <si>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</si>
  <si>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</si>
  <si>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</si>
  <si>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</si>
  <si>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</si>
  <si>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</si>
  <si>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</si>
  <si>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</si>
  <si>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</si>
  <si>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</si>
  <si>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</si>
  <si>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</si>
  <si>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</si>
  <si>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</si>
  <si>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</si>
  <si>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</si>
  <si>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</si>
  <si>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</si>
  <si>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</si>
  <si>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</si>
  <si>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</si>
  <si>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</si>
  <si>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</si>
  <si>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</si>
  <si>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</si>
  <si>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</si>
  <si>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</si>
  <si>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</si>
  <si>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</si>
  <si>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</si>
  <si>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</si>
  <si>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</si>
  <si>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</si>
  <si>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</si>
  <si>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</si>
  <si>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</si>
  <si>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</si>
  <si>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</si>
  <si>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</si>
  <si>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</si>
  <si>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</si>
  <si>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</si>
  <si>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</si>
  <si>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</si>
  <si>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</si>
  <si>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</si>
  <si>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</si>
  <si>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</si>
  <si>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</si>
  <si>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</si>
  <si>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</si>
  <si>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</si>
  <si>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</si>
  <si>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</si>
  <si>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</si>
  <si>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</si>
  <si>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</si>
  <si>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</si>
  <si>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</si>
  <si>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</si>
  <si>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</si>
  <si>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</si>
  <si>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</si>
  <si>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</si>
  <si>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</si>
  <si>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</si>
  <si>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</si>
  <si>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</si>
  <si>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</si>
  <si>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</si>
  <si>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</si>
  <si>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</si>
  <si>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</si>
  <si>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</si>
  <si>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</si>
  <si>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</si>
  <si>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</si>
  <si>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</si>
  <si>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</si>
  <si>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</si>
  <si>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</si>
  <si>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</si>
  <si>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</si>
  <si>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</si>
  <si>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</si>
  <si>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</si>
  <si>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</si>
  <si>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</si>
  <si>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</si>
  <si>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</si>
  <si>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</si>
  <si>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</si>
  <si>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</si>
  <si>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</si>
  <si>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</si>
  <si>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</si>
  <si>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</si>
  <si>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</si>
  <si>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</si>
  <si>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</si>
  <si>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</si>
  <si>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</si>
  <si>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</si>
  <si>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</si>
  <si>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</si>
  <si>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</si>
  <si>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</si>
  <si>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</si>
  <si>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</si>
  <si>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</si>
  <si>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</si>
  <si>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</si>
  <si>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</si>
  <si>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</si>
  <si>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</si>
  <si>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</si>
  <si>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</si>
  <si>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</si>
  <si>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</si>
  <si>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</si>
  <si>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</si>
  <si>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</si>
  <si>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</si>
  <si>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</si>
  <si>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</si>
  <si>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</si>
  <si>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</si>
  <si>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</si>
  <si>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</si>
  <si>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</si>
  <si>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</si>
  <si>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</si>
  <si>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</si>
  <si>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</si>
  <si>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</si>
  <si>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</si>
  <si>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</si>
  <si>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</si>
  <si>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</si>
  <si>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</si>
  <si>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</si>
  <si>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</si>
  <si>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</si>
  <si>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</si>
  <si>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</si>
  <si>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</si>
  <si>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</si>
  <si>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</si>
  <si>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</si>
  <si>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</si>
  <si>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</si>
  <si>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</si>
  <si>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</si>
  <si>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</si>
  <si>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</si>
  <si>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</si>
  <si>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</si>
  <si>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</si>
  <si>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</si>
  <si>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</si>
  <si>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</si>
  <si>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</si>
  <si>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</si>
  <si>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</si>
  <si>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</si>
  <si>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</si>
  <si>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</si>
  <si>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</si>
  <si>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</si>
  <si>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</si>
  <si>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</si>
  <si>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</si>
  <si>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</si>
  <si>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</si>
  <si>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</si>
  <si>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</si>
  <si>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</si>
  <si>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</si>
  <si>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</si>
  <si>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</si>
  <si>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</si>
  <si>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</si>
  <si>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</si>
  <si>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</si>
  <si>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</si>
  <si>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</si>
  <si>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</si>
  <si>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</si>
  <si>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</si>
  <si>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</si>
  <si>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</si>
  <si>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</si>
  <si>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</si>
  <si>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</si>
  <si>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</si>
  <si>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</si>
  <si>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</si>
  <si>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</si>
  <si>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</si>
  <si>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</si>
  <si>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</si>
  <si>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</si>
  <si>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</si>
  <si>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</si>
  <si>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</si>
  <si>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</si>
  <si>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</si>
  <si>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</si>
  <si>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</si>
  <si>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</si>
  <si>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</si>
  <si>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</si>
  <si>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</si>
  <si>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</si>
  <si>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</si>
  <si>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</si>
  <si>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</si>
  <si>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</si>
  <si>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</si>
  <si>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</si>
  <si>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</si>
  <si>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</si>
  <si>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</si>
  <si>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</si>
  <si>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</si>
  <si>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</si>
  <si>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</si>
  <si>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</si>
  <si>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</si>
  <si>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</si>
  <si>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</si>
  <si>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</si>
  <si>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</si>
  <si>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</si>
  <si>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</si>
  <si>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</si>
  <si>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</si>
  <si>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</si>
  <si>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</si>
  <si>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</si>
  <si>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</si>
  <si>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</si>
  <si>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</si>
  <si>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</si>
  <si>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</si>
  <si>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</si>
  <si>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</si>
  <si>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</si>
  <si>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</si>
  <si>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</si>
  <si>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</si>
  <si>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</si>
  <si>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</si>
  <si>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</si>
  <si>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</si>
  <si>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</si>
  <si>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</si>
  <si>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</si>
  <si>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</si>
  <si>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</si>
  <si>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</si>
  <si>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</si>
  <si>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</si>
  <si>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</si>
  <si>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</si>
  <si>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</si>
  <si>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</si>
  <si>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</si>
  <si>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</si>
  <si>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</si>
  <si>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</si>
  <si>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</si>
  <si>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</si>
  <si>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</si>
  <si>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</si>
  <si>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</si>
  <si>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</si>
  <si>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</si>
  <si>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</si>
  <si>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</si>
  <si>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</si>
  <si>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</si>
  <si>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</si>
  <si>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</si>
  <si>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</si>
  <si>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</si>
  <si>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</si>
  <si>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</si>
  <si>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</si>
  <si>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</si>
  <si>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</si>
  <si>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</si>
  <si>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</si>
  <si>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</si>
  <si>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</si>
  <si>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</si>
  <si>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</si>
  <si>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</si>
  <si>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</si>
  <si>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</si>
  <si>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</si>
  <si>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</si>
  <si>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</si>
  <si>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</si>
  <si>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</si>
  <si>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</si>
  <si>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</si>
  <si>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</si>
  <si>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</si>
  <si>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</si>
  <si>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</si>
  <si>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</si>
  <si>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</si>
  <si>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</si>
  <si>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</si>
  <si>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</si>
  <si>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</si>
  <si>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</si>
  <si>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</si>
  <si>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</si>
  <si>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</si>
  <si>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</si>
  <si>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</si>
  <si>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</si>
  <si>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</si>
  <si>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</si>
  <si>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</si>
  <si>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</si>
  <si>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</si>
  <si>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</si>
  <si>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</si>
  <si>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</si>
  <si>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</si>
  <si>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</si>
  <si>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</si>
  <si>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</si>
  <si>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</si>
  <si>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</si>
  <si>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</si>
  <si>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</si>
  <si>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</si>
  <si>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</si>
  <si>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</si>
  <si>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</si>
  <si>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</si>
  <si>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</si>
  <si>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</si>
  <si>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</si>
  <si>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</si>
  <si>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</si>
  <si>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</si>
  <si>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</si>
  <si>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</si>
  <si>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</si>
  <si>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</si>
  <si>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</si>
  <si>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</si>
  <si>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</si>
  <si>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</si>
  <si>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</si>
  <si>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</si>
  <si>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</si>
  <si>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</si>
  <si>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</si>
  <si>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</si>
  <si>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</si>
  <si>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</si>
  <si>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</si>
  <si>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</si>
  <si>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</si>
  <si>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</si>
  <si>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</si>
  <si>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</si>
  <si>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</si>
  <si>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</si>
  <si>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</si>
  <si>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</si>
  <si>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</si>
  <si>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</si>
  <si>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</si>
  <si>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</si>
  <si>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</si>
  <si>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</si>
  <si>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</si>
  <si>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</si>
  <si>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</si>
  <si>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</si>
  <si>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</si>
  <si>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</si>
  <si>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</si>
  <si>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</si>
  <si>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</si>
  <si>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</si>
  <si>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</si>
  <si>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</si>
  <si>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</si>
  <si>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</si>
  <si>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</si>
  <si>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</si>
  <si>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</si>
  <si>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</si>
  <si>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</si>
  <si>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</si>
  <si>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</si>
  <si>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</si>
  <si>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</si>
  <si>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</si>
  <si>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</si>
  <si>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</si>
  <si>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</si>
  <si>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</si>
  <si>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</si>
  <si>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</si>
  <si>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</si>
  <si>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</si>
  <si>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</si>
  <si>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</si>
  <si>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</si>
  <si>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</si>
  <si>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</si>
  <si>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</si>
  <si>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</si>
  <si>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</si>
  <si>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</si>
  <si>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</si>
  <si>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</si>
  <si>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</si>
  <si>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</si>
  <si>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</si>
  <si>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</si>
  <si>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</si>
  <si>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</si>
  <si>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</si>
  <si>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</si>
  <si>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</si>
  <si>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</si>
  <si>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</si>
  <si>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</si>
  <si>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</si>
  <si>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</si>
  <si>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</si>
  <si>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</si>
  <si>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</si>
  <si>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</si>
  <si>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</si>
  <si>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</si>
  <si>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</si>
  <si>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</si>
  <si>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</si>
  <si>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</si>
  <si>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</si>
  <si>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</si>
  <si>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</si>
  <si>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</si>
  <si>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</si>
  <si>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</si>
  <si>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</si>
  <si>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</si>
  <si>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</si>
  <si>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</si>
  <si>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</si>
  <si>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</si>
  <si>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</si>
  <si>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</si>
  <si>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</si>
  <si>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</si>
  <si>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</si>
  <si>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</si>
  <si>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</si>
  <si>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</si>
  <si>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</si>
  <si>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</si>
  <si>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</si>
  <si>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</si>
  <si>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</si>
  <si>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</si>
  <si>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</si>
  <si>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</si>
  <si>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</si>
  <si>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</si>
  <si>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</si>
  <si>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</si>
  <si>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</si>
  <si>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</si>
  <si>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</si>
  <si>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</si>
  <si>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</si>
  <si>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</si>
  <si>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</si>
  <si>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</si>
  <si>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</si>
  <si>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</si>
  <si>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</si>
  <si>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</si>
  <si>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</si>
  <si>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</si>
  <si>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</si>
  <si>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</si>
  <si>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</si>
  <si>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</si>
  <si>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</si>
  <si>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</si>
  <si>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</si>
  <si>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</si>
  <si>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</si>
  <si>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</si>
  <si>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</si>
  <si>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</si>
  <si>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</si>
  <si>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</si>
  <si>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</si>
  <si>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</si>
  <si>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</si>
  <si>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</si>
  <si>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</si>
  <si>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</si>
  <si>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</si>
  <si>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</si>
  <si>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</si>
  <si>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</si>
  <si>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</si>
  <si>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</si>
  <si>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</si>
  <si>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</si>
  <si>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</si>
  <si>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</si>
  <si>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</si>
  <si>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</si>
  <si>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</si>
  <si>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</si>
  <si>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</si>
  <si>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</si>
  <si>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</si>
  <si>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</si>
  <si>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</si>
  <si>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</si>
  <si>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</si>
  <si>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</si>
  <si>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</si>
  <si>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</si>
  <si>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</si>
  <si>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</si>
  <si>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</si>
  <si>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</si>
  <si>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</si>
  <si>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</si>
  <si>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</si>
  <si>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</si>
  <si>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</si>
  <si>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</si>
  <si>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</si>
  <si>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</si>
  <si>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</si>
  <si>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</si>
  <si>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</si>
  <si>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</si>
  <si>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</si>
  <si>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</si>
  <si>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</si>
  <si>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</si>
  <si>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</si>
  <si>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</si>
  <si>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</si>
  <si>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</si>
  <si>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</si>
  <si>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</si>
  <si>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</si>
  <si>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</si>
  <si>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</si>
  <si>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</si>
  <si>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</si>
  <si>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</si>
  <si>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</si>
  <si>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</si>
  <si>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</si>
  <si>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</si>
  <si>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</si>
  <si>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</si>
  <si>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</si>
  <si>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</si>
  <si>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</si>
  <si>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</si>
  <si>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</si>
  <si>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</si>
  <si>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</si>
  <si>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</si>
  <si>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</si>
  <si>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</si>
  <si>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</si>
  <si>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</si>
  <si>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</si>
  <si>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</si>
  <si>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</si>
  <si>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</si>
  <si>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</si>
  <si>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</si>
  <si>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</si>
  <si>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</si>
  <si>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</si>
  <si>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</si>
  <si>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</si>
  <si>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</si>
  <si>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</si>
  <si>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</si>
  <si>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</si>
  <si>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</si>
  <si>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</si>
  <si>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</si>
  <si>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</si>
  <si>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</si>
  <si>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</si>
  <si>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</si>
  <si>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</si>
  <si>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</si>
  <si>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</si>
  <si>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</si>
  <si>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</si>
  <si>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</si>
  <si>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</si>
  <si>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</si>
  <si>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</si>
  <si>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</si>
  <si>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</si>
  <si>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</si>
  <si>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</si>
  <si>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</si>
  <si>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</si>
  <si>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</si>
  <si>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</si>
  <si>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</si>
  <si>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</si>
  <si>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</si>
  <si>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</si>
  <si>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</si>
  <si>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</si>
  <si>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</si>
  <si>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</si>
  <si>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</si>
  <si>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</si>
  <si>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</si>
  <si>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</si>
  <si>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</si>
  <si>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</si>
  <si>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</si>
  <si>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</si>
  <si>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</si>
  <si>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</si>
  <si>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</si>
  <si>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</si>
  <si>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</si>
  <si>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</si>
  <si>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</si>
  <si>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</si>
  <si>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</si>
  <si>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</si>
  <si>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</si>
  <si>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</si>
  <si>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</si>
  <si>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</si>
  <si>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</si>
  <si>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</si>
  <si>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</si>
  <si>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</si>
  <si>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</si>
  <si>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</si>
  <si>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</si>
  <si>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</si>
  <si>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</si>
  <si>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</si>
  <si>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</si>
  <si>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</si>
  <si>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</si>
  <si>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</si>
  <si>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</si>
  <si>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</si>
  <si>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</si>
  <si>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</si>
  <si>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</si>
  <si>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</si>
  <si>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</si>
  <si>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</si>
  <si>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</si>
  <si>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</si>
  <si>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</si>
  <si>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</si>
  <si>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</si>
  <si>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</si>
  <si>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</si>
  <si>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</si>
  <si>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</si>
  <si>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</si>
  <si>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</si>
  <si>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</si>
  <si>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</si>
  <si>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</si>
  <si>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</si>
  <si>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</si>
  <si>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</si>
  <si>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</si>
  <si>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</si>
  <si>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</si>
  <si>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</si>
  <si>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</si>
  <si>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</si>
  <si>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</si>
  <si>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</si>
  <si>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</si>
  <si>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</si>
  <si>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</si>
  <si>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</si>
  <si>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</si>
  <si>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</si>
  <si>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</si>
  <si>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</si>
  <si>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</si>
  <si>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</si>
  <si>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</si>
  <si>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</si>
  <si>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</si>
  <si>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</si>
  <si>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</si>
  <si>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</si>
  <si>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</si>
  <si>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</si>
  <si>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</si>
  <si>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</si>
  <si>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</si>
  <si>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</si>
  <si>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</si>
  <si>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</si>
  <si>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</si>
  <si>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</si>
  <si>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</si>
  <si>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</si>
  <si>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</si>
  <si>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</si>
  <si>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</si>
  <si>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</si>
  <si>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</si>
  <si>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</si>
  <si>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</si>
  <si>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</si>
  <si>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</si>
  <si>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</si>
  <si>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</si>
  <si>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</si>
  <si>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</si>
  <si>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</si>
  <si>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</si>
  <si>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</si>
  <si>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</si>
  <si>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</si>
  <si>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</si>
  <si>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</si>
  <si>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</si>
  <si>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</si>
  <si>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</si>
  <si>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</si>
  <si>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</si>
  <si>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</si>
  <si>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</si>
  <si>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</si>
  <si>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</si>
  <si>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</si>
  <si>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</si>
  <si>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</si>
  <si>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</si>
  <si>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</si>
  <si>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</si>
  <si>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</si>
  <si>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</si>
  <si>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</si>
  <si>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</si>
  <si>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</si>
  <si>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</si>
  <si>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</si>
  <si>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</si>
  <si>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</si>
  <si>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</si>
  <si>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</si>
  <si>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</si>
  <si>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</si>
  <si>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</si>
  <si>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</si>
  <si>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</si>
  <si>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</si>
  <si>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</si>
  <si>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</si>
  <si>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</si>
  <si>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</si>
  <si>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</si>
  <si>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</si>
  <si>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</si>
  <si>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</si>
  <si>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</si>
  <si>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</si>
  <si>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</si>
  <si>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</si>
  <si>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</si>
  <si>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</si>
  <si>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</si>
  <si>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</si>
  <si>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</si>
  <si>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</si>
  <si>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</si>
  <si>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</si>
  <si>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</si>
  <si>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</si>
  <si>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</si>
  <si>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</si>
  <si>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</si>
  <si>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</si>
  <si>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</si>
  <si>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</si>
  <si>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</si>
  <si>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</si>
  <si>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</si>
  <si>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</si>
  <si>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</si>
  <si>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</si>
  <si>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</si>
  <si>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</si>
  <si>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</si>
  <si>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</si>
  <si>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</si>
  <si>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</si>
  <si>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</si>
  <si>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</si>
  <si>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</si>
  <si>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</si>
  <si>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</si>
  <si>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</si>
  <si>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</si>
  <si>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</si>
  <si>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</si>
  <si>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</si>
  <si>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</si>
  <si>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</si>
  <si>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</si>
  <si>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</si>
  <si>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</si>
  <si>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</si>
  <si>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</si>
  <si>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</si>
  <si>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</si>
  <si>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</si>
  <si>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</si>
  <si>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</si>
  <si>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</si>
  <si>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</si>
  <si>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</si>
  <si>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</si>
  <si>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</si>
  <si>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</si>
  <si>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</si>
  <si>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</si>
  <si>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</si>
  <si>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</si>
  <si>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</si>
  <si>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</si>
  <si>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</si>
  <si>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</si>
  <si>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</si>
  <si>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</si>
  <si>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</si>
  <si>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</si>
  <si>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</si>
  <si>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</si>
  <si>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</si>
  <si>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</si>
  <si>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</si>
  <si>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</si>
  <si>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</si>
  <si>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</si>
  <si>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</si>
  <si>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</si>
  <si>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</si>
  <si>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</si>
  <si>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</si>
  <si>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</si>
  <si>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</si>
  <si>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</si>
  <si>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</si>
  <si>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</si>
  <si>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</si>
  <si>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</si>
  <si>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</si>
  <si>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</si>
  <si>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</si>
  <si>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</si>
  <si>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</si>
  <si>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</si>
  <si>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</si>
  <si>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</si>
  <si>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</si>
  <si>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</si>
  <si>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</si>
  <si>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</si>
  <si>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</si>
  <si>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</si>
  <si>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</si>
  <si>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</si>
  <si>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</si>
  <si>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</si>
  <si>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</si>
  <si>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</si>
  <si>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</si>
  <si>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</si>
  <si>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</si>
  <si>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</si>
  <si>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</si>
  <si>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</si>
  <si>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</si>
  <si>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</si>
  <si>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</si>
  <si>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</si>
  <si>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</si>
  <si>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</si>
  <si>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</si>
  <si>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</si>
  <si>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</si>
  <si>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</si>
  <si>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</si>
  <si>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</si>
  <si>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</si>
  <si>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</si>
  <si>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</si>
  <si>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</si>
  <si>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</si>
  <si>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</si>
  <si>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</si>
  <si>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</si>
  <si>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</si>
  <si>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</si>
  <si>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</si>
  <si>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</si>
  <si>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</si>
  <si>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</si>
  <si>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</si>
  <si>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</si>
  <si>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</si>
  <si>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</si>
  <si>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</si>
  <si>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</si>
  <si>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</si>
  <si>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</si>
  <si>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</si>
  <si>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</si>
  <si>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</si>
  <si>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</si>
  <si>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</si>
  <si>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</si>
  <si>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</si>
  <si>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</si>
  <si>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</si>
  <si>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</si>
  <si>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</si>
  <si>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</si>
  <si>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</si>
  <si>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</si>
  <si>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</si>
  <si>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</si>
  <si>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</si>
  <si>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</si>
  <si>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</si>
  <si>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</si>
  <si>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</si>
  <si>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</si>
  <si>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</si>
  <si>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</si>
  <si>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</si>
  <si>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</si>
  <si>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</si>
  <si>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</si>
  <si>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</si>
  <si>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</si>
  <si>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</si>
  <si>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</si>
  <si>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</si>
  <si>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</si>
  <si>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</si>
  <si>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</si>
  <si>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</si>
  <si>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</si>
  <si>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</si>
  <si>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</si>
  <si>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</si>
  <si>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</si>
  <si>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</si>
  <si>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</si>
  <si>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</si>
  <si>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</si>
  <si>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</si>
  <si>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</si>
  <si>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</si>
  <si>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</si>
  <si>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</si>
  <si>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</si>
  <si>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</si>
  <si>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</si>
  <si>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</si>
  <si>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</si>
  <si>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</si>
  <si>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</si>
  <si>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</si>
  <si>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</si>
  <si>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</si>
  <si>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</si>
  <si>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</si>
  <si>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</si>
  <si>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</si>
  <si>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</si>
  <si>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</si>
  <si>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</si>
  <si>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</si>
  <si>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</si>
  <si>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</si>
  <si>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</si>
  <si>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</si>
  <si>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</si>
  <si>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</si>
  <si>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</si>
  <si>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</si>
  <si>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</si>
  <si>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</si>
  <si>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</si>
  <si>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</si>
  <si>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</si>
  <si>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</si>
  <si>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</si>
  <si>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</si>
  <si>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</si>
  <si>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</si>
  <si>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</si>
  <si>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</si>
  <si>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</si>
  <si>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</si>
  <si>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</si>
  <si>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</si>
  <si>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</si>
  <si>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</si>
  <si>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</si>
  <si>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</si>
  <si>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</si>
  <si>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</si>
  <si>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</si>
  <si>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</si>
  <si>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</si>
  <si>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</si>
  <si>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</si>
  <si>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</si>
  <si>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</si>
  <si>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</si>
  <si>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</si>
  <si>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</si>
  <si>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</si>
  <si>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</si>
  <si>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</si>
  <si>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</si>
  <si>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</si>
  <si>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</si>
  <si>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</si>
  <si>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</si>
  <si>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</si>
  <si>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</si>
  <si>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</si>
  <si>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</si>
  <si>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</si>
  <si>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</si>
  <si>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</si>
  <si>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</si>
  <si>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</si>
  <si>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</si>
  <si>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</si>
  <si>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</si>
  <si>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</si>
  <si>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</si>
  <si>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</si>
  <si>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</si>
  <si>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</si>
  <si>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</si>
  <si>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</si>
  <si>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</si>
  <si>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</si>
  <si>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</si>
  <si>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</si>
  <si>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</si>
  <si>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</si>
  <si>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</si>
  <si>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</si>
  <si>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</si>
  <si>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</si>
  <si>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</si>
  <si>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</si>
  <si>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</si>
  <si>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</si>
  <si>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</si>
  <si>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</si>
  <si>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</si>
  <si>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</si>
  <si>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</si>
  <si>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</si>
  <si>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</si>
  <si>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</si>
  <si>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</si>
  <si>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</si>
  <si>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</si>
  <si>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</si>
  <si>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</si>
  <si>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</si>
  <si>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</si>
  <si>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</si>
  <si>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</si>
  <si>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</si>
  <si>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</si>
  <si>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</si>
  <si>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</si>
  <si>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</si>
  <si>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</si>
  <si>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</si>
  <si>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</si>
  <si>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</si>
  <si>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</si>
  <si>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</si>
  <si>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</si>
  <si>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</si>
  <si>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</si>
  <si>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</si>
  <si>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</si>
  <si>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</si>
  <si>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</si>
  <si>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</si>
  <si>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</si>
  <si>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</si>
  <si>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</si>
  <si>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</si>
  <si>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</si>
  <si>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</si>
  <si>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</si>
  <si>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</si>
  <si>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</si>
  <si>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</si>
  <si>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</si>
  <si>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</si>
  <si>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</si>
  <si>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</si>
  <si>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</si>
  <si>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</si>
  <si>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</si>
  <si>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</si>
  <si>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</si>
  <si>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</si>
  <si>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</si>
  <si>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</si>
  <si>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</si>
  <si>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</si>
  <si>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</si>
  <si>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</si>
  <si>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</si>
  <si>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</si>
  <si>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</si>
  <si>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</si>
  <si>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</si>
  <si>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</si>
  <si>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</si>
  <si>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</si>
  <si>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</si>
  <si>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</si>
  <si>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</si>
  <si>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</si>
  <si>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</si>
  <si>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</si>
  <si>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</si>
  <si>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</si>
  <si>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</si>
  <si>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</si>
  <si>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</si>
  <si>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</si>
  <si>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</si>
  <si>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</si>
  <si>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</si>
  <si>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</si>
  <si>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</si>
  <si>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</si>
  <si>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</si>
  <si>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</si>
  <si>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</si>
  <si>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</si>
  <si>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</si>
  <si>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</si>
  <si>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</si>
  <si>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</si>
  <si>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</si>
  <si>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</si>
  <si>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</si>
  <si>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</si>
  <si>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</si>
  <si>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</si>
  <si>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</si>
  <si>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</si>
  <si>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</si>
  <si>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</si>
  <si>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</si>
  <si>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</si>
  <si>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</si>
  <si>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</si>
  <si>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</si>
  <si>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</si>
  <si>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</si>
  <si>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</si>
  <si>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</si>
  <si>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</si>
  <si>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</si>
  <si>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</si>
  <si>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</si>
  <si>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</si>
  <si>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</si>
  <si>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</si>
  <si>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</si>
  <si>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</si>
  <si>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</si>
  <si>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</si>
  <si>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</si>
  <si>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</si>
  <si>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</si>
  <si>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</si>
  <si>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</si>
  <si>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</si>
  <si>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</si>
  <si>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</si>
  <si>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</si>
  <si>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</si>
  <si>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</si>
  <si>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</si>
  <si>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</si>
  <si>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</si>
  <si>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</si>
  <si>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</si>
  <si>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</si>
  <si>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</si>
  <si>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</si>
  <si>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</si>
  <si>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</si>
  <si>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</si>
  <si>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</si>
  <si>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</si>
  <si>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</si>
  <si>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</si>
  <si>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</si>
  <si>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</si>
  <si>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</si>
  <si>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</si>
  <si>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</si>
  <si>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</si>
  <si>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</si>
  <si>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</si>
  <si>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</si>
  <si>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</si>
  <si>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</si>
  <si>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</si>
  <si>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</si>
  <si>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</si>
  <si>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</si>
  <si>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</si>
  <si>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</si>
  <si>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</si>
  <si>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</si>
  <si>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</si>
  <si>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</si>
  <si>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</si>
  <si>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</si>
  <si>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</si>
  <si>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</si>
  <si>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</si>
  <si>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</si>
  <si>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</si>
  <si>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</si>
  <si>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</si>
  <si>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</si>
  <si>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</si>
  <si>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</si>
  <si>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</si>
  <si>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</si>
  <si>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</si>
  <si>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</si>
  <si>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</si>
  <si>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</si>
  <si>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</si>
  <si>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</si>
  <si>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</si>
  <si>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</si>
  <si>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</si>
  <si>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</si>
  <si>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</si>
  <si>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</si>
  <si>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</si>
  <si>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</si>
  <si>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</si>
  <si>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</si>
  <si>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</si>
  <si>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</si>
  <si>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</si>
  <si>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</si>
  <si>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</si>
  <si>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</si>
  <si>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</si>
  <si>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</si>
  <si>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</si>
  <si>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</si>
  <si>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</si>
  <si>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</si>
  <si>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</si>
  <si>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</si>
  <si>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</si>
  <si>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</si>
  <si>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</si>
  <si>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</si>
  <si>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</si>
  <si>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</si>
  <si>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</si>
  <si>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</si>
  <si>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</si>
  <si>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</si>
  <si>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</si>
  <si>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</si>
  <si>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</si>
  <si>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</si>
  <si>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</si>
  <si>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</si>
  <si>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</si>
  <si>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</si>
  <si>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</si>
  <si>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</si>
  <si>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</si>
  <si>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</si>
  <si>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</si>
  <si>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</si>
  <si>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</si>
  <si>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</si>
  <si>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</si>
  <si>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</si>
  <si>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</si>
  <si>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</si>
  <si>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</si>
  <si>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</si>
  <si>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</si>
  <si>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</si>
  <si>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</si>
  <si>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</si>
  <si>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</si>
  <si>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</si>
  <si>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</si>
  <si>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</si>
  <si>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</si>
  <si>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</si>
  <si>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</si>
  <si>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</si>
  <si>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</si>
  <si>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</si>
  <si>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</si>
  <si>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</si>
  <si>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</si>
  <si>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</si>
  <si>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</si>
  <si>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</si>
  <si>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</si>
  <si>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</si>
  <si>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</si>
  <si>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</si>
  <si>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</si>
  <si>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</si>
  <si>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</si>
  <si>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</si>
  <si>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</si>
  <si>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</si>
  <si>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</si>
  <si>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</si>
  <si>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</si>
  <si>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</si>
  <si>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</si>
  <si>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</si>
  <si>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</si>
  <si>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</si>
  <si>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</si>
  <si>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</si>
  <si>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</si>
  <si>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</si>
  <si>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</si>
  <si>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</si>
  <si>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</si>
  <si>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</si>
  <si>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</si>
  <si>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</si>
  <si>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</si>
  <si>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</si>
  <si>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</si>
  <si>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</si>
  <si>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</si>
  <si>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</si>
  <si>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</si>
  <si>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</si>
  <si>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</si>
  <si>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</si>
  <si>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</si>
  <si>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</si>
  <si>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</si>
  <si>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</si>
  <si>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</si>
  <si>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</si>
  <si>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</si>
  <si>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</si>
  <si>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</si>
  <si>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</si>
  <si>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</si>
  <si>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</si>
  <si>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</si>
  <si>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</si>
  <si>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</si>
  <si>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</si>
  <si>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</si>
  <si>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</si>
  <si>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</si>
  <si>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</si>
  <si>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</si>
  <si>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</si>
  <si>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</si>
  <si>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</si>
  <si>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</si>
  <si>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</si>
  <si>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</si>
  <si>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</si>
  <si>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</si>
  <si>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</si>
  <si>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</si>
  <si>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</si>
  <si>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</si>
  <si>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</si>
  <si>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</si>
  <si>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</si>
  <si>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</si>
  <si>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</si>
  <si>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</si>
  <si>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</si>
  <si>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</si>
  <si>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</si>
  <si>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</si>
  <si>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</si>
  <si>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</si>
  <si>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</si>
  <si>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</si>
  <si>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</si>
  <si>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</si>
  <si>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</si>
  <si>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</si>
  <si>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</si>
  <si>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</si>
  <si>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</si>
  <si>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</si>
  <si>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</si>
  <si>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</si>
  <si>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</si>
  <si>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</si>
  <si>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</si>
  <si>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</si>
  <si>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</si>
  <si>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</si>
  <si>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</si>
  <si>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</si>
  <si>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</si>
  <si>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</si>
  <si>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</si>
  <si>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</si>
  <si>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</si>
  <si>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</si>
  <si>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</si>
  <si>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</si>
  <si>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</si>
  <si>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</si>
  <si>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</si>
  <si>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</si>
  <si>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</si>
  <si>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</si>
  <si>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</si>
  <si>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</si>
  <si>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</si>
  <si>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</si>
  <si>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</si>
  <si>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</si>
  <si>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</si>
  <si>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</si>
  <si>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</si>
  <si>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</si>
  <si>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</si>
  <si>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</si>
  <si>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</si>
  <si>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</si>
  <si>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</si>
  <si>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</si>
  <si>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</si>
  <si>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</si>
  <si>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</si>
  <si>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</si>
  <si>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</si>
  <si>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</si>
  <si>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</si>
  <si>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</si>
  <si>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</si>
  <si>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</si>
  <si>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</si>
  <si>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</si>
  <si>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</si>
  <si>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</si>
  <si>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</si>
  <si>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</si>
  <si>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</si>
  <si>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</si>
  <si>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</si>
  <si>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</si>
  <si>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</si>
  <si>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</si>
  <si>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</si>
  <si>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</si>
  <si>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</si>
  <si>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</si>
  <si>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</si>
  <si>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</si>
  <si>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</si>
  <si>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</si>
  <si>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</si>
  <si>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</si>
  <si>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</si>
  <si>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</si>
  <si>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</si>
  <si>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</si>
  <si>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</si>
  <si>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</si>
  <si>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</si>
  <si>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</si>
  <si>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</si>
  <si>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</si>
  <si>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</si>
  <si>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</si>
  <si>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</si>
  <si>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</si>
  <si>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</si>
  <si>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</si>
  <si>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</si>
  <si>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</si>
  <si>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</si>
  <si>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</si>
  <si>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</si>
  <si>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</si>
  <si>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</si>
  <si>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</si>
  <si>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</si>
  <si>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</si>
  <si>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</si>
  <si>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</si>
  <si>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</si>
  <si>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</si>
  <si>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</si>
  <si>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</si>
  <si>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</si>
  <si>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</si>
  <si>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</si>
  <si>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</si>
  <si>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</si>
  <si>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</si>
  <si>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</si>
  <si>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</si>
  <si>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</si>
  <si>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</si>
  <si>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</si>
  <si>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</si>
  <si>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</si>
  <si>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</si>
  <si>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</si>
  <si>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</si>
  <si>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</si>
  <si>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</si>
  <si>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</si>
  <si>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</si>
  <si>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</si>
  <si>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</si>
  <si>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</si>
  <si>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</si>
  <si>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</si>
  <si>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</si>
  <si>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</si>
  <si>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</si>
  <si>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</si>
  <si>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</si>
  <si>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</si>
  <si>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</si>
  <si>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</si>
  <si>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</si>
  <si>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</si>
  <si>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</si>
  <si>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</si>
  <si>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</si>
  <si>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</si>
  <si>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</si>
  <si>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</si>
  <si>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</si>
  <si>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</si>
  <si>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</si>
  <si>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</si>
  <si>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</si>
  <si>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</si>
  <si>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</si>
  <si>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</si>
  <si>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</si>
  <si>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</si>
  <si>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</si>
  <si>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</si>
  <si>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</si>
  <si>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</si>
  <si>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</si>
  <si>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</si>
  <si>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</si>
  <si>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</si>
  <si>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</si>
  <si>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</si>
  <si>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</si>
  <si>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</si>
  <si>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</si>
  <si>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</si>
  <si>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</si>
  <si>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</si>
  <si>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</si>
  <si>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</si>
  <si>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</si>
  <si>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</si>
  <si>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</si>
  <si>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</si>
  <si>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</si>
  <si>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</si>
  <si>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</si>
  <si>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</si>
  <si>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</si>
  <si>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</si>
  <si>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</si>
  <si>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</si>
  <si>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</si>
  <si>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</si>
  <si>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</si>
  <si>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</si>
  <si>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</si>
  <si>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</si>
  <si>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</si>
  <si>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</si>
  <si>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</si>
  <si>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</si>
  <si>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</si>
  <si>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</si>
  <si>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</si>
  <si>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</si>
  <si>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</si>
  <si>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</si>
  <si>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</si>
  <si>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</si>
  <si>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</si>
  <si>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</si>
  <si>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</si>
  <si>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</si>
  <si>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</si>
  <si>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</si>
  <si>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</si>
  <si>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</si>
  <si>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</si>
  <si>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</si>
  <si>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</si>
  <si>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</si>
  <si>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</si>
  <si>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</si>
  <si>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</si>
  <si>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</si>
  <si>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</si>
  <si>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</si>
  <si>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</si>
  <si>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</si>
  <si>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</si>
  <si>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</si>
  <si>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</si>
  <si>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</si>
  <si>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</si>
  <si>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</si>
  <si>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</si>
  <si>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</si>
  <si>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</si>
  <si>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</si>
  <si>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</si>
  <si>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</si>
  <si>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</si>
  <si>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</si>
  <si>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</si>
  <si>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</si>
  <si>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</si>
  <si>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</si>
  <si>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</si>
  <si>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</si>
  <si>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</si>
  <si>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</si>
  <si>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</si>
  <si>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</si>
  <si>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</si>
  <si>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</si>
  <si>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</si>
  <si>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</si>
  <si>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</si>
  <si>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</si>
  <si>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</si>
  <si>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</si>
  <si>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</si>
  <si>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</si>
  <si>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</si>
  <si>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</si>
  <si>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</si>
  <si>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</si>
  <si>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</si>
  <si>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</si>
  <si>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</si>
  <si>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</si>
  <si>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</si>
  <si>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</si>
  <si>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</si>
  <si>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</si>
  <si>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</si>
  <si>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</si>
  <si>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</si>
  <si>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</si>
  <si>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</si>
  <si>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</si>
  <si>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</si>
  <si>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</si>
  <si>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</si>
  <si>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</si>
  <si>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</si>
  <si>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</si>
  <si>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</si>
  <si>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</si>
  <si>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</si>
  <si>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</si>
  <si>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</si>
  <si>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</si>
  <si>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</si>
  <si>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</si>
  <si>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</si>
  <si>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</si>
  <si>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</si>
  <si>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</si>
  <si>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</si>
  <si>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</si>
  <si>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</si>
  <si>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</si>
  <si>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</si>
  <si>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</si>
  <si>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</si>
  <si>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</si>
  <si>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</si>
  <si>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</si>
  <si>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</si>
  <si>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</si>
  <si>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</si>
  <si>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</si>
  <si>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</si>
  <si>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</si>
  <si>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</si>
  <si>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</si>
  <si>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</si>
  <si>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</si>
  <si>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</si>
  <si>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</si>
  <si>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</si>
  <si>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</si>
  <si>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</si>
  <si>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</si>
  <si>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</si>
  <si>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</si>
  <si>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</si>
  <si>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</si>
  <si>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</si>
  <si>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</si>
  <si>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</si>
  <si>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</si>
  <si>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</si>
  <si>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</si>
  <si>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</si>
  <si>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</si>
  <si>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</si>
  <si>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</si>
  <si>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</si>
  <si>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</si>
  <si>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</si>
  <si>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</si>
  <si>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</si>
  <si>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</si>
  <si>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</si>
  <si>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</si>
  <si>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</si>
  <si>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</si>
  <si>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</si>
  <si>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</si>
  <si>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</si>
  <si>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</si>
  <si>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</si>
  <si>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</si>
  <si>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</si>
  <si>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</si>
  <si>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</si>
  <si>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</si>
  <si>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</si>
  <si>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</si>
  <si>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</si>
  <si>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</si>
  <si>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</si>
  <si>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</si>
  <si>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</si>
  <si>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</si>
  <si>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</si>
  <si>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</si>
  <si>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</si>
  <si>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</si>
  <si>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</si>
  <si>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</si>
  <si>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</si>
  <si>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</si>
  <si>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</si>
  <si>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</si>
  <si>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</si>
  <si>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</si>
  <si>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</si>
  <si>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</si>
  <si>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</si>
  <si>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</si>
  <si>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</si>
  <si>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</si>
  <si>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</si>
  <si>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</si>
  <si>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</si>
  <si>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</si>
  <si>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</si>
  <si>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</si>
  <si>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</si>
  <si>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</si>
  <si>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</si>
  <si>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</si>
  <si>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</si>
  <si>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</si>
  <si>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</si>
  <si>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</si>
  <si>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</si>
  <si>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</si>
  <si>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</si>
  <si>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</si>
  <si>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</si>
  <si>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</si>
  <si>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</si>
  <si>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</si>
  <si>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</si>
  <si>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</si>
  <si>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</si>
  <si>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</si>
  <si>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</si>
  <si>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</si>
  <si>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</si>
  <si>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</si>
  <si>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</si>
  <si>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</si>
  <si>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</si>
  <si>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</si>
  <si>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</si>
  <si>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</si>
  <si>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</si>
  <si>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</si>
  <si>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</si>
  <si>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</si>
  <si>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</si>
  <si>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</si>
  <si>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</si>
  <si>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</si>
  <si>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</si>
  <si>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</si>
  <si>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</si>
  <si>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</si>
  <si>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</si>
  <si>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</si>
  <si>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</si>
  <si>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</si>
  <si>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</si>
  <si>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</si>
  <si>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</si>
  <si>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</si>
  <si>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</si>
  <si>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</si>
  <si>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</si>
  <si>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</si>
  <si>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</si>
  <si>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</si>
  <si>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</si>
  <si>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</si>
  <si>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</si>
  <si>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</si>
  <si>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</si>
  <si>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</si>
  <si>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</si>
  <si>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</si>
  <si>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</si>
  <si>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</si>
  <si>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</si>
  <si>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</si>
  <si>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</si>
  <si>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</si>
  <si>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</si>
  <si>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</si>
  <si>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</si>
  <si>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</si>
  <si>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</si>
  <si>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</si>
  <si>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</si>
  <si>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</si>
  <si>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</si>
  <si>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</si>
  <si>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</si>
  <si>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</si>
  <si>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</si>
  <si>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</si>
  <si>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</si>
  <si>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</si>
  <si>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</si>
  <si>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</si>
  <si>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</si>
  <si>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</si>
  <si>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</si>
  <si>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</si>
  <si>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</si>
  <si>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</si>
  <si>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</si>
  <si>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</si>
  <si>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</si>
  <si>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</si>
  <si>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</si>
  <si>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</si>
  <si>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</si>
  <si>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</si>
  <si>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</si>
  <si>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</si>
  <si>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</si>
  <si>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</si>
  <si>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</si>
  <si>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</si>
  <si>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</si>
  <si>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</si>
  <si>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</si>
  <si>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</si>
  <si>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</si>
  <si>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</si>
  <si>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</si>
  <si>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</si>
  <si>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</si>
  <si>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</si>
  <si>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</si>
  <si>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</si>
  <si>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</si>
  <si>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</si>
  <si>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</si>
  <si>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</si>
  <si>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</si>
  <si>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</si>
  <si>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</si>
  <si>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</si>
  <si>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</si>
  <si>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</si>
  <si>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</si>
  <si>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</si>
  <si>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</si>
  <si>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</si>
  <si>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</si>
  <si>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</si>
  <si>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</si>
  <si>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</si>
  <si>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</si>
  <si>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</si>
  <si>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</si>
  <si>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</si>
  <si>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</si>
  <si>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</si>
  <si>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</si>
  <si>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</si>
  <si>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</si>
  <si>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</si>
  <si>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</si>
  <si>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</si>
  <si>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</si>
  <si>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</si>
  <si>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</si>
  <si>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</si>
  <si>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</si>
  <si>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</si>
  <si>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</si>
  <si>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</si>
  <si>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</si>
  <si>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</si>
  <si>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</si>
  <si>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</si>
  <si>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</si>
  <si>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</si>
  <si>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</si>
  <si>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</si>
  <si>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</si>
  <si>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</si>
  <si>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</si>
  <si>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</si>
  <si>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</si>
  <si>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</si>
  <si>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</si>
  <si>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</si>
  <si>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</si>
  <si>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</si>
  <si>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</si>
  <si>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</si>
  <si>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</si>
  <si>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</si>
  <si>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</si>
  <si>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</si>
  <si>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</si>
  <si>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</si>
  <si>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</si>
  <si>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</si>
  <si>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</si>
  <si>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</si>
  <si>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</si>
  <si>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</si>
  <si>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</si>
  <si>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</si>
  <si>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</si>
  <si>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</si>
  <si>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</si>
  <si>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</si>
  <si>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</si>
  <si>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</si>
  <si>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</si>
  <si>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</si>
  <si>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</si>
  <si>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</si>
  <si>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</si>
  <si>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</si>
  <si>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</si>
  <si>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</si>
  <si>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</si>
  <si>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</si>
  <si>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</si>
  <si>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</si>
  <si>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</si>
  <si>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</si>
  <si>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</si>
  <si>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</si>
  <si>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</si>
  <si>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</si>
  <si>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</si>
  <si>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</si>
  <si>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</si>
  <si>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</si>
  <si>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</si>
  <si>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</si>
  <si>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</si>
  <si>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</si>
  <si>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</si>
  <si>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</si>
  <si>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</si>
  <si>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</si>
  <si>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</si>
  <si>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</si>
  <si>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</si>
  <si>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</si>
  <si>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</si>
  <si>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</si>
  <si>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</si>
  <si>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</si>
  <si>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</si>
  <si>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</si>
  <si>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</si>
  <si>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</si>
  <si>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</si>
  <si>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</si>
  <si>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</si>
  <si>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</si>
  <si>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</si>
  <si>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</si>
  <si>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</si>
  <si>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</si>
  <si>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</si>
  <si>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</si>
  <si>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</si>
  <si>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</si>
  <si>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</si>
  <si>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</si>
  <si>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</si>
  <si>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</si>
  <si>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</si>
  <si>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</si>
  <si>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</si>
  <si>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</si>
  <si>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</si>
  <si>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</si>
  <si>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</si>
  <si>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</si>
  <si>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</si>
  <si>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</si>
  <si>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</si>
  <si>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</si>
  <si>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</si>
  <si>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</si>
  <si>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</si>
  <si>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</si>
  <si>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</si>
  <si>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</si>
  <si>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</si>
  <si>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</si>
  <si>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</si>
  <si>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</si>
  <si>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</si>
  <si>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</si>
  <si>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</si>
  <si>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</si>
  <si>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</si>
  <si>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</si>
  <si>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</si>
  <si>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</si>
  <si>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</si>
  <si>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</si>
  <si>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</si>
  <si>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</si>
  <si>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</si>
  <si>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</si>
  <si>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</si>
  <si>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</si>
  <si>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</si>
  <si>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</si>
  <si>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</si>
  <si>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</si>
  <si>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</si>
  <si>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</si>
  <si>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</si>
  <si>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</si>
  <si>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</si>
  <si>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</si>
  <si>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</si>
  <si>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</si>
  <si>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</si>
  <si>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</si>
  <si>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</si>
  <si>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</si>
  <si>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</si>
  <si>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</si>
  <si>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</si>
  <si>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</si>
  <si>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</si>
  <si>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</si>
  <si>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</si>
  <si>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</si>
  <si>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</si>
  <si>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</si>
  <si>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</si>
  <si>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</si>
  <si>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</si>
  <si>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</si>
  <si>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</si>
  <si>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</si>
  <si>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</si>
  <si>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</si>
  <si>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</si>
  <si>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</si>
  <si>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</si>
  <si>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</si>
  <si>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</si>
  <si>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</si>
  <si>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</si>
  <si>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</si>
  <si>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</si>
  <si>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</si>
  <si>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</si>
  <si>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</si>
  <si>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</si>
  <si>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</si>
  <si>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</si>
  <si>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</si>
  <si>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</si>
  <si>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</si>
  <si>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</si>
  <si>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</si>
  <si>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</si>
  <si>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</si>
  <si>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</si>
  <si>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</si>
  <si>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</si>
  <si>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</si>
  <si>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</si>
  <si>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</si>
  <si>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</si>
  <si>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</si>
  <si>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</si>
  <si>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</si>
  <si>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</si>
  <si>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</si>
  <si>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</si>
  <si>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</si>
  <si>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</si>
  <si>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</si>
  <si>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</si>
  <si>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</si>
  <si>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</si>
  <si>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</si>
  <si>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</si>
  <si>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</si>
  <si>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</si>
  <si>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</si>
  <si>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</si>
  <si>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</si>
  <si>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</si>
  <si>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</si>
  <si>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</si>
  <si>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</si>
  <si>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</si>
  <si>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</si>
  <si>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</si>
  <si>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</si>
  <si>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</si>
  <si>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</si>
  <si>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</si>
  <si>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</si>
  <si>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</si>
  <si>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</si>
  <si>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</si>
  <si>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</si>
  <si>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</si>
  <si>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</si>
  <si>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</si>
  <si>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</si>
  <si>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</si>
  <si>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</si>
  <si>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</si>
  <si>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</si>
  <si>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</si>
  <si>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</si>
  <si>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</si>
  <si>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</si>
  <si>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</si>
  <si>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</si>
  <si>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</si>
  <si>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</si>
  <si>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</si>
  <si>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</si>
  <si>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</si>
  <si>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</si>
  <si>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</si>
  <si>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</si>
  <si>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</si>
  <si>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</si>
  <si>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</si>
  <si>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</si>
  <si>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</si>
  <si>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</si>
  <si>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</si>
  <si>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</si>
  <si>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</si>
  <si>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</si>
  <si>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</si>
  <si>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</si>
  <si>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</si>
  <si>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</si>
  <si>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</si>
  <si>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</si>
  <si>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</si>
  <si>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</si>
  <si>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</si>
  <si>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</si>
  <si>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</si>
  <si>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</si>
  <si>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</si>
  <si>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</si>
  <si>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</si>
  <si>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</si>
  <si>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</si>
  <si>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</si>
  <si>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</si>
  <si>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</si>
  <si>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</si>
  <si>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</si>
  <si>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</si>
  <si>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</si>
  <si>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</si>
  <si>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</si>
  <si>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</si>
  <si>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</si>
  <si>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</si>
  <si>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</si>
  <si>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</si>
  <si>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</si>
  <si>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</si>
  <si>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</si>
  <si>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</si>
  <si>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</si>
  <si>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</si>
  <si>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</si>
  <si>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</si>
  <si>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</si>
  <si>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</si>
  <si>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</si>
  <si>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</si>
  <si>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</si>
  <si>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</si>
  <si>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</si>
  <si>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</si>
  <si>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</si>
  <si>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</si>
  <si>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</si>
  <si>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</si>
  <si>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</si>
  <si>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</si>
  <si>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</si>
  <si>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</si>
  <si>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</si>
  <si>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</si>
  <si>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</si>
  <si>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</si>
  <si>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</si>
  <si>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</si>
  <si>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</si>
  <si>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</si>
  <si>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</si>
  <si>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</si>
  <si>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</si>
  <si>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</si>
  <si>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</si>
  <si>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</si>
  <si>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</si>
  <si>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</si>
  <si>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</si>
  <si>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</si>
  <si>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</si>
  <si>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</si>
  <si>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</si>
  <si>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</si>
  <si>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</si>
  <si>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</si>
  <si>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</si>
  <si>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</si>
  <si>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</si>
  <si>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</si>
  <si>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</si>
  <si>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</si>
  <si>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</si>
  <si>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</si>
  <si>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</si>
  <si>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</si>
  <si>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</si>
  <si>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</si>
  <si>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</si>
  <si>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</si>
  <si>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</si>
  <si>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</si>
  <si>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</si>
  <si>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</si>
  <si>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</si>
  <si>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</si>
  <si>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</si>
  <si>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</si>
  <si>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</si>
  <si>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</si>
  <si>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</si>
  <si>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</si>
  <si>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</si>
  <si>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</si>
  <si>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</si>
  <si>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</si>
  <si>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</si>
  <si>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</si>
  <si>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</si>
  <si>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</si>
  <si>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</si>
  <si>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</si>
  <si>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</si>
  <si>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</si>
  <si>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</si>
  <si>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</si>
  <si>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</si>
  <si>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</si>
  <si>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</si>
  <si>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</si>
  <si>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</si>
  <si>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</si>
  <si>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</si>
  <si>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</si>
  <si>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</si>
  <si>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</si>
  <si>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</si>
  <si>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</si>
  <si>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</si>
  <si>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</si>
  <si>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</si>
  <si>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</si>
  <si>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</si>
  <si>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</si>
  <si>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</si>
  <si>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</si>
  <si>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</si>
  <si>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</si>
  <si>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</si>
  <si>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</si>
  <si>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</si>
  <si>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</si>
  <si>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</si>
  <si>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</si>
  <si>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</si>
  <si>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</si>
  <si>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</si>
  <si>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</si>
  <si>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</si>
  <si>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</si>
  <si>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</si>
  <si>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</si>
  <si>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</si>
  <si>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</si>
  <si>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</si>
  <si>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</si>
  <si>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</si>
  <si>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</si>
  <si>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</si>
  <si>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</si>
  <si>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</si>
  <si>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</si>
  <si>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</si>
  <si>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</si>
  <si>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</si>
  <si>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</si>
  <si>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</si>
  <si>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</si>
  <si>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</si>
  <si>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</si>
  <si>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</si>
  <si>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</si>
  <si>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</si>
  <si>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</si>
  <si>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</si>
  <si>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</si>
  <si>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</si>
  <si>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</si>
  <si>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</si>
  <si>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</si>
  <si>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</si>
  <si>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</si>
  <si>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</si>
  <si>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</si>
  <si>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</si>
  <si>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</si>
  <si>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</si>
  <si>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</si>
  <si>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</si>
  <si>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</si>
  <si>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</si>
  <si>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</si>
  <si>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</si>
  <si>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</si>
  <si>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</si>
  <si>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</si>
  <si>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</si>
  <si>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</si>
  <si>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</si>
  <si>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</si>
  <si>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</si>
  <si>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</si>
  <si>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</si>
  <si>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</si>
  <si>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</si>
  <si>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</si>
  <si>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</si>
  <si>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</si>
  <si>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</si>
  <si>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</si>
  <si>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</si>
  <si>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</si>
  <si>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</si>
  <si>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</si>
  <si>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</si>
  <si>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</si>
  <si>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</si>
  <si>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</si>
  <si>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</si>
  <si>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</si>
  <si>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</si>
  <si>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</si>
  <si>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</si>
  <si>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</si>
  <si>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</si>
  <si>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</si>
  <si>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</si>
  <si>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</si>
  <si>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</si>
  <si>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</si>
  <si>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</si>
  <si>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</si>
  <si>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</si>
  <si>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</si>
  <si>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</si>
  <si>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</si>
  <si>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</si>
  <si>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</si>
  <si>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</si>
  <si>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</si>
  <si>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</si>
  <si>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</si>
  <si>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</si>
  <si>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</si>
  <si>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</si>
  <si>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</si>
  <si>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</si>
  <si>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</si>
  <si>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</si>
  <si>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</si>
  <si>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</si>
  <si>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</si>
  <si>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</si>
  <si>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</si>
  <si>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</si>
  <si>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</si>
  <si>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</si>
  <si>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</si>
  <si>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</si>
  <si>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</si>
  <si>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</si>
  <si>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</si>
  <si>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</si>
  <si>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</si>
  <si>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</si>
  <si>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</si>
  <si>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</si>
  <si>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</si>
  <si>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</si>
  <si>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</si>
  <si>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</si>
  <si>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</si>
  <si>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</si>
  <si>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</si>
  <si>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</si>
  <si>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</si>
  <si>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</si>
  <si>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</si>
  <si>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</si>
  <si>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</si>
  <si>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</si>
  <si>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</si>
  <si>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</si>
  <si>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</si>
  <si>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</si>
  <si>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</si>
  <si>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</si>
  <si>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</si>
  <si>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</si>
  <si>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</si>
  <si>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</si>
  <si>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</si>
  <si>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</si>
  <si>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</si>
  <si>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</si>
  <si>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</si>
  <si>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</si>
  <si>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</si>
  <si>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</si>
  <si>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</si>
  <si>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</si>
  <si>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</si>
  <si>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</si>
  <si>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</si>
  <si>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</si>
  <si>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</si>
  <si>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</si>
  <si>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</si>
  <si>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</si>
  <si>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</si>
  <si>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</si>
  <si>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</si>
  <si>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</si>
  <si>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</si>
  <si>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</si>
  <si>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</si>
  <si>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</si>
  <si>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</si>
  <si>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</si>
  <si>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</si>
  <si>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</si>
  <si>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</si>
  <si>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</si>
  <si>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</si>
  <si>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</si>
  <si>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</si>
  <si>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</si>
  <si>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</si>
  <si>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</si>
  <si>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</si>
  <si>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</si>
  <si>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</si>
  <si>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</si>
  <si>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</si>
  <si>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</si>
  <si>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</si>
  <si>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</si>
  <si>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</si>
  <si>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</si>
  <si>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</si>
  <si>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</si>
  <si>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</si>
  <si>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</si>
  <si>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</si>
  <si>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</si>
  <si>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</si>
  <si>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</si>
  <si>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</si>
  <si>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</si>
  <si>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</si>
  <si>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</si>
  <si>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</si>
  <si>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</si>
  <si>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</si>
  <si>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</si>
  <si>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</si>
  <si>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</si>
  <si>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</si>
  <si>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</si>
  <si>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</si>
  <si>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</si>
  <si>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</si>
  <si>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</si>
  <si>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</si>
  <si>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</si>
  <si>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</si>
  <si>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</si>
  <si>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</si>
  <si>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</si>
  <si>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</si>
  <si>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</si>
  <si>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</si>
  <si>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</si>
  <si>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</si>
  <si>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</si>
  <si>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</si>
  <si>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</si>
  <si>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</si>
  <si>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</si>
  <si>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</si>
  <si>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</si>
  <si>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</si>
  <si>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</si>
  <si>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</si>
  <si>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</si>
  <si>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</si>
  <si>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</si>
  <si>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</si>
  <si>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</si>
  <si>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</si>
  <si>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</si>
  <si>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</si>
  <si>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</si>
  <si>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</si>
  <si>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</si>
  <si>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</si>
  <si>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</si>
  <si>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</si>
  <si>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</si>
  <si>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</si>
  <si>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</si>
  <si>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</si>
  <si>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</si>
  <si>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</si>
  <si>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</si>
  <si>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</si>
  <si>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</si>
  <si>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</si>
  <si>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</si>
  <si>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</si>
  <si>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</si>
  <si>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</si>
  <si>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</si>
  <si>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</si>
  <si>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</si>
  <si>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</si>
  <si>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</si>
  <si>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</si>
  <si>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</si>
  <si>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</si>
  <si>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</si>
  <si>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</si>
  <si>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</si>
  <si>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</si>
  <si>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</si>
  <si>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</si>
  <si>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</si>
  <si>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</si>
  <si>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</si>
  <si>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</si>
  <si>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</si>
  <si>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</si>
  <si>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</si>
  <si>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</si>
  <si>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</si>
  <si>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</si>
  <si>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</si>
  <si>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</si>
  <si>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</si>
  <si>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</si>
  <si>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</si>
  <si>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</si>
  <si>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</si>
  <si>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</si>
  <si>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</si>
  <si>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</si>
  <si>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</si>
  <si>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</si>
  <si>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</si>
  <si>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</si>
  <si>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</si>
  <si>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</si>
  <si>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</si>
  <si>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</si>
  <si>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</si>
  <si>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</si>
  <si>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</si>
  <si>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</si>
  <si>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</si>
  <si>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</si>
  <si>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</si>
  <si>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</si>
  <si>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</si>
  <si>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</si>
  <si>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</si>
  <si>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</si>
  <si>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</si>
  <si>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</si>
  <si>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</si>
  <si>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</si>
  <si>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</si>
  <si>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</si>
  <si>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</si>
  <si>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</si>
  <si>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</si>
  <si>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</si>
  <si>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</si>
  <si>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</si>
  <si>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</si>
  <si>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</si>
  <si>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</si>
  <si>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</si>
  <si>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</si>
  <si>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</si>
  <si>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</si>
  <si>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</si>
  <si>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</si>
  <si>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</si>
  <si>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</si>
  <si>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</si>
  <si>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</si>
  <si>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</si>
  <si>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</si>
  <si>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</si>
  <si>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</si>
  <si>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</si>
  <si>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</si>
  <si>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</si>
  <si>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</si>
  <si>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</si>
  <si>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</si>
  <si>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</si>
  <si>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</si>
  <si>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</si>
  <si>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</si>
  <si>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</si>
  <si>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</si>
  <si>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</si>
  <si>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</si>
  <si>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</si>
  <si>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</si>
  <si>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</si>
  <si>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</si>
  <si>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</si>
  <si>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</si>
  <si>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</si>
  <si>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</si>
  <si>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</si>
  <si>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</si>
  <si>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</si>
  <si>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</si>
  <si>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</si>
  <si>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</si>
  <si>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</si>
  <si>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</si>
  <si>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</si>
  <si>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</si>
  <si>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</si>
  <si>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</si>
  <si>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</si>
  <si>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</si>
  <si>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</si>
  <si>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</si>
  <si>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</si>
  <si>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</si>
  <si>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</si>
  <si>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</si>
  <si>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</si>
  <si>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</si>
  <si>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</si>
  <si>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</si>
  <si>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</si>
  <si>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</si>
  <si>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</si>
  <si>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</si>
  <si>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</si>
  <si>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</si>
  <si>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</si>
  <si>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</si>
  <si>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</si>
  <si>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</si>
  <si>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</si>
  <si>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</si>
  <si>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</si>
  <si>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</si>
  <si>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</si>
  <si>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</si>
  <si>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</si>
  <si>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</si>
  <si>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</si>
  <si>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</si>
  <si>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</si>
  <si>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</si>
  <si>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</si>
  <si>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</si>
  <si>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</si>
  <si>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</si>
  <si>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</si>
  <si>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</si>
  <si>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</si>
  <si>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</si>
  <si>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</si>
  <si>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</si>
  <si>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</si>
  <si>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</si>
  <si>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</si>
  <si>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</si>
  <si>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</si>
  <si>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</si>
  <si>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</si>
  <si>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</si>
  <si>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</si>
  <si>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</si>
  <si>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</si>
  <si>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</si>
  <si>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</si>
  <si>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</si>
  <si>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</si>
  <si>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</si>
  <si>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</si>
  <si>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</si>
  <si>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</si>
  <si>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</si>
  <si>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</si>
  <si>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</si>
  <si>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</si>
  <si>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</si>
  <si>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</si>
  <si>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</si>
  <si>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</si>
  <si>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</si>
  <si>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</si>
  <si>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</si>
  <si>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</si>
  <si>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</si>
  <si>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</si>
  <si>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</si>
  <si>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</si>
  <si>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</si>
  <si>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</si>
  <si>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</si>
  <si>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</si>
  <si>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</si>
  <si>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</si>
  <si>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</si>
  <si>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</si>
  <si>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</si>
  <si>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</si>
  <si>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</si>
  <si>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</si>
  <si>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</si>
  <si>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</si>
  <si>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</si>
  <si>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</si>
  <si>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</si>
  <si>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</si>
  <si>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</si>
  <si>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</si>
  <si>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</si>
  <si>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</si>
  <si>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</si>
  <si>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</si>
  <si>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</si>
  <si>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</si>
  <si>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</si>
  <si>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</si>
  <si>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</si>
  <si>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</si>
  <si>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</si>
  <si>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</si>
  <si>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</si>
  <si>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</si>
  <si>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</si>
  <si>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</si>
  <si>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</si>
  <si>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</si>
  <si>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</si>
  <si>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</si>
  <si>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</si>
  <si>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</si>
  <si>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</si>
  <si>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</si>
  <si>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</si>
  <si>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</si>
  <si>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</si>
  <si>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</si>
  <si>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</si>
  <si>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</si>
  <si>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</si>
  <si>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</si>
  <si>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</si>
  <si>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</si>
  <si>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</si>
  <si>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</si>
  <si>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</si>
  <si>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</si>
  <si>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</si>
  <si>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</si>
  <si>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</si>
  <si>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</si>
  <si>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</si>
  <si>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</si>
  <si>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</si>
  <si>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</si>
  <si>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</si>
  <si>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</si>
  <si>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</si>
  <si>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</si>
  <si>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</si>
  <si>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</si>
  <si>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</si>
  <si>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</si>
  <si>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</si>
  <si>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</si>
  <si>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</si>
  <si>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</si>
  <si>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</si>
  <si>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</si>
  <si>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</si>
  <si>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</si>
  <si>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</si>
  <si>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</si>
  <si>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</si>
  <si>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</si>
  <si>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</si>
  <si>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</si>
  <si>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</si>
  <si>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</si>
  <si>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</si>
  <si>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</si>
  <si>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</si>
  <si>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</si>
  <si>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</si>
  <si>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</si>
  <si>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</si>
  <si>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</si>
  <si>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</si>
  <si>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</si>
  <si>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</si>
  <si>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</si>
  <si>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</si>
  <si>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</si>
  <si>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</si>
  <si>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</si>
  <si>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</si>
  <si>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</si>
  <si>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</si>
  <si>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</si>
  <si>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</si>
  <si>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</si>
  <si>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</si>
  <si>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</si>
  <si>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</si>
  <si>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</si>
  <si>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</si>
  <si>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</si>
  <si>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</si>
  <si>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</si>
  <si>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</si>
  <si>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</si>
  <si>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</si>
  <si>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</si>
  <si>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</si>
  <si>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</si>
  <si>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</si>
  <si>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</si>
  <si>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</si>
  <si>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</si>
  <si>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</si>
  <si>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</si>
  <si>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</si>
  <si>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</si>
  <si>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</si>
  <si>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</si>
  <si>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</si>
  <si>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</si>
  <si>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</si>
  <si>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</si>
  <si>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</si>
  <si>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</si>
  <si>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</si>
  <si>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</si>
  <si>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</si>
  <si>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</si>
  <si>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</si>
  <si>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</si>
  <si>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</si>
  <si>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</si>
  <si>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</si>
  <si>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</si>
  <si>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</si>
  <si>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</si>
  <si>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</si>
  <si>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</si>
  <si>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</si>
  <si>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</si>
  <si>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</si>
  <si>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</si>
  <si>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</si>
  <si>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</si>
  <si>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</si>
  <si>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</si>
  <si>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</si>
  <si>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</si>
  <si>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</si>
  <si>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</si>
  <si>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</si>
  <si>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</si>
  <si>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</si>
  <si>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</si>
  <si>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</si>
  <si>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</si>
  <si>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</si>
  <si>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</si>
  <si>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</si>
  <si>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</si>
  <si>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</si>
  <si>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</si>
  <si>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</si>
  <si>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</si>
  <si>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</si>
  <si>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</si>
  <si>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</si>
  <si>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</si>
  <si>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</si>
  <si>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</si>
  <si>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</si>
  <si>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</si>
  <si>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</si>
  <si>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</si>
  <si>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</si>
  <si>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</si>
  <si>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</si>
  <si>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</si>
  <si>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</si>
  <si>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</si>
  <si>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</si>
  <si>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</si>
  <si>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</si>
  <si>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</si>
  <si>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</si>
  <si>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</si>
  <si>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</si>
  <si>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</si>
  <si>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</si>
  <si>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</si>
  <si>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</si>
  <si>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</si>
  <si>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</si>
  <si>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</si>
  <si>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</si>
  <si>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</si>
  <si>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</si>
  <si>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</si>
  <si>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</si>
  <si>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</si>
  <si>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</si>
  <si>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</si>
  <si>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</si>
  <si>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</si>
  <si>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</si>
  <si>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</si>
  <si>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</si>
  <si>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</si>
  <si>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</si>
  <si>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</si>
  <si>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</si>
  <si>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</si>
  <si>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</si>
  <si>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</si>
  <si>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</si>
  <si>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</si>
  <si>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</si>
  <si>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</si>
  <si>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</si>
  <si>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</si>
  <si>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</si>
  <si>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</si>
  <si>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</si>
  <si>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</si>
  <si>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</si>
  <si>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</si>
  <si>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</si>
  <si>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</si>
  <si>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</si>
  <si>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</si>
  <si>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</si>
  <si>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</si>
  <si>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</si>
  <si>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</si>
  <si>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</si>
  <si>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</si>
  <si>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</si>
  <si>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</si>
  <si>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</si>
  <si>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</si>
  <si>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</si>
  <si>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</si>
  <si>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</si>
  <si>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</si>
  <si>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</si>
  <si>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</si>
  <si>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</si>
  <si>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</si>
  <si>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</si>
  <si>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</si>
  <si>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</si>
  <si>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</si>
  <si>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</si>
  <si>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</si>
  <si>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</si>
  <si>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</si>
  <si>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</si>
  <si>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</si>
  <si>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</si>
  <si>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</si>
  <si>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</si>
  <si>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</si>
  <si>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</si>
  <si>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</si>
  <si>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</si>
  <si>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</si>
  <si>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</si>
  <si>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</si>
  <si>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</si>
  <si>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</si>
  <si>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</si>
  <si>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</si>
  <si>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</si>
  <si>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</si>
  <si>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</si>
  <si>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</si>
  <si>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</si>
  <si>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</si>
  <si>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</si>
  <si>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</si>
  <si>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</si>
  <si>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</si>
  <si>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</si>
  <si>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</si>
  <si>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</si>
  <si>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</si>
  <si>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</si>
  <si>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</si>
  <si>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</si>
  <si>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</si>
  <si>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</si>
  <si>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</si>
  <si>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</si>
  <si>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</si>
  <si>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</si>
  <si>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</si>
  <si>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</si>
  <si>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</si>
  <si>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</si>
  <si>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</si>
  <si>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</si>
  <si>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</si>
  <si>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</si>
  <si>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</si>
  <si>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</si>
  <si>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</si>
  <si>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</si>
  <si>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</si>
  <si>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</si>
  <si>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</si>
  <si>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</si>
  <si>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</si>
  <si>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</si>
  <si>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</si>
  <si>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</si>
  <si>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</si>
  <si>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</si>
  <si>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</si>
  <si>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</si>
  <si>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</si>
  <si>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</si>
  <si>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</si>
  <si>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</si>
  <si>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Yes</t>
  </si>
  <si>
    <t>Competitive Round</t>
  </si>
  <si>
    <t>No</t>
  </si>
  <si>
    <t>Family</t>
  </si>
  <si>
    <t>Navigo Development Group, Inc.</t>
  </si>
  <si>
    <t>Russell Holloway</t>
  </si>
  <si>
    <t>President</t>
  </si>
  <si>
    <t>185 Washington Street</t>
  </si>
  <si>
    <t>Mayor</t>
  </si>
  <si>
    <t>Magnolia Pointe Apartments</t>
  </si>
  <si>
    <t>DCA Utility Allowance</t>
  </si>
  <si>
    <t>Electric Heat Pump</t>
  </si>
  <si>
    <t>Gruber &amp; Associates, Architects LLC</t>
  </si>
  <si>
    <t>Coleman Talley LLP</t>
  </si>
  <si>
    <t>Magnolia Pointe Apartments LP</t>
  </si>
  <si>
    <t>DDA/QCT</t>
  </si>
  <si>
    <t>542 Richardson Street</t>
  </si>
  <si>
    <t>rholloway@navigodev.com</t>
  </si>
  <si>
    <t>City of Montezuma</t>
  </si>
  <si>
    <t>Manager</t>
  </si>
  <si>
    <t>Russell Hollwoay</t>
  </si>
  <si>
    <t>Housing Developmnt Corporation of Macon &amp; Taylor Counties</t>
  </si>
  <si>
    <t>Ann Webb</t>
  </si>
  <si>
    <t>Secretary</t>
  </si>
  <si>
    <t>Lawrenceburg</t>
  </si>
  <si>
    <t>Housing Development Corporation of Macon &amp; Taylor Counties</t>
  </si>
  <si>
    <t>Thomas Hayes</t>
  </si>
  <si>
    <t>Hayes Management Company</t>
  </si>
  <si>
    <t>910 North Patterson Street</t>
  </si>
  <si>
    <t>Clay Powell</t>
  </si>
  <si>
    <t>clay.powell@colemantalley.com</t>
  </si>
  <si>
    <t>Morton Gruber</t>
  </si>
  <si>
    <t>Partner</t>
  </si>
  <si>
    <t>245 Peachtree Center Ave., Suite 2445</t>
  </si>
  <si>
    <t>mgruber@mortongruber.com</t>
  </si>
  <si>
    <t>Julie Thompson</t>
  </si>
  <si>
    <t>For Profit</t>
  </si>
  <si>
    <t>217 Second Street</t>
  </si>
  <si>
    <t>a.webb@facha.net</t>
  </si>
  <si>
    <t>Willie James Larry</t>
  </si>
  <si>
    <t>408 South Dooley Street</t>
  </si>
  <si>
    <t>Julie Thompson, CPA</t>
  </si>
  <si>
    <t>julietaylorthompson@gmail.com</t>
  </si>
  <si>
    <t>John Wall &amp; Associates</t>
  </si>
  <si>
    <t>Ground lease/Option</t>
  </si>
  <si>
    <t>Georgia Power</t>
  </si>
  <si>
    <t>2409 Highway 43 South</t>
  </si>
  <si>
    <t>Curchill Stateside Group</t>
  </si>
  <si>
    <t>601 Cleveland Street, Suite 850</t>
  </si>
  <si>
    <t>Clearwater</t>
  </si>
  <si>
    <t>Brent Watts</t>
  </si>
  <si>
    <t>Sr. Vice President</t>
  </si>
  <si>
    <t>The number of units selected to be built was based on the size of the affordable land made available from the Flint Area Consolidated Housing Authority in the area where the City desires new housing.   Based on our experience, the market study and the extremely low vacancy rate of 1.8%, we are confident that we will achieve 100% occupancy within 90 days of completion or less.</t>
  </si>
  <si>
    <t xml:space="preserve">Hayes Management and Navigo Development Group are related entities as Thomas Hayes is an owner in both entities.  It has substantial experience managing LIHTC properties which are all profitable.   The Housing Authority also has experience managing properties that require strict compliance with HUD. </t>
  </si>
  <si>
    <t>Thomas Hayes and Russell Holloway, the owners of Navigo Development Group, Inc., will personally guarantee the contruction financing.   A lender has already pre-approved them for the financing.</t>
  </si>
  <si>
    <t>We used DCA's guidelines for determining utility allowances.</t>
  </si>
  <si>
    <t>Because of the needs in Montezuma, this project will lease up quickly and is sustainable.</t>
  </si>
  <si>
    <t>Based on the needs of the residents in Montezuma and market analysis.</t>
  </si>
  <si>
    <t>Agree</t>
  </si>
  <si>
    <t>6 to 8 months</t>
  </si>
  <si>
    <t>John Hardy</t>
  </si>
  <si>
    <t>Geotechnical Environmental Consultants, Inc.</t>
  </si>
  <si>
    <t>The site is cleared and previously held housing subsidized by HUD that was condemened and demolished in 2005.   The Housing Authority and City desires that the site be used for new housing.</t>
  </si>
  <si>
    <t>All locations are less than 65 DNL; therefore, no exterior or interior noise mitigation is required per guidelines (NAG).</t>
  </si>
  <si>
    <t>We are not requesting HOME or HUD funds; only Federal and State LIHTC.</t>
  </si>
  <si>
    <t>There will be no gas lines on the development site.</t>
  </si>
  <si>
    <t>Gazebo</t>
  </si>
  <si>
    <t>On-site laundry</t>
  </si>
  <si>
    <t>Playground</t>
  </si>
  <si>
    <t>Picnic Area and barbeque</t>
  </si>
  <si>
    <t>Not applicable.</t>
  </si>
  <si>
    <t>All renderings are included and clearly marked.</t>
  </si>
  <si>
    <t>We will meet and strive to exceed all standards.</t>
  </si>
  <si>
    <t>Additionally, all of the units' first floor levels will be visitable.</t>
  </si>
  <si>
    <t>This will be a Superior development with brick/stone and cement board, and updated roofing shingles with at least a 30 year life.</t>
  </si>
  <si>
    <t>none submitted</t>
  </si>
  <si>
    <t>Applicants have significant experience and has been managing LIHTC's in Tennessee since the 1980's.</t>
  </si>
  <si>
    <t>Minority concentration</t>
  </si>
  <si>
    <t>QCT</t>
  </si>
  <si>
    <t>The development is qualified for tax exemption, however as a good will gesture we are going to make PILOT payments in the amount of 5% of collected rents per year to the County Property Tax Collector.</t>
  </si>
  <si>
    <t>We will also market on other sites.</t>
  </si>
  <si>
    <t>We have already prepared a marketing plan that includes these persons.</t>
  </si>
  <si>
    <t>We have strived to prepare the application exactly as instructed.</t>
  </si>
  <si>
    <t>Gross rents and income limits for at least 18.48% of the low-income units will be set at or below 30% of 50% AMI.</t>
  </si>
  <si>
    <t>Not applicable</t>
  </si>
  <si>
    <t>Earth Craft House Multifamily</t>
  </si>
  <si>
    <t>We are registered and signed up with SouthFace / EarthCraft and committed to it.</t>
  </si>
  <si>
    <t>Statutory Redevelopment Plan</t>
  </si>
  <si>
    <t>Pass</t>
  </si>
  <si>
    <t>Comprehensive Plan for City of Montezuma 1993 - 2016</t>
  </si>
  <si>
    <t>Operating budget based upon Hayes Management experience operating 16 affordable housing complexes.  In properties where only trash is included in rent, average expenses are $275/unit /month.  FACHA and HDC's management experience agrees with the $275 average for operating expenses fo rtheir properties as well. 
Property tax based upon offer to pay 5% of collected rents in lieu of property tax.
Insurance estimates were based on Farmers Insurance Company's computer generated system.    Maintenance expenses are based on our experience managing other properties.   Our management and other expenses will be lower because we will be utilizing the Housing Authority's personnel and Hayes Management personnel which are already on salary.  We have critical mass and can spread our costs around.</t>
  </si>
  <si>
    <t xml:space="preserve">The appraisal is for the land.  There are no existing structures.   The property is owned by the Housing Authority and will be leased to the development.   Previous HUD subsized units  that existed on the land were condemended and demolished in 2005.  The Housing Authority desires that new affordable housing be built on the land.   </t>
  </si>
  <si>
    <t>&lt;65 DNL</t>
  </si>
  <si>
    <t>The Housing Authority owns the land and has signed a ground lease with the development for 45 years at a cost of one dollar per year.</t>
  </si>
  <si>
    <t xml:space="preserve">The site is easily accessed and the County was excited about the project and has designated a bus stop at the site.   </t>
  </si>
  <si>
    <t xml:space="preserve">The City was awarded $500,000 CDBG in 2010 for sewer improvements which included the site location for this development.   The sewer work has been completed on the development site and is still ongoing in the neighborhood.     The City has applied for additional CDBG funds for water system improvements that will include the development site area.     This is all part of the City's local redevelopment plan and its continued efforts to revitalize the area.   </t>
  </si>
  <si>
    <t>Housing Development Corporation of Taylor and Macon County</t>
  </si>
  <si>
    <t>HDC an affiliated sibsidiary of The Flint Area Consolidated Housing Authority is co-owner and co-developer of the proposed development.</t>
  </si>
  <si>
    <t>This will be a Superior Project.  Having owned and managed affordable housing developments throughout their compliamce cycle, we understand the importance fo rbuilding and maintaining teh properties with a long term approach.  Therefore, maintenance long term is reduced.   In addition this will be an EarthCraft Home Multi-Family development or better.</t>
  </si>
  <si>
    <t xml:space="preserve">Magnolia Pointe Apartments is an Earthcraft Multifamily Certified Community, consisting of a mix of single story units and two story townhouses, 33 units total, providing much needed new affordable housing to qualified moderate income individuals and families in Montezuma.
Description of the Community:
The 33 units will be arranged in six buildings and comprised of one, two and three bedroom floor plans.  The high energy efficient units will minimize residents’ utility costs and Earthcraft’s high standards will help provide residents with a healthier living environment.      
The amenities will include a fully furnished Clubhouse with a Community Room and kitchen area for social gatherings, a separate community laundry facility, an outdoor gathering area, an equipped playground, a covered pavilion with picnic/barbecue facilities, and bike racks.    There will be ample green space for residents to enjoy and landscaping to enhance the beauty of the neighborhood.    
The Owners, Developers and Funding:
The Flint Area Consolidated Housing Authority owns the land on Washington Street which is already zoned multi-family residential.  FACHA is supporting the development by leasing the land under a long term ground lease to the development.  A local non-profit, Housing Development Corporation of Macon County and Taylor County, will participate by serving as majority co-owner and co-developer of the property.  Navigo Development Group, Inc. (“Navigo”), a Florida corporation, will also be minority co-owner and co-developer.   Hayes Management Company will serve as manager of the development.  Navigo’s team has been developing and successfully managing properties such as this in Tennessee since 1983.    
</t>
  </si>
  <si>
    <t>acrews@charter.net</t>
  </si>
  <si>
    <t xml:space="preserve">The proposed Magnolia Pointe Apartments is a Superior Rural Project for a multiple of reasons and will achieve the best use of available funds by its leverage of non-profit and locally contributed resources.
Since 1985 no new affordable housing units have been constructed in Montezuma.  In 2000, people in the City of Montezuma were almost three times more likely than the average Georgia resident to live in antiquated housing that was built before 1940.  Likewise they were twice as likely to live in housing built before 1960.  Past developers find a project like this in Montezuma prohibitive, primarily because of the land costs and a lack of land available in areas the City wants to develop housing.  Working with Housing Development Corporation (“HDC”), a non-profit affiliate of the Flint Area Consolidated Housing Authority, allows us to overcome this difficulty.
The Flint Area Consolidated Housing Authority (FACHA) owns the proposed site and will support the Project by leasing the land under a long term 45 year ground lease to the development for one dollar ($1.00) a year.  The proposed site is zoned R2-Multifamily and has been an empty lot waiting development since the previous apartments were demolished in 2002.  
Even with the municipal and non-profit support, a new rural development of this magnitude in Montezuma is not feasible without DCA assistance.   Based upon Market Analyses, Montezuma’s working families are both severely rent over-burdened and subject to extremely low vacancy rates of 1.8%.     The City is concerned that many of its working residents are unable to find local affordable housing and are seeking housing in surrounding counties.     It is the hope that this development will both provide the needed affordable housing as well as to revitalize redevelopment of the area and slow the flight of working individuals from Montezuma to surrounding counties.  The area’s primary fields of employment are agricultural, poultry, mining, tourism of historical sites and parks, manufacture, health care and civil service.  
Macon County has never received any LIHTC funds from this federal program before and one of the Georgia Department of Community Affair’s stated goals is to spread affordable housing around the state versus concentrating it in the large and medium sized cities.     
FACHA, through HDC, will participate in the project by serving as majority co-owner and co-developer along with Navigo Development Group, Inc. (Navigo), which will register to do business in Georgia.  The FACHA Executive Director oversees HDC’s activities.  Navigo’s team has been developing and successfully managing LIHTC properties such as this in Tennessee since 1983.   The HDC wants to gain LIHTC experience by partnering with Navigo.
FACHA and HDC manage 156 public housing units in Montezuma (379 public housing units overall) that are subject to compliance issues.  Both would like to gain LIHTC experience by partnering with Navigo.  Navigo will train HDC personnel on the compliance issues specific to managing LIHTC’s projects and will continue to work closely with HDC to insure proper management throughout the compliance period.    Based on previous experiences and considering the needs in the area, we expect that all of the units will be pre-rented before construction is completed.  Magnolia Pointe will be the most attractive and most desired rental community in Montezuma.
Magnolia Pointe Apartments will be an aesthetically beautiful EarthCraft House Multi-Family Certified property with a total of 33 mixed single story and two story townhouses in six buildings comprised of one, two and three bedroom floor plans.  Two (2) single story units will be ADA accessible and one (1) unit will be designed for the hearing and visually impaired.   Funds will be set aside for marketing to people with disabilities.  All of the units’ first floors will be visitable by persons with disabilities, each will have 9’ ceilings and each will be equipped with washer/dryer connections.  The high energy efficient units will minimize residents’ utility costs and EarthCraft’s high standards should help provide residents with a healthier living environment.  The restrictive covenants will stipulate that gross rents and income limits for at least fifteen percent (15%) of the units will be set at or below 30% of 50% AMI for at least the term of the Compliance Period or period of affordability.   Additionally, funds will be set aside for marketing to agencies and providers of services to the homeless.  A preliminary marketing plan has already been prepared and a more comprehensive plan will be finalized and submitted prior to project completion.
Amenities will include a fully furnished Clubhouse with Community Room, kitchen, and a community laundry facility, an outdoor gathering area, an equipped playground, a covered pavilion with picnic/barbecue facilities, and bike racks.  The laundry facility servicing and maintenance will be contracted out to reduce community operating costs.    To help develop residents’ sense of community, the manager will coordinate and plan for at least two community activities each month. Activities will include scheduled book readings utilizing volunteers of the Junior Library Club, at least quarterly pot-luck dinners, monthly birthday parties, life skills and life enhancement classes utilizing volunteers, and similar activities.    At a minimum, at least $1,200 a year shall be set aside for sponsoring community activities.    Providing ample green space and lush landscaping suitable for the area will enhance the beauty of the neighborhood.
Construction financing will be guaranteed by Navigo, which will be mostly repaid upon the sale of LIHTC’s made available by DCA upon construction completion and the development achieving 90% occupancy.  The reasonableness of cost and utilization of credits threshold on this project is superior because of the amount of resources (hard construction costs are 68% of the total development cost) that will be directed specifically to the physical aspects of the community and units themselves, and to the LIHTC program’s goals of providing safe, decent and affordable housing that is viable physically, operationally, and economically over time.     By utilizing the personnel resources of the local Housing Authority, management costs for this project are expected to be lower than they would be otherwise.
The City of Montezuma and Macon County enthusiastically support this development and thanks to the resourcefulness and support of the local authorities, government, project participants, non-profits and the help of DCA, we finally have the opportunity to remind Montezuma citizens that people do care.
</t>
  </si>
  <si>
    <t>Replacement and repair of sewer and water lines in immediate neighborhood bordering property</t>
  </si>
  <si>
    <t>Property Managemtn Narrative</t>
  </si>
  <si>
    <t>Tab 3</t>
  </si>
  <si>
    <t>Property Management Agreement</t>
  </si>
  <si>
    <t>Housing Development Corporation</t>
  </si>
  <si>
    <t>Navigo Development Group, Inc</t>
  </si>
  <si>
    <t>Reliant Bank</t>
  </si>
  <si>
    <t xml:space="preserve">* To all applicants: please provide methodology for determining applicable construction hard costs.      The applicants have experience building and developing communities such as these and obtained quotes from three contractors to help determine estimated costs of building in Montezuma.  The Contractors which estimated are large companies that have built numerous projects in multiple states, have historically had the best price estimates, and the quality of their construction seems superior.   We have done diligent work to obtain the most cost effective estimates.  
Equity pricing for both federal and state credits may not be as good as some others due to smaller project size and rural location.  </t>
  </si>
  <si>
    <t>The information is based on our prior experiences, professional consultants, and other studies.   All of our properties are in small rural communities where the demand is high and because our buildings are well maintained we continually operate with at least 93%-100% occupancy.   We are very comfortable that our projections are conservative and are confident of our ability to make sure the Montezuma project is successfull.     We have not sold any of our developments, and they have all been operating successfully for over fifteen years.
Under the proposed structure project is able to maintain a 1.1 operating expense coverage ratio through year 20 and remains profitable through year 30.</t>
  </si>
  <si>
    <t xml:space="preserve">We have planned for activities to enhance the residents sense of community and well being.   </t>
  </si>
  <si>
    <t>There have been no LIHTC developments built in Macon County, but the need is great.    This is Superior Rural Project for a multiple of reasons and will achieve the best use of available funds by its leverage of non-profit and locally contributed resources.</t>
  </si>
  <si>
    <t xml:space="preserve">The City Council, Macon County, the Housing Authority, and other City Department Heads and Officials all support this development.   One of the City's main goals as stated in their ongoing Plans is to improve affordable housing and stabilize the community.   The City hopes this development will slow the flight of working residents from the area due to a lack of nice affordable housing.  </t>
  </si>
  <si>
    <t>Applicants requested to submit a pre-application but did not have a site selected at time of pre-application submission date.</t>
  </si>
  <si>
    <t>13193000400, 13193000100, 13193000200, 13193000300, 13261950100, 13093970200, 13093970100, 13153021500, 13153021300</t>
  </si>
  <si>
    <t>Site Census Tract 13193000400</t>
  </si>
  <si>
    <t>None</t>
  </si>
  <si>
    <t xml:space="preserve">We will achieve the best use of available funds by leverage of the Housing Authority non-profit and locally contributed resources.  We are leasing the land for one dollar a year for 45 years we are able to place more of our development cost into hard consturction cost providing a better benefit for the residents.     </t>
  </si>
  <si>
    <t>There are approximatelly 19 desirable characteristics wtihin a 2 mile walking/driving distance which are further described in the application package.</t>
  </si>
  <si>
    <t>The County has established a bus stop at the development site that will run on a daily basis.    A letter stating the same is included in the application package.</t>
  </si>
  <si>
    <t xml:space="preserve">The City and County have redeveloment plans adopted before January 1, 2012, that target the area in which the project is located.  A copy of the Plan is included in this application and can be found on DCA's website.   The City received a $500,000 Sewer Grant from DCA in 2010 and has a $500,000 current Water Improvement application pending.    </t>
  </si>
  <si>
    <t>Montezuma has not had any new multi-family developments built since 1985.    Macon County has never received LIHTC funds.</t>
  </si>
  <si>
    <t>The area ranks as the 9th poorest County and has a 70 percent plus minority population.    Most live in old substandard housing and photos are enclosed in the application demonstrating this and more descriptions are included in the Superior Project Narrative.</t>
  </si>
  <si>
    <t xml:space="preserve">Most residents are to poor for home ownership.    </t>
  </si>
  <si>
    <t>The Flint Area Consolidated Housing Authority, through its affiliated non-profit, Housing Development Corporation, is both majority General Partner and Developer.   It hopes that through this development it can gain LIHTC development and management experience to supplement its HUD housing programs.</t>
  </si>
  <si>
    <t>This is a Rural area.</t>
  </si>
  <si>
    <t>45 year ground lease from Housing Authority for one dollar per year; new sewer being installed at the site currently and new water line project planned which directly effects neighborhood and borders subject property on two sides.</t>
  </si>
  <si>
    <t>A Superior Project Narrative is enclosed in this application.</t>
  </si>
  <si>
    <t>Yes we will accept Section 8 Vouchers and our marketing plan will include the recipients of same.</t>
  </si>
  <si>
    <t>There have been no compliance issues with any of the participants owned and managed properties.</t>
  </si>
  <si>
    <t>For periods in question, all of the properties currently owned and managed average an occupancy rate of 93 to 100 percent.   
In part due to Flint Area Consolidated Housing Authority's participation in this development we are able to devote the majority of our total development cost to hard construction costs, which will benefit the tenants greatly.</t>
  </si>
  <si>
    <t xml:space="preserve">The proposed Magnolia Pointe Apartments is a Superior Rural Project for a multiple of reasons and will achieve the best use of available funds by its leverage of non-profit and locally contributed resources.
Since 1985 no new affordable housing units have been constructed in Montezuma.  In 2000, people in the City of Montezuma were almost three times more likely than the average Georgia resident to live in antiquated housing that was built before 1940.  Likewise they were twice as likely to live in housing built before 1960.  Past developers find a project like this in Montezuma prohibitive, primarily because of the land costs and a lack of land available in areas the City wants to develop housing.  Working with Housing Development Corporation (“HDC”), a non-profit affiliate of the Flint Area Consolidated Housing Authority, allows us to overcome this difficulty.
The Flint Area Consolidated Housing Authority (FACHA) owns the proposed site and will support the Project by leasing the land under a long term 45 year ground lease to the development for one dollar ($1.00) a year.  The proposed site is zoned R2-Multifamily and has been an empty lot waiting development since the previous apartments were demolished in 2002.  
Even with the municipal and non-profit support, a new rural development of this magnitude in Montezuma is not feasible without DCA assistance.   Based upon Market Analyses, Montezuma’s working families are both severely rent over-burdened and subject to extremely low vacancy rates of 1.8%.     The City is concerned that many of its working residents are unable to find local affordable housing and are seeking housing in surrounding counties.     It is the hope that this development will both provide the needed affordable housing as well as to revitalize redevelopment of the area and slow the flight of working individuals from Montezuma to surrounding counties.  The area’s primary fields of employment are agricultural, poultry, mining, tourism of historical sites and parks, manufacture, health care and civil service.  
Macon County has never received any LIHTC funds from this federal program before and one of the Georgia Department of Community Affair’s stated goals is to spread affordable housing around the state versus concentrating it in the large and medium sized cities.     
FACHA, through HDC, will participate in the project by serving as majority co-owner and co-developer along with Navigo Development Group, Inc. (Navigo), which will register to do business in Georgia.  The FACHA Executive Director oversees HDC’s activities.  Navigo’s team has been developing and successfully managing LIHTC properties such as this in Tennessee since 1983.   The HDC wants to gain LIHTC experience by partnering with Navigo.
FACHA and HDC manage 156 public housing units in Montezuma (379 public housing units overall) that are subject to compliance issues.  Both would like to gain LIHTC experience by partnering with Navigo.  Navigo will train HDC personnel on the compliance issues specific to managing LIHTC’s projects and will continue to work closely with HDC to insure proper management throughout the compliance period.    Based on previous experiences and considering the needs in the area, we expect that all of the units will be pre-rented before construction is completed.  Magnolia Pointe will be the most attractive and most desired rental community in Montezuma.
The City of Montezuma and Macon County enthusiastically support this development and thanks to the resourcefulness and support of the local authorities, government, project participants, non-profits and the help of DCA, we finally have the opportunity to remind Montezuma citizens that people do care.
</t>
  </si>
  <si>
    <t>2012-047</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</si>
</sst>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2">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43" fontId="10" fillId="6" borderId="19" xfId="1" applyNumberFormat="1" applyFont="1" applyFill="1" applyBorder="1" applyProtection="1"/>
    <xf numFmtId="164" fontId="10" fillId="6" borderId="17" xfId="1" applyNumberFormat="1" applyFont="1" applyFill="1" applyBorder="1" applyProtection="1"/>
    <xf numFmtId="164" fontId="10" fillId="6" borderId="19"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9"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2012-047, Magnolia Pointe Apartments, Macon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3555</v>
      </c>
      <c r="B3" s="880"/>
      <c r="C3" s="880"/>
      <c r="D3" s="880"/>
      <c r="E3" s="880"/>
      <c r="F3" s="880"/>
      <c r="G3" s="880"/>
    </row>
    <row r="4" spans="1:9" s="40" customFormat="1" ht="8.25" customHeight="1">
      <c r="A4" s="95"/>
      <c r="B4" s="869" t="s">
        <v>1243</v>
      </c>
      <c r="C4" s="870"/>
      <c r="D4" s="870"/>
      <c r="E4" s="870" t="s">
        <v>3620</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3976</v>
      </c>
      <c r="I8" s="1235"/>
    </row>
    <row r="9" spans="1:9" s="40" customFormat="1" ht="12.6" customHeight="1" thickBot="1">
      <c r="A9" s="101"/>
      <c r="B9" s="789"/>
      <c r="C9" s="390"/>
      <c r="D9" s="390"/>
      <c r="E9" s="391" t="s">
        <v>3943</v>
      </c>
      <c r="F9" s="391"/>
      <c r="G9" s="1234" t="s">
        <v>3976</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3976</v>
      </c>
    </row>
    <row r="12" spans="1:9" s="40" customFormat="1" ht="12.6" customHeight="1">
      <c r="A12" s="386"/>
      <c r="B12" s="1237"/>
      <c r="C12" s="1237"/>
      <c r="D12" s="1237"/>
      <c r="E12" s="1236" t="s">
        <v>3944</v>
      </c>
      <c r="F12" s="395"/>
      <c r="G12" s="1234" t="s">
        <v>3976</v>
      </c>
    </row>
    <row r="13" spans="1:9" s="40" customFormat="1" ht="12.6" customHeight="1">
      <c r="A13" s="386"/>
      <c r="B13" s="1237"/>
      <c r="C13" s="1237"/>
      <c r="D13" s="1237"/>
      <c r="E13" s="1236" t="s">
        <v>3940</v>
      </c>
      <c r="F13" s="395"/>
      <c r="G13" s="1234" t="s">
        <v>3976</v>
      </c>
    </row>
    <row r="14" spans="1:9" s="40" customFormat="1" ht="12" customHeight="1">
      <c r="A14" s="101"/>
      <c r="B14" s="391"/>
      <c r="C14" s="391"/>
      <c r="D14" s="391"/>
      <c r="E14" s="392" t="s">
        <v>749</v>
      </c>
      <c r="F14" s="391"/>
      <c r="G14" s="1234" t="s">
        <v>3976</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2104</v>
      </c>
    </row>
    <row r="17" spans="1:7" s="40" customFormat="1" ht="12" customHeight="1">
      <c r="A17" s="101"/>
      <c r="B17" s="239"/>
      <c r="C17" s="789"/>
      <c r="D17" s="391"/>
      <c r="E17" s="391" t="s">
        <v>3931</v>
      </c>
      <c r="F17" s="391"/>
      <c r="G17" s="1234" t="s">
        <v>3976</v>
      </c>
    </row>
    <row r="18" spans="1:7" s="40" customFormat="1" ht="12" customHeight="1">
      <c r="A18" s="101"/>
      <c r="B18" s="239"/>
      <c r="C18" s="789"/>
      <c r="D18" s="391"/>
      <c r="E18" s="391" t="s">
        <v>3970</v>
      </c>
      <c r="F18" s="391"/>
      <c r="G18" s="1234" t="s">
        <v>3976</v>
      </c>
    </row>
    <row r="19" spans="1:7" s="40" customFormat="1" ht="12" customHeight="1">
      <c r="A19" s="387">
        <v>2</v>
      </c>
      <c r="B19" s="394" t="s">
        <v>3916</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3905</v>
      </c>
      <c r="D21" s="391"/>
      <c r="E21" s="391" t="s">
        <v>2001</v>
      </c>
      <c r="F21" s="391"/>
      <c r="G21" s="1234" t="s">
        <v>3976</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3902</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3497</v>
      </c>
      <c r="F25" s="391"/>
      <c r="G25" s="1234" t="s">
        <v>2104</v>
      </c>
    </row>
    <row r="26" spans="1:7" s="40" customFormat="1" ht="12" customHeight="1">
      <c r="A26" s="101"/>
      <c r="B26" s="391"/>
      <c r="C26" s="391"/>
      <c r="D26" s="391"/>
      <c r="E26" s="1236" t="s">
        <v>3279</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3959</v>
      </c>
      <c r="F30" s="391"/>
      <c r="G30" s="1234" t="s">
        <v>2104</v>
      </c>
    </row>
    <row r="31" spans="1:7" s="40" customFormat="1" ht="12" customHeight="1">
      <c r="A31" s="101"/>
      <c r="B31" s="239"/>
      <c r="D31" s="1236" t="s">
        <v>3651</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3903</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3917</v>
      </c>
      <c r="D35" s="393"/>
      <c r="E35" s="395" t="s">
        <v>3336</v>
      </c>
      <c r="F35" s="394"/>
      <c r="G35" s="1234" t="s">
        <v>3976</v>
      </c>
    </row>
    <row r="36" spans="1:7" s="40" customFormat="1" ht="12" customHeight="1">
      <c r="A36" s="97"/>
      <c r="B36" s="393"/>
      <c r="C36" s="393"/>
      <c r="D36" s="393"/>
      <c r="E36" s="395" t="s">
        <v>3337</v>
      </c>
      <c r="F36" s="394"/>
      <c r="G36" s="1234" t="s">
        <v>3976</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82" t="s">
        <v>3698</v>
      </c>
      <c r="F38" s="883"/>
      <c r="G38" s="1234" t="s">
        <v>3976</v>
      </c>
    </row>
    <row r="39" spans="1:7" s="40" customFormat="1" ht="12" customHeight="1">
      <c r="A39" s="101"/>
      <c r="B39" s="239"/>
      <c r="C39" s="391"/>
      <c r="D39" s="391"/>
      <c r="E39" s="395" t="s">
        <v>3276</v>
      </c>
      <c r="F39" s="391"/>
      <c r="G39" s="1234" t="s">
        <v>3976</v>
      </c>
    </row>
    <row r="40" spans="1:7" s="40" customFormat="1" ht="12" customHeight="1">
      <c r="A40" s="101"/>
      <c r="B40" s="239"/>
      <c r="C40" s="391"/>
      <c r="D40" s="391"/>
      <c r="E40" s="395" t="s">
        <v>3636</v>
      </c>
      <c r="F40" s="391"/>
      <c r="G40" s="1234" t="s">
        <v>3976</v>
      </c>
    </row>
    <row r="41" spans="1:7" s="40" customFormat="1" ht="12" customHeight="1">
      <c r="A41" s="97"/>
      <c r="B41" s="393"/>
      <c r="C41" s="393"/>
      <c r="D41" s="393"/>
      <c r="E41" s="395" t="s">
        <v>1782</v>
      </c>
      <c r="F41" s="394"/>
      <c r="G41" s="1234" t="s">
        <v>3976</v>
      </c>
    </row>
    <row r="42" spans="1:7" s="40" customFormat="1" ht="12" customHeight="1">
      <c r="A42" s="97"/>
      <c r="B42" s="393"/>
      <c r="C42" s="393"/>
      <c r="D42" s="393"/>
      <c r="E42" s="395" t="s">
        <v>1781</v>
      </c>
      <c r="F42" s="394"/>
      <c r="G42" s="1234" t="s">
        <v>3976</v>
      </c>
    </row>
    <row r="43" spans="1:7" s="40" customFormat="1" ht="3" customHeight="1">
      <c r="A43" s="101"/>
      <c r="B43" s="391"/>
      <c r="C43" s="391"/>
      <c r="D43" s="391"/>
      <c r="E43" s="1236"/>
      <c r="F43" s="391"/>
      <c r="G43" s="102"/>
    </row>
    <row r="44" spans="1:7" s="40" customFormat="1" ht="12" customHeight="1">
      <c r="A44" s="386"/>
      <c r="B44" s="1238"/>
      <c r="C44" s="1239"/>
      <c r="D44" s="789" t="s">
        <v>3851</v>
      </c>
      <c r="E44" s="1240" t="s">
        <v>3904</v>
      </c>
      <c r="F44" s="1241"/>
      <c r="G44" s="1234" t="s">
        <v>2104</v>
      </c>
    </row>
    <row r="45" spans="1:7" s="40" customFormat="1" ht="11.25" customHeight="1">
      <c r="A45" s="101"/>
      <c r="B45" s="1242"/>
      <c r="C45" s="143"/>
      <c r="D45" s="143"/>
      <c r="E45" s="1236" t="s">
        <v>3679</v>
      </c>
      <c r="F45" s="391"/>
      <c r="G45" s="1234" t="s">
        <v>2104</v>
      </c>
    </row>
    <row r="46" spans="1:7" s="40" customFormat="1" ht="12" customHeight="1">
      <c r="A46" s="101"/>
      <c r="B46" s="1243"/>
      <c r="C46" s="1244"/>
      <c r="D46" s="1244"/>
      <c r="E46" s="1236" t="s">
        <v>3680</v>
      </c>
      <c r="F46" s="391"/>
      <c r="G46" s="1234" t="s">
        <v>2104</v>
      </c>
    </row>
    <row r="47" spans="1:7" s="40" customFormat="1" ht="26.25" customHeight="1">
      <c r="A47" s="99"/>
      <c r="B47" s="393"/>
      <c r="C47" s="393"/>
      <c r="D47" s="393"/>
      <c r="E47" s="882" t="s">
        <v>3699</v>
      </c>
      <c r="F47" s="883"/>
      <c r="G47" s="1234" t="s">
        <v>2104</v>
      </c>
    </row>
    <row r="48" spans="1:7" s="40" customFormat="1" ht="3" customHeight="1">
      <c r="A48" s="797"/>
      <c r="B48" s="393"/>
      <c r="C48" s="393"/>
      <c r="D48" s="393"/>
      <c r="E48" s="395"/>
      <c r="F48" s="394"/>
      <c r="G48" s="312"/>
    </row>
    <row r="49" spans="1:7" s="40" customFormat="1" ht="12" customHeight="1">
      <c r="A49" s="386">
        <v>3</v>
      </c>
      <c r="B49" s="406" t="s">
        <v>3923</v>
      </c>
      <c r="C49" s="391"/>
      <c r="D49" s="391"/>
      <c r="E49" s="395" t="s">
        <v>3920</v>
      </c>
      <c r="F49" s="794"/>
      <c r="G49" s="1234" t="s">
        <v>3978</v>
      </c>
    </row>
    <row r="50" spans="1:7" s="40" customFormat="1" ht="13.5">
      <c r="A50" s="386"/>
      <c r="B50" s="406"/>
      <c r="C50" s="1245" t="s">
        <v>3932</v>
      </c>
      <c r="D50" s="391"/>
      <c r="E50" s="882" t="s">
        <v>3969</v>
      </c>
      <c r="F50" s="883"/>
      <c r="G50" s="1234" t="s">
        <v>3978</v>
      </c>
    </row>
    <row r="51" spans="1:7" s="40" customFormat="1" ht="12" customHeight="1">
      <c r="A51" s="101"/>
      <c r="B51" s="239"/>
      <c r="C51" s="789"/>
      <c r="D51" s="391"/>
      <c r="E51" s="391" t="s">
        <v>3261</v>
      </c>
      <c r="F51" s="391"/>
      <c r="G51" s="1234" t="s">
        <v>3976</v>
      </c>
    </row>
    <row r="52" spans="1:7" s="40" customFormat="1" ht="12" customHeight="1">
      <c r="A52" s="101"/>
      <c r="B52" s="239"/>
      <c r="C52" s="789"/>
      <c r="D52" s="391"/>
      <c r="E52" s="391" t="s">
        <v>3919</v>
      </c>
      <c r="F52" s="391"/>
      <c r="G52" s="1234" t="s">
        <v>3976</v>
      </c>
    </row>
    <row r="53" spans="1:7" s="40" customFormat="1" ht="12" customHeight="1">
      <c r="A53" s="101"/>
      <c r="B53" s="239"/>
      <c r="C53" s="391"/>
      <c r="D53" s="391"/>
      <c r="E53" s="395" t="s">
        <v>3202</v>
      </c>
      <c r="F53" s="395"/>
      <c r="G53" s="1234" t="s">
        <v>3976</v>
      </c>
    </row>
    <row r="54" spans="1:7" s="40" customFormat="1" ht="12" customHeight="1">
      <c r="A54" s="101"/>
      <c r="B54" s="239"/>
      <c r="C54" s="391"/>
      <c r="D54" s="391"/>
      <c r="E54" s="882" t="s">
        <v>3921</v>
      </c>
      <c r="F54" s="883"/>
      <c r="G54" s="1234" t="s">
        <v>3976</v>
      </c>
    </row>
    <row r="55" spans="1:7" s="40" customFormat="1" ht="3" customHeight="1">
      <c r="A55" s="97"/>
      <c r="B55" s="393"/>
      <c r="C55" s="393"/>
      <c r="D55" s="393"/>
      <c r="E55" s="393"/>
      <c r="F55" s="394"/>
      <c r="G55" s="311"/>
    </row>
    <row r="56" spans="1:7" s="40" customFormat="1" ht="12" customHeight="1">
      <c r="A56" s="101"/>
      <c r="B56" s="395"/>
      <c r="C56" s="865" t="s">
        <v>3924</v>
      </c>
      <c r="D56" s="865"/>
      <c r="E56" s="395" t="s">
        <v>3289</v>
      </c>
      <c r="F56" s="395"/>
      <c r="G56" s="1234" t="s">
        <v>2104</v>
      </c>
    </row>
    <row r="57" spans="1:7" s="40" customFormat="1" ht="12" customHeight="1">
      <c r="A57" s="101"/>
      <c r="B57" s="395"/>
      <c r="C57" s="865"/>
      <c r="D57" s="865"/>
      <c r="E57" s="395" t="s">
        <v>3290</v>
      </c>
      <c r="F57" s="395"/>
      <c r="G57" s="1234" t="s">
        <v>2104</v>
      </c>
    </row>
    <row r="58" spans="1:7" s="1246" customFormat="1" ht="12" customHeight="1">
      <c r="A58" s="101"/>
      <c r="B58" s="395"/>
      <c r="C58" s="395"/>
      <c r="D58" s="414"/>
      <c r="E58" s="395" t="s">
        <v>3310</v>
      </c>
      <c r="F58" s="395"/>
      <c r="G58" s="1234" t="s">
        <v>2104</v>
      </c>
    </row>
    <row r="59" spans="1:7" s="40" customFormat="1" ht="3" customHeight="1">
      <c r="A59" s="97"/>
      <c r="B59" s="393"/>
      <c r="C59" s="393"/>
      <c r="D59" s="393"/>
      <c r="E59" s="393"/>
      <c r="F59" s="394"/>
      <c r="G59" s="311"/>
    </row>
    <row r="60" spans="1:7" s="40" customFormat="1" ht="12" customHeight="1">
      <c r="A60" s="101"/>
      <c r="C60" s="1245" t="s">
        <v>3697</v>
      </c>
      <c r="D60" s="391"/>
      <c r="E60" s="391" t="s">
        <v>3690</v>
      </c>
      <c r="G60" s="1234" t="s">
        <v>3976</v>
      </c>
    </row>
    <row r="61" spans="1:7" s="40" customFormat="1" ht="12" customHeight="1">
      <c r="A61" s="101"/>
      <c r="B61" s="395"/>
      <c r="C61" s="390"/>
      <c r="D61" s="395"/>
      <c r="E61" s="882" t="s">
        <v>3691</v>
      </c>
      <c r="F61" s="883"/>
      <c r="G61" s="1234" t="s">
        <v>3976</v>
      </c>
    </row>
    <row r="62" spans="1:7" s="40" customFormat="1" ht="12" customHeight="1">
      <c r="A62" s="101"/>
      <c r="B62" s="395"/>
      <c r="C62" s="413"/>
      <c r="D62" s="395"/>
      <c r="E62" s="395" t="s">
        <v>3906</v>
      </c>
      <c r="G62" s="1234" t="s">
        <v>3976</v>
      </c>
    </row>
    <row r="63" spans="1:7" s="40" customFormat="1" ht="12" customHeight="1">
      <c r="A63" s="101"/>
      <c r="B63" s="395"/>
      <c r="C63" s="395"/>
      <c r="D63" s="414"/>
      <c r="E63" s="395" t="s">
        <v>3692</v>
      </c>
      <c r="G63" s="1234" t="s">
        <v>3976</v>
      </c>
    </row>
    <row r="64" spans="1:7" s="40" customFormat="1" ht="12" customHeight="1">
      <c r="A64" s="101"/>
      <c r="B64" s="395"/>
      <c r="C64" s="395"/>
      <c r="D64" s="414"/>
      <c r="E64" s="395" t="s">
        <v>3693</v>
      </c>
      <c r="G64" s="1234" t="s">
        <v>3976</v>
      </c>
    </row>
    <row r="65" spans="1:7" s="1246" customFormat="1" ht="12" customHeight="1">
      <c r="A65" s="101"/>
      <c r="B65" s="395"/>
      <c r="C65" s="395"/>
      <c r="D65" s="414"/>
      <c r="E65" s="882" t="s">
        <v>3694</v>
      </c>
      <c r="F65" s="883"/>
      <c r="G65" s="1234" t="s">
        <v>3976</v>
      </c>
    </row>
    <row r="66" spans="1:7" s="40" customFormat="1" ht="12" customHeight="1">
      <c r="A66" s="101"/>
      <c r="D66" s="391"/>
      <c r="E66" s="881" t="s">
        <v>3695</v>
      </c>
      <c r="F66" s="883"/>
      <c r="G66" s="1234" t="s">
        <v>3976</v>
      </c>
    </row>
    <row r="67" spans="1:7" s="40" customFormat="1" ht="12" customHeight="1">
      <c r="A67" s="101"/>
      <c r="B67" s="395"/>
      <c r="C67" s="390"/>
      <c r="D67" s="395"/>
      <c r="E67" s="395" t="s">
        <v>3696</v>
      </c>
      <c r="G67" s="1234" t="s">
        <v>3976</v>
      </c>
    </row>
    <row r="68" spans="1:7" s="40" customFormat="1" ht="13.5">
      <c r="A68" s="101"/>
      <c r="B68" s="1236" t="s">
        <v>3922</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3926</v>
      </c>
      <c r="F70" s="391"/>
      <c r="G70" s="1234" t="s">
        <v>2104</v>
      </c>
    </row>
    <row r="71" spans="1:7" s="40" customFormat="1" ht="12" customHeight="1">
      <c r="A71" s="101"/>
      <c r="B71" s="391"/>
      <c r="C71" s="391"/>
      <c r="D71" s="1236"/>
      <c r="E71" s="396" t="s">
        <v>3311</v>
      </c>
      <c r="F71" s="395"/>
      <c r="G71" s="1234" t="s">
        <v>2104</v>
      </c>
    </row>
    <row r="72" spans="1:7" s="40" customFormat="1" ht="12" customHeight="1">
      <c r="A72" s="386"/>
      <c r="B72" s="1237"/>
      <c r="C72" s="391"/>
      <c r="D72" s="391"/>
      <c r="E72" s="1236" t="s">
        <v>3925</v>
      </c>
      <c r="F72" s="391"/>
      <c r="G72" s="1234" t="s">
        <v>2104</v>
      </c>
    </row>
    <row r="73" spans="1:7" s="40" customFormat="1" ht="12" customHeight="1">
      <c r="A73" s="386"/>
      <c r="B73" s="1237"/>
      <c r="C73" s="391"/>
      <c r="D73" s="391"/>
      <c r="E73" s="1236" t="s">
        <v>3955</v>
      </c>
      <c r="F73" s="391"/>
      <c r="G73" s="1234" t="s">
        <v>2104</v>
      </c>
    </row>
    <row r="74" spans="1:7" s="40" customFormat="1" ht="12" customHeight="1">
      <c r="A74" s="386"/>
      <c r="B74" s="1237"/>
      <c r="C74" s="391"/>
      <c r="D74" s="391"/>
      <c r="E74" s="1236" t="s">
        <v>3661</v>
      </c>
      <c r="F74" s="391"/>
      <c r="G74" s="1234" t="s">
        <v>2104</v>
      </c>
    </row>
    <row r="75" spans="1:7" s="40" customFormat="1" ht="12" customHeight="1">
      <c r="A75" s="386"/>
      <c r="B75" s="1237"/>
      <c r="C75" s="391"/>
      <c r="D75" s="391"/>
      <c r="E75" s="1236" t="s">
        <v>3280</v>
      </c>
      <c r="F75" s="391"/>
      <c r="G75" s="1234" t="s">
        <v>2104</v>
      </c>
    </row>
    <row r="76" spans="1:7" s="40" customFormat="1" ht="12" customHeight="1">
      <c r="A76" s="386"/>
      <c r="B76" s="1237"/>
      <c r="C76" s="391"/>
      <c r="D76" s="391"/>
      <c r="E76" s="1236" t="s">
        <v>3927</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3956</v>
      </c>
      <c r="F78" s="391"/>
      <c r="G78" s="1234" t="s">
        <v>2104</v>
      </c>
    </row>
    <row r="79" spans="1:7" s="40" customFormat="1" ht="12" customHeight="1">
      <c r="A79" s="101"/>
      <c r="B79" s="407" t="s">
        <v>3343</v>
      </c>
      <c r="C79" s="408"/>
      <c r="D79" s="409"/>
      <c r="E79" s="396"/>
      <c r="F79" s="391"/>
      <c r="G79" s="313"/>
    </row>
    <row r="80" spans="1:7" s="40" customFormat="1" ht="12.75" customHeight="1">
      <c r="A80" s="386">
        <v>5</v>
      </c>
      <c r="B80" s="404" t="s">
        <v>3203</v>
      </c>
      <c r="C80" s="391"/>
      <c r="D80" s="391"/>
      <c r="E80" s="397" t="s">
        <v>2519</v>
      </c>
      <c r="F80" s="397"/>
      <c r="G80" s="1234" t="s">
        <v>3976</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2104</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78" t="s">
        <v>1724</v>
      </c>
      <c r="F88" s="879"/>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3976</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3976</v>
      </c>
    </row>
    <row r="94" spans="1:7" s="40" customFormat="1" ht="12" customHeight="1">
      <c r="A94" s="101"/>
      <c r="B94" s="391"/>
      <c r="C94" s="391"/>
      <c r="D94" s="391"/>
      <c r="E94" s="397" t="s">
        <v>3907</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3681</v>
      </c>
      <c r="D96" s="391"/>
      <c r="E96" s="1236"/>
      <c r="F96" s="397"/>
      <c r="G96" s="149"/>
    </row>
    <row r="97" spans="1:7" s="40" customFormat="1" ht="12.75" customHeight="1">
      <c r="A97" s="387"/>
      <c r="D97" s="1248" t="s">
        <v>3682</v>
      </c>
      <c r="E97" s="1236" t="s">
        <v>3928</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3281</v>
      </c>
      <c r="F101" s="391"/>
      <c r="G101" s="1234" t="s">
        <v>2104</v>
      </c>
    </row>
    <row r="102" spans="1:7" s="40" customFormat="1" ht="12" customHeight="1">
      <c r="A102" s="101"/>
      <c r="B102" s="391"/>
      <c r="C102" s="411"/>
      <c r="D102" s="411"/>
      <c r="E102" s="395" t="s">
        <v>3586</v>
      </c>
      <c r="F102" s="399"/>
      <c r="G102" s="1234" t="s">
        <v>2104</v>
      </c>
    </row>
    <row r="103" spans="1:7" s="40" customFormat="1" ht="12" customHeight="1">
      <c r="A103" s="101"/>
      <c r="B103" s="391"/>
      <c r="C103" s="411"/>
      <c r="D103" s="411"/>
      <c r="E103" s="395" t="s">
        <v>3587</v>
      </c>
      <c r="F103" s="399"/>
      <c r="G103" s="1234" t="s">
        <v>2104</v>
      </c>
    </row>
    <row r="104" spans="1:7" s="40" customFormat="1" ht="12" customHeight="1">
      <c r="A104" s="101"/>
      <c r="B104" s="391"/>
      <c r="C104" s="391"/>
      <c r="D104" s="391"/>
      <c r="E104" s="391" t="s">
        <v>3588</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3976</v>
      </c>
    </row>
    <row r="107" spans="1:7" s="40" customFormat="1" ht="6" customHeight="1">
      <c r="A107" s="101"/>
      <c r="B107" s="239"/>
      <c r="C107" s="789"/>
      <c r="D107" s="391"/>
      <c r="E107" s="397"/>
      <c r="F107" s="397"/>
      <c r="G107" s="149"/>
    </row>
    <row r="108" spans="1:7" s="40" customFormat="1" ht="12" customHeight="1">
      <c r="A108" s="386">
        <v>8</v>
      </c>
      <c r="B108" s="406" t="s">
        <v>3204</v>
      </c>
      <c r="C108" s="239"/>
      <c r="D108" s="391"/>
      <c r="E108" s="397" t="s">
        <v>1779</v>
      </c>
      <c r="F108" s="397"/>
      <c r="G108" s="1234" t="s">
        <v>3976</v>
      </c>
    </row>
    <row r="109" spans="1:7" s="40" customFormat="1" ht="12" customHeight="1">
      <c r="A109" s="101"/>
      <c r="B109" s="239"/>
      <c r="C109" s="789"/>
      <c r="D109" s="391"/>
      <c r="E109" s="397" t="s">
        <v>3918</v>
      </c>
      <c r="F109" s="397"/>
      <c r="G109" s="1234" t="s">
        <v>3976</v>
      </c>
    </row>
    <row r="110" spans="1:7" s="40" customFormat="1" ht="12" customHeight="1">
      <c r="A110" s="101"/>
      <c r="B110" s="239"/>
      <c r="C110" s="789"/>
      <c r="D110" s="391"/>
      <c r="E110" s="397" t="s">
        <v>3910</v>
      </c>
      <c r="F110" s="397"/>
      <c r="G110" s="1234" t="s">
        <v>3976</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3685</v>
      </c>
      <c r="F112" s="883"/>
      <c r="G112" s="1234" t="s">
        <v>3976</v>
      </c>
    </row>
    <row r="113" spans="1:7" s="40" customFormat="1" ht="12" customHeight="1">
      <c r="A113" s="101"/>
      <c r="B113" s="395"/>
      <c r="C113" s="239"/>
      <c r="D113" s="395"/>
      <c r="E113" s="395" t="s">
        <v>680</v>
      </c>
      <c r="F113" s="401"/>
      <c r="G113" s="1234" t="s">
        <v>3976</v>
      </c>
    </row>
    <row r="114" spans="1:7" s="40" customFormat="1" ht="12" customHeight="1">
      <c r="A114" s="101"/>
      <c r="B114" s="391"/>
      <c r="C114" s="239"/>
      <c r="D114" s="391"/>
      <c r="E114" s="395" t="s">
        <v>3608</v>
      </c>
      <c r="F114" s="397"/>
      <c r="G114" s="1234"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3778</v>
      </c>
      <c r="F116" s="391"/>
      <c r="G116" s="1234" t="s">
        <v>3976</v>
      </c>
    </row>
    <row r="117" spans="1:7" s="40" customFormat="1" ht="12" customHeight="1">
      <c r="A117" s="101"/>
      <c r="B117" s="239"/>
      <c r="C117" s="239"/>
      <c r="D117" s="391"/>
      <c r="E117" s="391" t="s">
        <v>3117</v>
      </c>
      <c r="F117" s="391"/>
      <c r="G117" s="1234" t="s">
        <v>2104</v>
      </c>
    </row>
    <row r="118" spans="1:7" s="40" customFormat="1" ht="12" customHeight="1">
      <c r="A118" s="101"/>
      <c r="B118" s="391"/>
      <c r="C118" s="239"/>
      <c r="D118" s="391"/>
      <c r="E118" s="391" t="s">
        <v>3060</v>
      </c>
      <c r="F118" s="391"/>
      <c r="G118" s="1234" t="s">
        <v>2104</v>
      </c>
    </row>
    <row r="119" spans="1:7" s="40" customFormat="1" ht="12" customHeight="1">
      <c r="A119" s="101"/>
      <c r="B119" s="390"/>
      <c r="C119" s="239"/>
      <c r="D119" s="391"/>
      <c r="E119" s="395" t="s">
        <v>3686</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3688</v>
      </c>
      <c r="F121" s="882"/>
      <c r="G121" s="1234" t="s">
        <v>3976</v>
      </c>
    </row>
    <row r="122" spans="1:7" s="40" customFormat="1" ht="12" customHeight="1">
      <c r="A122" s="104"/>
      <c r="B122" s="390"/>
      <c r="C122" s="239"/>
      <c r="D122" s="395"/>
      <c r="E122" s="882" t="s">
        <v>3687</v>
      </c>
      <c r="F122" s="883"/>
      <c r="G122" s="1234" t="s">
        <v>3976</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3689</v>
      </c>
      <c r="F124" s="401"/>
      <c r="G124" s="1234" t="s">
        <v>2104</v>
      </c>
    </row>
    <row r="125" spans="1:7" s="40" customFormat="1" ht="12" customHeight="1">
      <c r="A125" s="386"/>
      <c r="B125" s="404"/>
      <c r="C125" s="239"/>
      <c r="D125" s="391"/>
      <c r="E125" s="395" t="s">
        <v>3282</v>
      </c>
      <c r="F125" s="395"/>
      <c r="G125" s="1234" t="s">
        <v>2104</v>
      </c>
    </row>
    <row r="126" spans="1:7" s="40" customFormat="1" ht="12" customHeight="1">
      <c r="A126" s="101"/>
      <c r="B126" s="395"/>
      <c r="C126" s="239"/>
      <c r="D126" s="395"/>
      <c r="E126" s="396" t="s">
        <v>3496</v>
      </c>
      <c r="F126" s="391"/>
      <c r="G126" s="1234" t="s">
        <v>2104</v>
      </c>
    </row>
    <row r="127" spans="1:7" s="40" customFormat="1" ht="12" customHeight="1">
      <c r="A127" s="101"/>
      <c r="B127" s="391"/>
      <c r="C127" s="239"/>
      <c r="D127" s="1236"/>
      <c r="E127" s="391" t="s">
        <v>3283</v>
      </c>
      <c r="F127" s="391"/>
      <c r="G127" s="1234" t="s">
        <v>3976</v>
      </c>
    </row>
    <row r="128" spans="1:7" s="40" customFormat="1" ht="12" customHeight="1">
      <c r="A128" s="101"/>
      <c r="B128" s="390"/>
      <c r="C128" s="239"/>
      <c r="D128" s="391"/>
      <c r="E128" s="391" t="s">
        <v>1537</v>
      </c>
      <c r="F128" s="391"/>
      <c r="G128" s="1234" t="s">
        <v>3976</v>
      </c>
    </row>
    <row r="129" spans="1:7" s="40" customFormat="1" ht="12" customHeight="1">
      <c r="A129" s="101"/>
      <c r="B129" s="391"/>
      <c r="C129" s="239"/>
      <c r="D129" s="391"/>
      <c r="E129" s="395" t="s">
        <v>1538</v>
      </c>
      <c r="F129" s="401"/>
      <c r="G129" s="1234" t="s">
        <v>3976</v>
      </c>
    </row>
    <row r="130" spans="1:7" s="40" customFormat="1" ht="12" customHeight="1">
      <c r="A130" s="101"/>
      <c r="B130" s="395"/>
      <c r="C130" s="239"/>
      <c r="D130" s="395"/>
      <c r="E130" s="395" t="s">
        <v>3242</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3976</v>
      </c>
    </row>
    <row r="133" spans="1:7" s="40" customFormat="1" ht="12" customHeight="1">
      <c r="A133" s="101"/>
      <c r="B133" s="884"/>
      <c r="C133" s="885"/>
      <c r="D133" s="885"/>
      <c r="E133" s="395" t="s">
        <v>1785</v>
      </c>
      <c r="F133" s="395"/>
      <c r="G133" s="1234" t="s">
        <v>3976</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3312</v>
      </c>
      <c r="F136" s="397"/>
      <c r="G136" s="1234" t="s">
        <v>2104</v>
      </c>
    </row>
    <row r="137" spans="1:7" s="40" customFormat="1" ht="12" customHeight="1">
      <c r="A137" s="101"/>
      <c r="B137" s="587" t="s">
        <v>2883</v>
      </c>
      <c r="C137" s="239"/>
      <c r="D137" s="1251"/>
      <c r="E137" s="881" t="s">
        <v>3936</v>
      </c>
      <c r="F137" s="883"/>
      <c r="G137" s="1234" t="s">
        <v>2104</v>
      </c>
    </row>
    <row r="138" spans="1:7" s="40" customFormat="1" ht="6" customHeight="1">
      <c r="A138" s="97"/>
      <c r="B138" s="393"/>
      <c r="C138" s="393"/>
      <c r="D138" s="393"/>
      <c r="E138" s="393"/>
      <c r="F138" s="394"/>
      <c r="G138" s="311"/>
    </row>
    <row r="139" spans="1:7" s="40" customFormat="1" ht="12" customHeight="1">
      <c r="A139" s="386">
        <v>15</v>
      </c>
      <c r="B139" s="404" t="s">
        <v>2936</v>
      </c>
      <c r="C139" s="412"/>
      <c r="D139" s="395"/>
      <c r="E139" s="392" t="s">
        <v>2937</v>
      </c>
      <c r="F139" s="391"/>
      <c r="G139" s="1234" t="s">
        <v>3976</v>
      </c>
    </row>
    <row r="140" spans="1:7" s="40" customFormat="1" ht="12" customHeight="1">
      <c r="A140" s="386"/>
      <c r="B140" s="587" t="s">
        <v>3179</v>
      </c>
      <c r="C140" s="404"/>
      <c r="D140" s="391"/>
      <c r="E140" s="392" t="s">
        <v>2373</v>
      </c>
      <c r="F140" s="391"/>
      <c r="G140" s="1234" t="s">
        <v>3976</v>
      </c>
    </row>
    <row r="141" spans="1:7" s="40" customFormat="1" ht="12" customHeight="1">
      <c r="A141" s="101"/>
      <c r="B141" s="239"/>
      <c r="C141" s="391"/>
      <c r="D141" s="391"/>
      <c r="E141" s="391" t="s">
        <v>3093</v>
      </c>
      <c r="F141" s="391"/>
      <c r="G141" s="1234" t="s">
        <v>3976</v>
      </c>
    </row>
    <row r="142" spans="1:7" s="40" customFormat="1" ht="12" customHeight="1">
      <c r="A142" s="101"/>
      <c r="B142" s="391"/>
      <c r="C142" s="391"/>
      <c r="D142" s="391"/>
      <c r="E142" s="391" t="s">
        <v>3609</v>
      </c>
      <c r="F142" s="391"/>
      <c r="G142" s="1234" t="s">
        <v>3976</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2104</v>
      </c>
    </row>
    <row r="145" spans="1:7" s="40" customFormat="1" ht="12" customHeight="1">
      <c r="A145" s="101"/>
      <c r="B145" s="395"/>
      <c r="C145" s="390"/>
      <c r="D145" s="395"/>
      <c r="E145" s="395" t="s">
        <v>3402</v>
      </c>
      <c r="F145" s="395"/>
      <c r="G145" s="1234" t="s">
        <v>3976</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3976</v>
      </c>
    </row>
    <row r="148" spans="1:7" s="40" customFormat="1" ht="12" customHeight="1">
      <c r="A148" s="101"/>
      <c r="B148" s="395"/>
      <c r="C148" s="395"/>
      <c r="D148" s="414"/>
      <c r="E148" s="395" t="s">
        <v>911</v>
      </c>
      <c r="F148" s="395"/>
      <c r="G148" s="1234" t="s">
        <v>2104</v>
      </c>
    </row>
    <row r="149" spans="1:7" s="1246" customFormat="1" ht="12" customHeight="1">
      <c r="A149" s="101"/>
      <c r="B149" s="395"/>
      <c r="C149" s="395"/>
      <c r="D149" s="414"/>
      <c r="E149" s="395" t="s">
        <v>2142</v>
      </c>
      <c r="F149" s="395"/>
      <c r="G149" s="1234" t="s">
        <v>3976</v>
      </c>
    </row>
    <row r="150" spans="1:7" s="40" customFormat="1" ht="12" customHeight="1">
      <c r="A150" s="101"/>
      <c r="B150" s="395"/>
      <c r="C150" s="395"/>
      <c r="D150" s="395"/>
      <c r="E150" s="789" t="s">
        <v>3335</v>
      </c>
      <c r="F150" s="401"/>
      <c r="G150" s="1234" t="s">
        <v>3976</v>
      </c>
    </row>
    <row r="151" spans="1:7" s="40" customFormat="1" ht="12" customHeight="1">
      <c r="A151" s="101"/>
      <c r="B151" s="395"/>
      <c r="C151" s="395"/>
      <c r="D151" s="395"/>
      <c r="E151" s="789" t="s">
        <v>3700</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2995</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3098</v>
      </c>
      <c r="F159" s="391"/>
      <c r="G159" s="1234" t="s">
        <v>2104</v>
      </c>
    </row>
    <row r="160" spans="1:7" s="40" customFormat="1" ht="12" customHeight="1">
      <c r="A160" s="101"/>
      <c r="B160" s="239"/>
      <c r="C160" s="239"/>
      <c r="D160" s="239"/>
      <c r="E160" s="395" t="s">
        <v>3128</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3124</v>
      </c>
      <c r="F163" s="391"/>
      <c r="G163" s="1234" t="s">
        <v>2104</v>
      </c>
    </row>
    <row r="164" spans="1:7" s="40" customFormat="1" ht="12" customHeight="1">
      <c r="A164" s="101"/>
      <c r="B164" s="395"/>
      <c r="C164" s="395"/>
      <c r="D164" s="395"/>
      <c r="E164" s="395" t="s">
        <v>3125</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2104</v>
      </c>
    </row>
    <row r="167" spans="1:7" s="40" customFormat="1" ht="6" customHeight="1">
      <c r="A167" s="97"/>
      <c r="B167" s="393"/>
      <c r="C167" s="393"/>
      <c r="D167" s="393"/>
      <c r="E167" s="393"/>
      <c r="F167" s="394"/>
      <c r="G167" s="312"/>
    </row>
    <row r="168" spans="1:7" s="40" customFormat="1" ht="12.6" customHeight="1">
      <c r="A168" s="101"/>
      <c r="B168" s="407" t="s">
        <v>3277</v>
      </c>
      <c r="C168" s="1254"/>
      <c r="D168" s="1255"/>
      <c r="E168" s="1236"/>
      <c r="F168" s="391"/>
      <c r="G168" s="103"/>
    </row>
    <row r="169" spans="1:7" s="40" customFormat="1" ht="12" customHeight="1">
      <c r="A169" s="386">
        <v>19</v>
      </c>
      <c r="B169" s="1237" t="s">
        <v>945</v>
      </c>
      <c r="C169" s="239"/>
      <c r="D169" s="1236"/>
      <c r="E169" s="397" t="s">
        <v>3278</v>
      </c>
      <c r="F169" s="391"/>
      <c r="G169" s="1234" t="s">
        <v>3976</v>
      </c>
    </row>
    <row r="170" spans="1:7" s="40" customFormat="1" ht="12" customHeight="1">
      <c r="A170" s="101"/>
      <c r="B170" s="239"/>
      <c r="C170" s="789"/>
      <c r="D170" s="1236"/>
      <c r="E170" s="881" t="s">
        <v>807</v>
      </c>
      <c r="F170" s="883"/>
      <c r="G170" s="1234" t="s">
        <v>3976</v>
      </c>
    </row>
    <row r="171" spans="1:7" s="40" customFormat="1" ht="12" customHeight="1">
      <c r="A171" s="101"/>
      <c r="B171" s="400"/>
      <c r="C171" s="1236"/>
      <c r="D171" s="1236"/>
      <c r="E171" s="397" t="s">
        <v>36</v>
      </c>
      <c r="F171" s="391"/>
      <c r="G171" s="1234" t="s">
        <v>3976</v>
      </c>
    </row>
    <row r="172" spans="1:7" s="40" customFormat="1" ht="27" customHeight="1">
      <c r="A172" s="101"/>
      <c r="B172" s="400"/>
      <c r="C172" s="1236"/>
      <c r="D172" s="1236"/>
      <c r="E172" s="881" t="s">
        <v>645</v>
      </c>
      <c r="F172" s="883"/>
      <c r="G172" s="1234" t="s">
        <v>2104</v>
      </c>
    </row>
    <row r="173" spans="1:7" s="40" customFormat="1" ht="37.5" customHeight="1">
      <c r="A173" s="101"/>
      <c r="B173" s="400"/>
      <c r="C173" s="1236"/>
      <c r="D173" s="1236"/>
      <c r="E173" s="878" t="s">
        <v>3701</v>
      </c>
      <c r="F173" s="879"/>
      <c r="G173" s="1234" t="s">
        <v>2104</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3911</v>
      </c>
      <c r="F175" s="883"/>
      <c r="G175" s="1234" t="s">
        <v>3976</v>
      </c>
    </row>
    <row r="176" spans="1:7" s="40" customFormat="1" ht="11.25" customHeight="1">
      <c r="A176" s="386"/>
      <c r="B176" s="1257"/>
      <c r="C176" s="239"/>
      <c r="D176" s="1237"/>
      <c r="E176" s="881" t="s">
        <v>590</v>
      </c>
      <c r="F176" s="883"/>
      <c r="G176" s="1234" t="s">
        <v>3976</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2104</v>
      </c>
    </row>
    <row r="179" spans="1:7" s="40" customFormat="1" ht="12" customHeight="1">
      <c r="A179" s="101"/>
      <c r="B179" s="1237"/>
      <c r="C179" s="239"/>
      <c r="E179" s="822" t="s">
        <v>3662</v>
      </c>
      <c r="F179" s="821"/>
      <c r="G179" s="1234" t="s">
        <v>2104</v>
      </c>
    </row>
    <row r="180" spans="1:7" s="40" customFormat="1" ht="12" customHeight="1">
      <c r="A180" s="101"/>
      <c r="B180" s="406"/>
      <c r="C180" s="239"/>
      <c r="D180" s="1237"/>
      <c r="E180" s="881" t="s">
        <v>591</v>
      </c>
      <c r="F180" s="883"/>
      <c r="G180" s="1234" t="s">
        <v>2104</v>
      </c>
    </row>
    <row r="181" spans="1:7" s="40" customFormat="1" ht="12" customHeight="1">
      <c r="A181" s="101"/>
      <c r="B181" s="406"/>
      <c r="C181" s="239"/>
      <c r="D181" s="1237"/>
      <c r="E181" s="881" t="s">
        <v>592</v>
      </c>
      <c r="F181" s="883"/>
      <c r="G181" s="1234" t="s">
        <v>2104</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2104</v>
      </c>
    </row>
    <row r="184" spans="1:7" s="40" customFormat="1" ht="26.25" customHeight="1">
      <c r="A184" s="101"/>
      <c r="B184" s="1237"/>
      <c r="C184" s="239"/>
      <c r="D184" s="1237"/>
      <c r="E184" s="881" t="s">
        <v>3676</v>
      </c>
      <c r="F184" s="883"/>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3250</v>
      </c>
      <c r="C189" s="1237"/>
      <c r="D189" s="1237"/>
      <c r="E189" s="881" t="s">
        <v>3913</v>
      </c>
      <c r="F189" s="883"/>
      <c r="G189" s="1234" t="s">
        <v>2104</v>
      </c>
    </row>
    <row r="190" spans="1:7" s="40" customFormat="1" ht="12" customHeight="1">
      <c r="A190" s="101"/>
      <c r="B190" s="1237"/>
      <c r="C190" s="239"/>
      <c r="D190" s="1237"/>
      <c r="E190" s="1236" t="s">
        <v>3677</v>
      </c>
      <c r="G190" s="1234" t="s">
        <v>2104</v>
      </c>
    </row>
    <row r="191" spans="1:7" s="40" customFormat="1" ht="12" customHeight="1">
      <c r="A191" s="386"/>
      <c r="B191" s="1258"/>
      <c r="C191" s="1237"/>
      <c r="D191" s="1237"/>
      <c r="E191" s="881" t="s">
        <v>3914</v>
      </c>
      <c r="F191" s="1112"/>
      <c r="G191" s="1234" t="s">
        <v>2104</v>
      </c>
    </row>
    <row r="192" spans="1:7" s="40" customFormat="1" ht="12" customHeight="1">
      <c r="A192" s="388"/>
      <c r="B192" s="1258"/>
      <c r="C192" s="1237"/>
      <c r="D192" s="1237"/>
      <c r="E192" s="881" t="s">
        <v>3678</v>
      </c>
      <c r="F192" s="1112"/>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3976</v>
      </c>
    </row>
    <row r="195" spans="1:7" s="40" customFormat="1" ht="26.25" customHeight="1">
      <c r="A195" s="101"/>
      <c r="B195" s="1237"/>
      <c r="C195" s="239"/>
      <c r="D195" s="1237"/>
      <c r="E195" s="1260" t="s">
        <v>3912</v>
      </c>
      <c r="F195" s="1261"/>
      <c r="G195" s="1234" t="s">
        <v>3976</v>
      </c>
    </row>
    <row r="196" spans="1:7" s="40" customFormat="1" ht="6" customHeight="1">
      <c r="A196" s="97"/>
      <c r="B196" s="393"/>
      <c r="C196" s="1237"/>
      <c r="D196" s="1237"/>
      <c r="E196" s="1236"/>
      <c r="F196" s="395"/>
      <c r="G196" s="395"/>
    </row>
    <row r="197" spans="1:7" s="40" customFormat="1" ht="12" customHeight="1">
      <c r="A197" s="386">
        <v>25</v>
      </c>
      <c r="B197" s="1237" t="s">
        <v>3611</v>
      </c>
      <c r="C197" s="239"/>
      <c r="D197" s="1237"/>
      <c r="E197" s="1236" t="s">
        <v>1523</v>
      </c>
      <c r="F197" s="395"/>
      <c r="G197" s="1234" t="s">
        <v>2104</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3313</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3314</v>
      </c>
      <c r="F202" s="1268"/>
      <c r="G202" s="1234" t="s">
        <v>2104</v>
      </c>
    </row>
    <row r="203" spans="1:7" s="40" customFormat="1" ht="12" customHeight="1">
      <c r="A203" s="101"/>
      <c r="C203" s="1236"/>
      <c r="D203" s="1237"/>
      <c r="E203" s="1236" t="s">
        <v>3315</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3524</v>
      </c>
      <c r="F205" s="395"/>
      <c r="G205" s="1234" t="s">
        <v>3976</v>
      </c>
    </row>
    <row r="206" spans="1:7" s="40" customFormat="1" ht="12" customHeight="1">
      <c r="A206" s="101"/>
      <c r="B206" s="239"/>
      <c r="C206" s="1236"/>
      <c r="D206" s="1237"/>
      <c r="E206" s="1236" t="s">
        <v>3166</v>
      </c>
      <c r="F206" s="395"/>
      <c r="G206" s="1234" t="s">
        <v>3976</v>
      </c>
    </row>
    <row r="207" spans="1:7" s="40" customFormat="1" ht="12" customHeight="1">
      <c r="A207" s="101"/>
      <c r="B207" s="1236"/>
      <c r="C207" s="390"/>
      <c r="D207" s="1237"/>
      <c r="E207" s="1236" t="s">
        <v>155</v>
      </c>
      <c r="F207" s="395"/>
      <c r="G207" s="1234" t="s">
        <v>3976</v>
      </c>
    </row>
    <row r="208" spans="1:7" s="40" customFormat="1" ht="12" customHeight="1">
      <c r="A208" s="101"/>
      <c r="B208" s="1236"/>
      <c r="C208" s="1245"/>
      <c r="D208" s="1237"/>
      <c r="E208" s="1236" t="s">
        <v>3610</v>
      </c>
      <c r="F208" s="395"/>
      <c r="G208" s="1234" t="s">
        <v>2104</v>
      </c>
    </row>
    <row r="209" spans="1:7" s="40" customFormat="1" ht="12" customHeight="1">
      <c r="A209" s="101"/>
      <c r="B209" s="789"/>
      <c r="C209" s="1245"/>
      <c r="D209" s="1237"/>
      <c r="E209" s="1236" t="s">
        <v>156</v>
      </c>
      <c r="F209" s="395"/>
      <c r="G209" s="1234" t="s">
        <v>3976</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3284</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3147</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3683</v>
      </c>
      <c r="F227" s="821"/>
      <c r="G227" s="1234" t="s">
        <v>2104</v>
      </c>
    </row>
    <row r="228" spans="1:7" s="40" customFormat="1" ht="26.25" customHeight="1">
      <c r="A228" s="388"/>
      <c r="B228" s="239"/>
      <c r="C228" s="239"/>
      <c r="D228" s="1237"/>
      <c r="E228" s="881" t="s">
        <v>3684</v>
      </c>
      <c r="F228" s="883"/>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4079</v>
      </c>
      <c r="F230" s="1271" t="s">
        <v>4080</v>
      </c>
      <c r="G230" s="1234" t="s">
        <v>3976</v>
      </c>
    </row>
    <row r="231" spans="1:7" s="40" customFormat="1" ht="12.6" customHeight="1">
      <c r="A231" s="101"/>
      <c r="C231" s="1272" t="s">
        <v>946</v>
      </c>
      <c r="D231" s="1112"/>
      <c r="E231" s="1273" t="s">
        <v>4081</v>
      </c>
      <c r="F231" s="1273" t="s">
        <v>4080</v>
      </c>
      <c r="G231" s="1274" t="s">
        <v>3976</v>
      </c>
    </row>
    <row r="232" spans="1:7" s="40" customFormat="1" ht="12.6" customHeight="1">
      <c r="A232" s="101"/>
      <c r="C232" s="1272"/>
      <c r="D232" s="1112"/>
      <c r="E232" s="1273"/>
      <c r="F232" s="1273"/>
      <c r="G232" s="1274"/>
    </row>
    <row r="233" spans="1:7" s="40" customFormat="1" ht="12.6" customHeight="1">
      <c r="A233" s="101"/>
      <c r="C233" s="1272"/>
      <c r="D233" s="1112"/>
      <c r="E233" s="1273"/>
      <c r="F233" s="1273"/>
      <c r="G233" s="1274"/>
    </row>
    <row r="234" spans="1:7" s="40" customFormat="1" ht="12.6" customHeight="1">
      <c r="A234" s="101"/>
      <c r="C234" s="1272"/>
      <c r="D234" s="1112"/>
      <c r="E234" s="1273"/>
      <c r="F234" s="1273"/>
      <c r="G234" s="1274"/>
    </row>
    <row r="235" spans="1:7" s="40" customFormat="1" ht="12.6" customHeight="1">
      <c r="A235" s="101"/>
      <c r="C235" s="1111"/>
      <c r="D235" s="1112"/>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3440</v>
      </c>
      <c r="C237" s="239"/>
      <c r="D237" s="391"/>
      <c r="E237" s="1236" t="s">
        <v>3607</v>
      </c>
      <c r="F237" s="397"/>
      <c r="G237" s="1234" t="s">
        <v>3976</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3976</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3612</v>
      </c>
      <c r="F241" s="957"/>
      <c r="G241" s="1234" t="s">
        <v>3976</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3915</v>
      </c>
      <c r="B244" s="1277"/>
      <c r="C244" s="1277"/>
      <c r="D244" s="1277"/>
      <c r="E244" s="1277"/>
      <c r="F244" s="1277"/>
      <c r="G244" s="1278"/>
    </row>
  </sheetData>
  <sheetProtection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2012-047 Magnolia Pointe Apartments, Montezuma, Macon County</v>
      </c>
      <c r="B1" s="1002"/>
      <c r="C1" s="1002"/>
      <c r="D1" s="1002"/>
      <c r="E1" s="1002"/>
      <c r="F1" s="1002"/>
      <c r="G1" s="1002"/>
      <c r="H1" s="1002"/>
      <c r="I1" s="1002"/>
      <c r="J1" s="1002"/>
      <c r="K1" s="1002"/>
      <c r="L1" s="1002"/>
      <c r="M1" s="1002"/>
      <c r="N1" s="1002"/>
      <c r="O1" s="1002"/>
      <c r="P1" s="1003"/>
      <c r="T1" s="1081" t="str">
        <f>A1</f>
        <v>PART SIX - PROJECTED REVENUES &amp; EXPENSES  -  2012-047 Magnolia Pointe Apartments, Montezuma, Macon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3333</v>
      </c>
      <c r="C3" s="2"/>
      <c r="E3" s="186" t="s">
        <v>3889</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3425</v>
      </c>
      <c r="FC3" s="773" t="s">
        <v>3426</v>
      </c>
      <c r="FD3" s="773" t="s">
        <v>3427</v>
      </c>
      <c r="FE3" s="773" t="s">
        <v>3428</v>
      </c>
      <c r="FF3" s="775"/>
      <c r="FG3" s="775"/>
      <c r="FH3" s="775"/>
      <c r="FI3" s="775"/>
      <c r="FJ3" s="775"/>
      <c r="FK3" s="773" t="s">
        <v>673</v>
      </c>
      <c r="FL3" s="773" t="s">
        <v>3425</v>
      </c>
      <c r="FM3" s="773" t="s">
        <v>3426</v>
      </c>
      <c r="FN3" s="773" t="s">
        <v>3427</v>
      </c>
      <c r="FO3" s="773" t="s">
        <v>3428</v>
      </c>
      <c r="FP3" s="773" t="s">
        <v>673</v>
      </c>
      <c r="FQ3" s="773" t="s">
        <v>3425</v>
      </c>
      <c r="FR3" s="773" t="s">
        <v>3426</v>
      </c>
      <c r="FS3" s="773" t="s">
        <v>3427</v>
      </c>
      <c r="FT3" s="773" t="s">
        <v>3428</v>
      </c>
      <c r="FU3" s="773" t="s">
        <v>673</v>
      </c>
      <c r="FV3" s="773" t="s">
        <v>3425</v>
      </c>
      <c r="FW3" s="773" t="s">
        <v>3426</v>
      </c>
      <c r="FX3" s="773" t="s">
        <v>3427</v>
      </c>
      <c r="FY3" s="773" t="s">
        <v>3428</v>
      </c>
      <c r="FZ3" s="773" t="s">
        <v>673</v>
      </c>
      <c r="GA3" s="773" t="s">
        <v>3425</v>
      </c>
      <c r="GB3" s="773" t="s">
        <v>3426</v>
      </c>
      <c r="GC3" s="773" t="s">
        <v>3427</v>
      </c>
      <c r="GD3" s="773" t="s">
        <v>3428</v>
      </c>
      <c r="GE3" s="773" t="s">
        <v>673</v>
      </c>
      <c r="GF3" s="773" t="s">
        <v>3425</v>
      </c>
      <c r="GG3" s="773" t="s">
        <v>3426</v>
      </c>
      <c r="GH3" s="773" t="s">
        <v>3427</v>
      </c>
      <c r="GI3" s="773" t="s">
        <v>3428</v>
      </c>
      <c r="GJ3" s="773" t="s">
        <v>673</v>
      </c>
      <c r="GK3" s="773" t="s">
        <v>3425</v>
      </c>
      <c r="GL3" s="773" t="s">
        <v>3426</v>
      </c>
      <c r="GM3" s="773" t="s">
        <v>3427</v>
      </c>
      <c r="GN3" s="773" t="s">
        <v>3428</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3231</v>
      </c>
      <c r="AC4" s="1084" t="s">
        <v>3232</v>
      </c>
      <c r="AD4" s="1084" t="s">
        <v>3233</v>
      </c>
      <c r="AE4" s="1084" t="s">
        <v>3234</v>
      </c>
      <c r="AF4" s="1084" t="s">
        <v>1414</v>
      </c>
      <c r="AG4" s="1084" t="s">
        <v>3235</v>
      </c>
      <c r="AH4" s="1084" t="s">
        <v>3236</v>
      </c>
      <c r="AI4" s="1084" t="s">
        <v>3237</v>
      </c>
      <c r="AJ4" s="1084" t="s">
        <v>3238</v>
      </c>
      <c r="AK4" s="1084" t="s">
        <v>140</v>
      </c>
      <c r="AL4" s="1084" t="s">
        <v>3239</v>
      </c>
      <c r="AM4" s="1084" t="s">
        <v>3240</v>
      </c>
      <c r="AN4" s="1084" t="s">
        <v>3241</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3415</v>
      </c>
      <c r="BU4" s="1084" t="s">
        <v>3416</v>
      </c>
      <c r="BV4" s="1084" t="s">
        <v>3417</v>
      </c>
      <c r="BW4" s="1084" t="s">
        <v>3418</v>
      </c>
      <c r="BX4" s="1084" t="s">
        <v>3419</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3414</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2672</v>
      </c>
      <c r="DV4" s="1083" t="s">
        <v>2673</v>
      </c>
      <c r="DW4" s="1083" t="s">
        <v>2674</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3110</v>
      </c>
      <c r="EM4" s="1083" t="s">
        <v>3111</v>
      </c>
      <c r="EN4" s="1083" t="s">
        <v>3112</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3539</v>
      </c>
      <c r="GQ4" s="1083" t="s">
        <v>3540</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2718</v>
      </c>
      <c r="D5" s="2"/>
      <c r="E5" s="5"/>
      <c r="F5" s="2"/>
      <c r="G5" s="1512"/>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13" t="s">
        <v>3978</v>
      </c>
      <c r="J6" s="851" t="s">
        <v>3387</v>
      </c>
      <c r="N6" s="1087" t="str">
        <f>'Part I-Project Information'!$J$26</f>
        <v>Macon Co.</v>
      </c>
      <c r="O6" s="1087"/>
      <c r="P6" s="672">
        <f>VLOOKUP('Part I-Project Information'!$J$26,'DCA Underwriting Assumptions'!$C$84:$D$194,2)</f>
        <v>39200</v>
      </c>
      <c r="Q6" s="769"/>
      <c r="R6" s="1089" t="s">
        <v>3975</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
      </c>
      <c r="B7" s="5"/>
      <c r="C7" s="2"/>
      <c r="D7" s="5"/>
      <c r="E7" s="2"/>
      <c r="F7" s="2"/>
      <c r="G7" s="2"/>
      <c r="H7" s="2"/>
      <c r="I7" s="2"/>
      <c r="J7" s="851" t="s">
        <v>3388</v>
      </c>
      <c r="K7" s="2"/>
      <c r="L7" s="2"/>
      <c r="M7" s="2"/>
      <c r="N7" s="37"/>
      <c r="O7" s="37"/>
      <c r="P7" s="817"/>
      <c r="Q7" s="817"/>
      <c r="R7" s="818"/>
      <c r="S7" s="819" t="s">
        <v>3972</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3363</v>
      </c>
      <c r="H8" s="851" t="s">
        <v>3361</v>
      </c>
      <c r="I8" s="851" t="s">
        <v>1284</v>
      </c>
      <c r="J8" s="851" t="s">
        <v>3389</v>
      </c>
      <c r="K8" s="1085" t="s">
        <v>170</v>
      </c>
      <c r="L8" s="1085"/>
      <c r="M8" s="851" t="s">
        <v>3334</v>
      </c>
      <c r="N8" s="851" t="s">
        <v>768</v>
      </c>
      <c r="O8" s="851" t="s">
        <v>457</v>
      </c>
      <c r="P8" s="1088" t="s">
        <v>1551</v>
      </c>
      <c r="Q8" s="1088"/>
      <c r="R8" s="852" t="s">
        <v>3971</v>
      </c>
      <c r="S8" s="852" t="s">
        <v>3973</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3425</v>
      </c>
      <c r="EX8" s="776" t="s">
        <v>3426</v>
      </c>
      <c r="EY8" s="776" t="s">
        <v>3427</v>
      </c>
      <c r="EZ8" s="776" t="s">
        <v>3428</v>
      </c>
      <c r="FA8" s="1083" t="s">
        <v>3505</v>
      </c>
      <c r="FB8" s="1083" t="s">
        <v>3505</v>
      </c>
      <c r="FC8" s="1083" t="s">
        <v>3505</v>
      </c>
      <c r="FD8" s="1083" t="s">
        <v>3505</v>
      </c>
      <c r="FE8" s="1083" t="s">
        <v>3505</v>
      </c>
      <c r="FF8" s="776" t="s">
        <v>673</v>
      </c>
      <c r="FG8" s="776" t="s">
        <v>3425</v>
      </c>
      <c r="FH8" s="776" t="s">
        <v>3426</v>
      </c>
      <c r="FI8" s="776" t="s">
        <v>3427</v>
      </c>
      <c r="FJ8" s="776" t="s">
        <v>3428</v>
      </c>
      <c r="FK8" s="1083" t="s">
        <v>3507</v>
      </c>
      <c r="FL8" s="1083" t="s">
        <v>3507</v>
      </c>
      <c r="FM8" s="1083" t="s">
        <v>3507</v>
      </c>
      <c r="FN8" s="1083" t="s">
        <v>3507</v>
      </c>
      <c r="FO8" s="1083" t="s">
        <v>3507</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3362</v>
      </c>
      <c r="I9" s="851" t="s">
        <v>1285</v>
      </c>
      <c r="J9" s="758" t="s">
        <v>422</v>
      </c>
      <c r="K9" s="851" t="s">
        <v>2131</v>
      </c>
      <c r="L9" s="851" t="s">
        <v>775</v>
      </c>
      <c r="M9" s="851" t="s">
        <v>2068</v>
      </c>
      <c r="N9" s="851" t="s">
        <v>1863</v>
      </c>
      <c r="O9" s="851" t="s">
        <v>458</v>
      </c>
      <c r="P9" s="852" t="s">
        <v>1549</v>
      </c>
      <c r="Q9" s="852" t="s">
        <v>1550</v>
      </c>
      <c r="R9" s="852" t="s">
        <v>2070</v>
      </c>
      <c r="S9" s="852" t="s">
        <v>3974</v>
      </c>
      <c r="T9" s="954" t="s">
        <v>2717</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3504</v>
      </c>
      <c r="EX9" s="776" t="s">
        <v>3504</v>
      </c>
      <c r="EY9" s="776" t="s">
        <v>3504</v>
      </c>
      <c r="EZ9" s="776" t="s">
        <v>3504</v>
      </c>
      <c r="FA9" s="1083"/>
      <c r="FB9" s="1083"/>
      <c r="FC9" s="1083"/>
      <c r="FD9" s="1083"/>
      <c r="FE9" s="1083"/>
      <c r="FF9" s="776" t="s">
        <v>3506</v>
      </c>
      <c r="FG9" s="776" t="s">
        <v>3506</v>
      </c>
      <c r="FH9" s="776" t="s">
        <v>3506</v>
      </c>
      <c r="FI9" s="776" t="s">
        <v>3506</v>
      </c>
      <c r="FJ9" s="776" t="s">
        <v>3506</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4" t="s">
        <v>127</v>
      </c>
      <c r="C10" s="1515">
        <v>1</v>
      </c>
      <c r="D10" s="1516">
        <v>1</v>
      </c>
      <c r="E10" s="1517">
        <v>2</v>
      </c>
      <c r="F10" s="1517">
        <v>822</v>
      </c>
      <c r="G10" s="1517">
        <v>418</v>
      </c>
      <c r="H10" s="1517">
        <v>415</v>
      </c>
      <c r="I10" s="1517">
        <v>152</v>
      </c>
      <c r="J10" s="1518"/>
      <c r="K10" s="224">
        <f>MAX(0,H10-I10)</f>
        <v>263</v>
      </c>
      <c r="L10" s="224">
        <f t="shared" ref="L10:L47" si="0">MAX(0,E10*K10)</f>
        <v>526</v>
      </c>
      <c r="M10" s="1519" t="s">
        <v>3978</v>
      </c>
      <c r="N10" s="1519" t="s">
        <v>3646</v>
      </c>
      <c r="O10" s="1519" t="s">
        <v>3214</v>
      </c>
      <c r="P10" s="673">
        <f>IF(H10="","",H10*12/0.3)</f>
        <v>16600</v>
      </c>
      <c r="Q10" s="674">
        <f>IF(H10="","",P10/($P$6*VLOOKUP(C10,'DCA Underwriting Assumptions'!$J$84:$K$89,2,FALSE)))</f>
        <v>0.56462585034013602</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2</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1644</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2</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2</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f t="shared" ref="FV10:FV47" si="127">IF(AND($C10=1, $N10="1-Story"),$E10,"")</f>
        <v>2</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0" t="s">
        <v>127</v>
      </c>
      <c r="C11" s="1521">
        <v>2</v>
      </c>
      <c r="D11" s="1522">
        <v>2.5</v>
      </c>
      <c r="E11" s="1523">
        <v>1</v>
      </c>
      <c r="F11" s="1523">
        <v>1146</v>
      </c>
      <c r="G11" s="1523">
        <v>502</v>
      </c>
      <c r="H11" s="1523">
        <v>499</v>
      </c>
      <c r="I11" s="1523">
        <v>195</v>
      </c>
      <c r="J11" s="1524"/>
      <c r="K11" s="225">
        <f t="shared" ref="K11:K27" si="172">MAX(0,H11-I11)</f>
        <v>304</v>
      </c>
      <c r="L11" s="225">
        <f t="shared" si="0"/>
        <v>304</v>
      </c>
      <c r="M11" s="1525" t="s">
        <v>3978</v>
      </c>
      <c r="N11" s="1525" t="s">
        <v>47</v>
      </c>
      <c r="O11" s="1525" t="s">
        <v>3214</v>
      </c>
      <c r="P11" s="673">
        <f>IF(H11="","",H11*12/0.3)</f>
        <v>19960</v>
      </c>
      <c r="Q11" s="674">
        <f>IF(H11="","",P11/($P$6*VLOOKUP(C11,'DCA Underwriting Assumptions'!$J$84:$K$89,2,FALSE)))</f>
        <v>0.56575963718820865</v>
      </c>
      <c r="R11" s="820"/>
      <c r="S11" s="674"/>
      <c r="T11" s="1462"/>
      <c r="U11" s="1463"/>
      <c r="V11" s="757" t="str">
        <f t="shared" si="1"/>
        <v/>
      </c>
      <c r="W11" s="757" t="str">
        <f t="shared" si="2"/>
        <v/>
      </c>
      <c r="X11" s="757" t="str">
        <f t="shared" si="3"/>
        <v/>
      </c>
      <c r="Y11" s="757" t="str">
        <f t="shared" si="4"/>
        <v/>
      </c>
      <c r="Z11" s="757" t="str">
        <f t="shared" si="5"/>
        <v/>
      </c>
      <c r="AA11" s="757" t="str">
        <f t="shared" si="6"/>
        <v/>
      </c>
      <c r="AB11" s="757" t="str">
        <f t="shared" si="7"/>
        <v/>
      </c>
      <c r="AC11" s="757">
        <f t="shared" si="8"/>
        <v>1</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1146</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1</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f t="shared" si="123"/>
        <v>1</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0" t="s">
        <v>127</v>
      </c>
      <c r="C12" s="1521">
        <v>3</v>
      </c>
      <c r="D12" s="1522">
        <v>2.5</v>
      </c>
      <c r="E12" s="1523">
        <v>2</v>
      </c>
      <c r="F12" s="1523">
        <v>1378</v>
      </c>
      <c r="G12" s="1523">
        <v>580</v>
      </c>
      <c r="H12" s="1523">
        <v>577</v>
      </c>
      <c r="I12" s="1523">
        <v>239</v>
      </c>
      <c r="J12" s="1524"/>
      <c r="K12" s="225">
        <f t="shared" si="172"/>
        <v>338</v>
      </c>
      <c r="L12" s="225">
        <f t="shared" si="0"/>
        <v>676</v>
      </c>
      <c r="M12" s="1525" t="s">
        <v>3978</v>
      </c>
      <c r="N12" s="1525" t="s">
        <v>47</v>
      </c>
      <c r="O12" s="1525" t="s">
        <v>3214</v>
      </c>
      <c r="P12" s="673">
        <f>IF(H12="","",H12*12/0.3)</f>
        <v>23080</v>
      </c>
      <c r="Q12" s="674">
        <f>IF(H12="","",P12/($P$6*VLOOKUP(C12,'DCA Underwriting Assumptions'!$J$84:$K$89,2,FALSE)))</f>
        <v>0.56613029827315542</v>
      </c>
      <c r="R12" s="820"/>
      <c r="S12" s="674"/>
      <c r="T12" s="1462"/>
      <c r="U12" s="1463"/>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f t="shared" si="9"/>
        <v>2</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f t="shared" si="34"/>
        <v>2756</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f t="shared" si="59"/>
        <v>2</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f t="shared" si="124"/>
        <v>2</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0" t="s">
        <v>1670</v>
      </c>
      <c r="C13" s="1521">
        <v>1</v>
      </c>
      <c r="D13" s="1522">
        <v>1</v>
      </c>
      <c r="E13" s="1523">
        <v>2</v>
      </c>
      <c r="F13" s="1523">
        <v>822</v>
      </c>
      <c r="G13" s="1523">
        <v>502</v>
      </c>
      <c r="H13" s="1523">
        <v>479</v>
      </c>
      <c r="I13" s="1523">
        <v>152</v>
      </c>
      <c r="J13" s="1524"/>
      <c r="K13" s="225">
        <f t="shared" si="172"/>
        <v>327</v>
      </c>
      <c r="L13" s="225">
        <f t="shared" si="0"/>
        <v>654</v>
      </c>
      <c r="M13" s="1525" t="s">
        <v>3978</v>
      </c>
      <c r="N13" s="1525" t="s">
        <v>3646</v>
      </c>
      <c r="O13" s="1525" t="s">
        <v>3214</v>
      </c>
      <c r="P13" s="673">
        <f>IF(H13="","",H13*12/0.3)</f>
        <v>19160</v>
      </c>
      <c r="Q13" s="674">
        <f>IF(H13="","",P13/($P$6*VLOOKUP(C13,'DCA Underwriting Assumptions'!$J$84:$K$89,2,FALSE)))</f>
        <v>0.65170068027210881</v>
      </c>
      <c r="R13" s="820"/>
      <c r="S13" s="674"/>
      <c r="T13" s="1462"/>
      <c r="U13" s="1463"/>
      <c r="V13" s="757" t="str">
        <f t="shared" si="1"/>
        <v/>
      </c>
      <c r="W13" s="757">
        <f t="shared" si="2"/>
        <v>2</v>
      </c>
      <c r="X13" s="757" t="str">
        <f t="shared" si="3"/>
        <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f t="shared" si="27"/>
        <v>1644</v>
      </c>
      <c r="CA13" s="757" t="str">
        <f t="shared" si="28"/>
        <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f t="shared" si="57"/>
        <v>2</v>
      </c>
      <c r="DE13" s="757" t="str">
        <f t="shared" si="58"/>
        <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f t="shared" si="102"/>
        <v>2</v>
      </c>
      <c r="EX13" s="777" t="str">
        <f t="shared" si="103"/>
        <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f t="shared" si="127"/>
        <v>2</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0" t="s">
        <v>1670</v>
      </c>
      <c r="C14" s="1521">
        <v>2</v>
      </c>
      <c r="D14" s="1522">
        <v>2</v>
      </c>
      <c r="E14" s="1523">
        <v>1</v>
      </c>
      <c r="F14" s="1523">
        <v>1018</v>
      </c>
      <c r="G14" s="1523">
        <v>603</v>
      </c>
      <c r="H14" s="1523">
        <v>578</v>
      </c>
      <c r="I14" s="1523">
        <v>195</v>
      </c>
      <c r="J14" s="1524"/>
      <c r="K14" s="225">
        <f t="shared" si="172"/>
        <v>383</v>
      </c>
      <c r="L14" s="225">
        <f t="shared" si="0"/>
        <v>383</v>
      </c>
      <c r="M14" s="1525" t="s">
        <v>3978</v>
      </c>
      <c r="N14" s="1525" t="s">
        <v>3646</v>
      </c>
      <c r="O14" s="1525" t="s">
        <v>3214</v>
      </c>
      <c r="P14" s="673">
        <f>IF(H14="","",H14*12/0.3)</f>
        <v>23120</v>
      </c>
      <c r="Q14" s="674">
        <f>IF(H14="","",P14/($P$6*VLOOKUP(C14,'DCA Underwriting Assumptions'!$J$84:$K$89,2,FALSE)))</f>
        <v>0.65532879818594103</v>
      </c>
      <c r="R14" s="820"/>
      <c r="S14" s="674"/>
      <c r="T14" s="1462"/>
      <c r="U14" s="1463"/>
      <c r="V14" s="757" t="str">
        <f t="shared" si="1"/>
        <v/>
      </c>
      <c r="W14" s="757" t="str">
        <f t="shared" si="2"/>
        <v/>
      </c>
      <c r="X14" s="757">
        <f t="shared" si="3"/>
        <v>1</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t="str">
        <f t="shared" si="27"/>
        <v/>
      </c>
      <c r="CA14" s="757">
        <f t="shared" si="28"/>
        <v>1018</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t="str">
        <f t="shared" si="57"/>
        <v/>
      </c>
      <c r="DE14" s="757">
        <f t="shared" si="58"/>
        <v>1</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1</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f t="shared" si="128"/>
        <v>1</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0" t="s">
        <v>1670</v>
      </c>
      <c r="C15" s="1521">
        <v>2</v>
      </c>
      <c r="D15" s="1522">
        <v>2.5</v>
      </c>
      <c r="E15" s="1523">
        <v>23</v>
      </c>
      <c r="F15" s="1523">
        <v>1146</v>
      </c>
      <c r="G15" s="1523">
        <v>603</v>
      </c>
      <c r="H15" s="1523">
        <v>578</v>
      </c>
      <c r="I15" s="1523">
        <v>195</v>
      </c>
      <c r="J15" s="1524"/>
      <c r="K15" s="225">
        <f t="shared" si="172"/>
        <v>383</v>
      </c>
      <c r="L15" s="225">
        <f t="shared" si="0"/>
        <v>8809</v>
      </c>
      <c r="M15" s="1525" t="s">
        <v>3978</v>
      </c>
      <c r="N15" s="1525" t="s">
        <v>47</v>
      </c>
      <c r="O15" s="1525" t="s">
        <v>3214</v>
      </c>
      <c r="P15" s="673">
        <f t="shared" ref="P15:P47" si="203">IF(H15="","",H15*12/0.3)</f>
        <v>23120</v>
      </c>
      <c r="Q15" s="674">
        <f>IF(H15="","",P15/($P$6*VLOOKUP(C15,'DCA Underwriting Assumptions'!$J$84:$K$89,2,FALSE)))</f>
        <v>0.65532879818594103</v>
      </c>
      <c r="R15" s="820"/>
      <c r="S15" s="674"/>
      <c r="T15" s="1462"/>
      <c r="U15" s="1463"/>
      <c r="V15" s="757" t="str">
        <f t="shared" si="1"/>
        <v/>
      </c>
      <c r="W15" s="757" t="str">
        <f t="shared" si="2"/>
        <v/>
      </c>
      <c r="X15" s="757">
        <f t="shared" si="3"/>
        <v>23</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f t="shared" si="28"/>
        <v>26358</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f t="shared" si="58"/>
        <v>23</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f t="shared" si="123"/>
        <v>23</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0" t="s">
        <v>1670</v>
      </c>
      <c r="C16" s="1521">
        <v>3</v>
      </c>
      <c r="D16" s="1522">
        <v>2.5</v>
      </c>
      <c r="E16" s="1523">
        <v>2</v>
      </c>
      <c r="F16" s="1523">
        <v>1378</v>
      </c>
      <c r="G16" s="1523">
        <v>696</v>
      </c>
      <c r="H16" s="1523">
        <v>659</v>
      </c>
      <c r="I16" s="1523">
        <v>239</v>
      </c>
      <c r="J16" s="1524"/>
      <c r="K16" s="225">
        <f t="shared" si="172"/>
        <v>420</v>
      </c>
      <c r="L16" s="225">
        <f t="shared" si="0"/>
        <v>840</v>
      </c>
      <c r="M16" s="1525" t="s">
        <v>3978</v>
      </c>
      <c r="N16" s="1525" t="s">
        <v>47</v>
      </c>
      <c r="O16" s="1525" t="s">
        <v>3214</v>
      </c>
      <c r="P16" s="673">
        <f t="shared" si="203"/>
        <v>26360</v>
      </c>
      <c r="Q16" s="674">
        <f>IF(H16="","",P16/($P$6*VLOOKUP(C16,'DCA Underwriting Assumptions'!$J$84:$K$89,2,FALSE)))</f>
        <v>0.64658555729984302</v>
      </c>
      <c r="R16" s="820"/>
      <c r="S16" s="674"/>
      <c r="T16" s="1462"/>
      <c r="U16" s="1463"/>
      <c r="V16" s="757" t="str">
        <f t="shared" si="1"/>
        <v/>
      </c>
      <c r="W16" s="757" t="str">
        <f t="shared" si="2"/>
        <v/>
      </c>
      <c r="X16" s="757" t="str">
        <f t="shared" si="3"/>
        <v/>
      </c>
      <c r="Y16" s="757">
        <f t="shared" si="4"/>
        <v>2</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f t="shared" si="29"/>
        <v>2756</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f t="shared" si="59"/>
        <v>2</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f t="shared" si="124"/>
        <v>2</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0" t="s">
        <v>2626</v>
      </c>
      <c r="C17" s="1521"/>
      <c r="D17" s="1522"/>
      <c r="E17" s="1523"/>
      <c r="F17" s="1523"/>
      <c r="G17" s="1523"/>
      <c r="H17" s="1523"/>
      <c r="I17" s="1523">
        <v>0</v>
      </c>
      <c r="J17" s="1524"/>
      <c r="K17" s="225">
        <f t="shared" si="172"/>
        <v>0</v>
      </c>
      <c r="L17" s="225">
        <f t="shared" si="0"/>
        <v>0</v>
      </c>
      <c r="M17" s="1525"/>
      <c r="N17" s="1525"/>
      <c r="O17" s="1525"/>
      <c r="P17" s="673" t="str">
        <f t="shared" si="203"/>
        <v/>
      </c>
      <c r="Q17" s="674" t="str">
        <f>IF(H17="","",P17/($P$6*VLOOKUP(C17,'DCA Underwriting Assumptions'!$J$84:$K$89,2,FALSE)))</f>
        <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0" t="s">
        <v>2626</v>
      </c>
      <c r="C18" s="1521"/>
      <c r="D18" s="1522"/>
      <c r="E18" s="1523"/>
      <c r="F18" s="1523"/>
      <c r="G18" s="1523"/>
      <c r="H18" s="1523"/>
      <c r="I18" s="1523"/>
      <c r="J18" s="1524"/>
      <c r="K18" s="225">
        <f t="shared" si="172"/>
        <v>0</v>
      </c>
      <c r="L18" s="225">
        <f t="shared" si="0"/>
        <v>0</v>
      </c>
      <c r="M18" s="1525"/>
      <c r="N18" s="1525"/>
      <c r="O18" s="1525"/>
      <c r="P18" s="673" t="str">
        <f t="shared" si="203"/>
        <v/>
      </c>
      <c r="Q18" s="674" t="str">
        <f>IF(H18="","",P18/($P$6*VLOOKUP(C18,'DCA Underwriting Assumptions'!$J$84:$K$89,2,FALSE)))</f>
        <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0" t="s">
        <v>2626</v>
      </c>
      <c r="C19" s="1521"/>
      <c r="D19" s="1522"/>
      <c r="E19" s="1523"/>
      <c r="F19" s="1523"/>
      <c r="G19" s="1523"/>
      <c r="H19" s="1523"/>
      <c r="I19" s="1523"/>
      <c r="J19" s="1524"/>
      <c r="K19" s="225">
        <f t="shared" si="172"/>
        <v>0</v>
      </c>
      <c r="L19" s="225">
        <f t="shared" si="0"/>
        <v>0</v>
      </c>
      <c r="M19" s="1525"/>
      <c r="N19" s="1525"/>
      <c r="O19" s="1525"/>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0" t="s">
        <v>2626</v>
      </c>
      <c r="C20" s="1521"/>
      <c r="D20" s="1522"/>
      <c r="E20" s="1523"/>
      <c r="F20" s="1523"/>
      <c r="G20" s="1523"/>
      <c r="H20" s="1523"/>
      <c r="I20" s="1523"/>
      <c r="J20" s="1524"/>
      <c r="K20" s="225">
        <f t="shared" si="172"/>
        <v>0</v>
      </c>
      <c r="L20" s="225">
        <f t="shared" si="0"/>
        <v>0</v>
      </c>
      <c r="M20" s="1525"/>
      <c r="N20" s="1525"/>
      <c r="O20" s="1525"/>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0" t="s">
        <v>2626</v>
      </c>
      <c r="C21" s="1521"/>
      <c r="D21" s="1522"/>
      <c r="E21" s="1523"/>
      <c r="F21" s="1523"/>
      <c r="G21" s="1523"/>
      <c r="H21" s="1523"/>
      <c r="I21" s="1523"/>
      <c r="J21" s="1524"/>
      <c r="K21" s="225">
        <f t="shared" si="172"/>
        <v>0</v>
      </c>
      <c r="L21" s="225">
        <f t="shared" si="0"/>
        <v>0</v>
      </c>
      <c r="M21" s="1525"/>
      <c r="N21" s="1525"/>
      <c r="O21" s="1525"/>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0" t="s">
        <v>2626</v>
      </c>
      <c r="C22" s="1521"/>
      <c r="D22" s="1522"/>
      <c r="E22" s="1523"/>
      <c r="F22" s="1523"/>
      <c r="G22" s="1523"/>
      <c r="H22" s="1523"/>
      <c r="I22" s="1523"/>
      <c r="J22" s="1524"/>
      <c r="K22" s="225">
        <f t="shared" si="172"/>
        <v>0</v>
      </c>
      <c r="L22" s="225">
        <f t="shared" si="0"/>
        <v>0</v>
      </c>
      <c r="M22" s="1525"/>
      <c r="N22" s="1525"/>
      <c r="O22" s="1525"/>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0" t="s">
        <v>2626</v>
      </c>
      <c r="C23" s="1521"/>
      <c r="D23" s="1522"/>
      <c r="E23" s="1523"/>
      <c r="F23" s="1523"/>
      <c r="G23" s="1523"/>
      <c r="H23" s="1523"/>
      <c r="I23" s="1523"/>
      <c r="J23" s="1524"/>
      <c r="K23" s="225">
        <f t="shared" si="172"/>
        <v>0</v>
      </c>
      <c r="L23" s="225">
        <f t="shared" si="0"/>
        <v>0</v>
      </c>
      <c r="M23" s="1525"/>
      <c r="N23" s="1525"/>
      <c r="O23" s="1525"/>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0" t="s">
        <v>2626</v>
      </c>
      <c r="C24" s="1521"/>
      <c r="D24" s="1522"/>
      <c r="E24" s="1523"/>
      <c r="F24" s="1523"/>
      <c r="G24" s="1523"/>
      <c r="H24" s="1523"/>
      <c r="I24" s="1523"/>
      <c r="J24" s="1524"/>
      <c r="K24" s="225">
        <f t="shared" si="172"/>
        <v>0</v>
      </c>
      <c r="L24" s="225">
        <f t="shared" si="0"/>
        <v>0</v>
      </c>
      <c r="M24" s="1525"/>
      <c r="N24" s="1525"/>
      <c r="O24" s="1525"/>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0" t="s">
        <v>2626</v>
      </c>
      <c r="C25" s="1521"/>
      <c r="D25" s="1522"/>
      <c r="E25" s="1523"/>
      <c r="F25" s="1523"/>
      <c r="G25" s="1523"/>
      <c r="H25" s="1523"/>
      <c r="I25" s="1523"/>
      <c r="J25" s="1524"/>
      <c r="K25" s="225">
        <f t="shared" si="172"/>
        <v>0</v>
      </c>
      <c r="L25" s="225">
        <f t="shared" si="0"/>
        <v>0</v>
      </c>
      <c r="M25" s="1525"/>
      <c r="N25" s="1525"/>
      <c r="O25" s="1525"/>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0" t="s">
        <v>2626</v>
      </c>
      <c r="C26" s="1521"/>
      <c r="D26" s="1522"/>
      <c r="E26" s="1523"/>
      <c r="F26" s="1523"/>
      <c r="G26" s="1523"/>
      <c r="H26" s="1523"/>
      <c r="I26" s="1523"/>
      <c r="J26" s="1524"/>
      <c r="K26" s="225">
        <f t="shared" si="172"/>
        <v>0</v>
      </c>
      <c r="L26" s="225">
        <f t="shared" si="0"/>
        <v>0</v>
      </c>
      <c r="M26" s="1525"/>
      <c r="N26" s="1525"/>
      <c r="O26" s="1525"/>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0" t="s">
        <v>2626</v>
      </c>
      <c r="C27" s="1521"/>
      <c r="D27" s="1522"/>
      <c r="E27" s="1523"/>
      <c r="F27" s="1523"/>
      <c r="G27" s="1523"/>
      <c r="H27" s="1523"/>
      <c r="I27" s="1523"/>
      <c r="J27" s="1524"/>
      <c r="K27" s="225">
        <f t="shared" si="172"/>
        <v>0</v>
      </c>
      <c r="L27" s="225">
        <f t="shared" si="0"/>
        <v>0</v>
      </c>
      <c r="M27" s="1525"/>
      <c r="N27" s="1525"/>
      <c r="O27" s="1525"/>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0" t="s">
        <v>2626</v>
      </c>
      <c r="C28" s="1521"/>
      <c r="D28" s="1522"/>
      <c r="E28" s="1523"/>
      <c r="F28" s="1523"/>
      <c r="G28" s="1523"/>
      <c r="H28" s="1523"/>
      <c r="I28" s="1523"/>
      <c r="J28" s="1524"/>
      <c r="K28" s="225">
        <f>MAX(0,H28-I28)</f>
        <v>0</v>
      </c>
      <c r="L28" s="225">
        <f t="shared" si="0"/>
        <v>0</v>
      </c>
      <c r="M28" s="1525"/>
      <c r="N28" s="1525"/>
      <c r="O28" s="1525"/>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0" t="s">
        <v>2626</v>
      </c>
      <c r="C29" s="1521"/>
      <c r="D29" s="1522"/>
      <c r="E29" s="1523"/>
      <c r="F29" s="1523"/>
      <c r="G29" s="1523"/>
      <c r="H29" s="1523"/>
      <c r="I29" s="1523"/>
      <c r="J29" s="1524"/>
      <c r="K29" s="225">
        <f t="shared" ref="K29:K47" si="204">MAX(0,H29-I29)</f>
        <v>0</v>
      </c>
      <c r="L29" s="225">
        <f t="shared" si="0"/>
        <v>0</v>
      </c>
      <c r="M29" s="1525"/>
      <c r="N29" s="1525"/>
      <c r="O29" s="1525"/>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0" t="s">
        <v>2626</v>
      </c>
      <c r="C30" s="1521"/>
      <c r="D30" s="1522"/>
      <c r="E30" s="1523"/>
      <c r="F30" s="1523"/>
      <c r="G30" s="1523"/>
      <c r="H30" s="1523"/>
      <c r="I30" s="1523"/>
      <c r="J30" s="1524"/>
      <c r="K30" s="225">
        <f t="shared" si="204"/>
        <v>0</v>
      </c>
      <c r="L30" s="225">
        <f t="shared" si="0"/>
        <v>0</v>
      </c>
      <c r="M30" s="1525"/>
      <c r="N30" s="1525"/>
      <c r="O30" s="1525"/>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0" t="s">
        <v>2626</v>
      </c>
      <c r="C31" s="1521"/>
      <c r="D31" s="1522"/>
      <c r="E31" s="1523"/>
      <c r="F31" s="1523"/>
      <c r="G31" s="1523"/>
      <c r="H31" s="1523"/>
      <c r="I31" s="1523"/>
      <c r="J31" s="1524"/>
      <c r="K31" s="225">
        <f t="shared" si="204"/>
        <v>0</v>
      </c>
      <c r="L31" s="225">
        <f t="shared" si="0"/>
        <v>0</v>
      </c>
      <c r="M31" s="1525"/>
      <c r="N31" s="1525"/>
      <c r="O31" s="1525"/>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0" t="s">
        <v>2626</v>
      </c>
      <c r="C32" s="1521"/>
      <c r="D32" s="1522"/>
      <c r="E32" s="1523"/>
      <c r="F32" s="1523"/>
      <c r="G32" s="1523"/>
      <c r="H32" s="1523"/>
      <c r="I32" s="1523"/>
      <c r="J32" s="1524"/>
      <c r="K32" s="225">
        <f t="shared" si="204"/>
        <v>0</v>
      </c>
      <c r="L32" s="225">
        <f t="shared" si="0"/>
        <v>0</v>
      </c>
      <c r="M32" s="1525"/>
      <c r="N32" s="1525"/>
      <c r="O32" s="1525"/>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0" t="s">
        <v>2626</v>
      </c>
      <c r="C33" s="1521"/>
      <c r="D33" s="1522"/>
      <c r="E33" s="1523"/>
      <c r="F33" s="1523"/>
      <c r="G33" s="1523"/>
      <c r="H33" s="1523"/>
      <c r="I33" s="1523"/>
      <c r="J33" s="1524"/>
      <c r="K33" s="225">
        <f t="shared" si="204"/>
        <v>0</v>
      </c>
      <c r="L33" s="225">
        <f t="shared" si="0"/>
        <v>0</v>
      </c>
      <c r="M33" s="1525"/>
      <c r="N33" s="1525"/>
      <c r="O33" s="1525"/>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0" t="s">
        <v>2626</v>
      </c>
      <c r="C34" s="1521"/>
      <c r="D34" s="1522"/>
      <c r="E34" s="1523"/>
      <c r="F34" s="1523"/>
      <c r="G34" s="1523"/>
      <c r="H34" s="1523"/>
      <c r="I34" s="1523"/>
      <c r="J34" s="1524"/>
      <c r="K34" s="225">
        <f t="shared" si="204"/>
        <v>0</v>
      </c>
      <c r="L34" s="225">
        <f t="shared" si="0"/>
        <v>0</v>
      </c>
      <c r="M34" s="1525"/>
      <c r="N34" s="1525"/>
      <c r="O34" s="1525"/>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0" t="s">
        <v>2626</v>
      </c>
      <c r="C35" s="1521"/>
      <c r="D35" s="1522"/>
      <c r="E35" s="1523"/>
      <c r="F35" s="1523"/>
      <c r="G35" s="1523"/>
      <c r="H35" s="1523"/>
      <c r="I35" s="1523"/>
      <c r="J35" s="1524"/>
      <c r="K35" s="225">
        <f t="shared" si="204"/>
        <v>0</v>
      </c>
      <c r="L35" s="225">
        <f t="shared" si="0"/>
        <v>0</v>
      </c>
      <c r="M35" s="1525"/>
      <c r="N35" s="1525"/>
      <c r="O35" s="1525"/>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0" t="s">
        <v>2626</v>
      </c>
      <c r="C36" s="1521"/>
      <c r="D36" s="1522"/>
      <c r="E36" s="1523"/>
      <c r="F36" s="1523"/>
      <c r="G36" s="1523"/>
      <c r="H36" s="1523"/>
      <c r="I36" s="1523"/>
      <c r="J36" s="1524"/>
      <c r="K36" s="225">
        <f t="shared" si="204"/>
        <v>0</v>
      </c>
      <c r="L36" s="225">
        <f t="shared" si="0"/>
        <v>0</v>
      </c>
      <c r="M36" s="1525"/>
      <c r="N36" s="1525"/>
      <c r="O36" s="1525"/>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0" t="s">
        <v>2626</v>
      </c>
      <c r="C37" s="1521"/>
      <c r="D37" s="1522"/>
      <c r="E37" s="1523"/>
      <c r="F37" s="1523"/>
      <c r="G37" s="1523"/>
      <c r="H37" s="1523"/>
      <c r="I37" s="1523"/>
      <c r="J37" s="1524"/>
      <c r="K37" s="225">
        <f t="shared" si="204"/>
        <v>0</v>
      </c>
      <c r="L37" s="225">
        <f t="shared" si="0"/>
        <v>0</v>
      </c>
      <c r="M37" s="1525"/>
      <c r="N37" s="1525"/>
      <c r="O37" s="1525"/>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0" t="s">
        <v>2626</v>
      </c>
      <c r="C38" s="1521"/>
      <c r="D38" s="1522"/>
      <c r="E38" s="1523"/>
      <c r="F38" s="1523"/>
      <c r="G38" s="1523"/>
      <c r="H38" s="1523"/>
      <c r="I38" s="1523"/>
      <c r="J38" s="1524"/>
      <c r="K38" s="225">
        <f>MAX(0,H38-I38)</f>
        <v>0</v>
      </c>
      <c r="L38" s="225">
        <f t="shared" si="0"/>
        <v>0</v>
      </c>
      <c r="M38" s="1525"/>
      <c r="N38" s="1525"/>
      <c r="O38" s="1525"/>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0" t="s">
        <v>2626</v>
      </c>
      <c r="C39" s="1521"/>
      <c r="D39" s="1522"/>
      <c r="E39" s="1523"/>
      <c r="F39" s="1523"/>
      <c r="G39" s="1523"/>
      <c r="H39" s="1523"/>
      <c r="I39" s="1523"/>
      <c r="J39" s="1524"/>
      <c r="K39" s="225">
        <f t="shared" ref="K39:K46" si="205">MAX(0,H39-I39)</f>
        <v>0</v>
      </c>
      <c r="L39" s="225">
        <f t="shared" si="0"/>
        <v>0</v>
      </c>
      <c r="M39" s="1525"/>
      <c r="N39" s="1525"/>
      <c r="O39" s="1525"/>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0" t="s">
        <v>2626</v>
      </c>
      <c r="C40" s="1521"/>
      <c r="D40" s="1522"/>
      <c r="E40" s="1523"/>
      <c r="F40" s="1523"/>
      <c r="G40" s="1523"/>
      <c r="H40" s="1523"/>
      <c r="I40" s="1523"/>
      <c r="J40" s="1524"/>
      <c r="K40" s="225">
        <f t="shared" si="205"/>
        <v>0</v>
      </c>
      <c r="L40" s="225">
        <f t="shared" si="0"/>
        <v>0</v>
      </c>
      <c r="M40" s="1525"/>
      <c r="N40" s="1525"/>
      <c r="O40" s="1525"/>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0" t="s">
        <v>2626</v>
      </c>
      <c r="C41" s="1521"/>
      <c r="D41" s="1522"/>
      <c r="E41" s="1523"/>
      <c r="F41" s="1523"/>
      <c r="G41" s="1523"/>
      <c r="H41" s="1523"/>
      <c r="I41" s="1523"/>
      <c r="J41" s="1524"/>
      <c r="K41" s="225">
        <f t="shared" si="205"/>
        <v>0</v>
      </c>
      <c r="L41" s="225">
        <f t="shared" si="0"/>
        <v>0</v>
      </c>
      <c r="M41" s="1525"/>
      <c r="N41" s="1525"/>
      <c r="O41" s="1525"/>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0" t="s">
        <v>2626</v>
      </c>
      <c r="C42" s="1521"/>
      <c r="D42" s="1522"/>
      <c r="E42" s="1523"/>
      <c r="F42" s="1523"/>
      <c r="G42" s="1523"/>
      <c r="H42" s="1523"/>
      <c r="I42" s="1523"/>
      <c r="J42" s="1524"/>
      <c r="K42" s="225">
        <f t="shared" si="205"/>
        <v>0</v>
      </c>
      <c r="L42" s="225">
        <f t="shared" si="0"/>
        <v>0</v>
      </c>
      <c r="M42" s="1525"/>
      <c r="N42" s="1525"/>
      <c r="O42" s="1525"/>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0" t="s">
        <v>2626</v>
      </c>
      <c r="C43" s="1521"/>
      <c r="D43" s="1522"/>
      <c r="E43" s="1523"/>
      <c r="F43" s="1523"/>
      <c r="G43" s="1523"/>
      <c r="H43" s="1523"/>
      <c r="I43" s="1523"/>
      <c r="J43" s="1524"/>
      <c r="K43" s="225">
        <f t="shared" si="205"/>
        <v>0</v>
      </c>
      <c r="L43" s="225">
        <f t="shared" si="0"/>
        <v>0</v>
      </c>
      <c r="M43" s="1525"/>
      <c r="N43" s="1525"/>
      <c r="O43" s="1525"/>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0" t="s">
        <v>2626</v>
      </c>
      <c r="C44" s="1521"/>
      <c r="D44" s="1522"/>
      <c r="E44" s="1523"/>
      <c r="F44" s="1523"/>
      <c r="G44" s="1523"/>
      <c r="H44" s="1523"/>
      <c r="I44" s="1523"/>
      <c r="J44" s="1524"/>
      <c r="K44" s="225">
        <f t="shared" si="205"/>
        <v>0</v>
      </c>
      <c r="L44" s="225">
        <f t="shared" si="0"/>
        <v>0</v>
      </c>
      <c r="M44" s="1525"/>
      <c r="N44" s="1525"/>
      <c r="O44" s="1525"/>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0" t="s">
        <v>2626</v>
      </c>
      <c r="C45" s="1521"/>
      <c r="D45" s="1522"/>
      <c r="E45" s="1523"/>
      <c r="F45" s="1523"/>
      <c r="G45" s="1523"/>
      <c r="H45" s="1523"/>
      <c r="I45" s="1523"/>
      <c r="J45" s="1524"/>
      <c r="K45" s="225">
        <f t="shared" si="205"/>
        <v>0</v>
      </c>
      <c r="L45" s="225">
        <f t="shared" si="0"/>
        <v>0</v>
      </c>
      <c r="M45" s="1525"/>
      <c r="N45" s="1525"/>
      <c r="O45" s="1525"/>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0" t="s">
        <v>2626</v>
      </c>
      <c r="C46" s="1521"/>
      <c r="D46" s="1522"/>
      <c r="E46" s="1523"/>
      <c r="F46" s="1523"/>
      <c r="G46" s="1523"/>
      <c r="H46" s="1523"/>
      <c r="I46" s="1523"/>
      <c r="J46" s="1524"/>
      <c r="K46" s="225">
        <f t="shared" si="205"/>
        <v>0</v>
      </c>
      <c r="L46" s="225">
        <f t="shared" si="0"/>
        <v>0</v>
      </c>
      <c r="M46" s="1525"/>
      <c r="N46" s="1525"/>
      <c r="O46" s="1525"/>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6" t="s">
        <v>2626</v>
      </c>
      <c r="C47" s="1527"/>
      <c r="D47" s="1528"/>
      <c r="E47" s="1529"/>
      <c r="F47" s="1529"/>
      <c r="G47" s="1529"/>
      <c r="H47" s="1529"/>
      <c r="I47" s="1529"/>
      <c r="J47" s="1530"/>
      <c r="K47" s="226">
        <f t="shared" si="204"/>
        <v>0</v>
      </c>
      <c r="L47" s="226">
        <f t="shared" si="0"/>
        <v>0</v>
      </c>
      <c r="M47" s="1531"/>
      <c r="N47" s="1531"/>
      <c r="O47" s="1531"/>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33</v>
      </c>
      <c r="F48" s="172">
        <f>(E10*F10+E11*F11+E12*F12+E13*F13+E14*F14+E15*F15+E16*F16+E17*F17+E18*F18+E19*F19+E20*F20+E21*F21+E22*F22+E23*F23+E24*F24+E25*F25+E26*F26+E27*F27+E28*F28+E29*F29+E30*F30+E31*F31+E32*F32+E33*F33+E34*F34+E35*F35+E36*F36+E37*F37+E38*F38+E39*F39+E40*F40+E41*F41+E42*F42+E43*F43+E44*F44+E45*F45+E46*F46+E47*F47)</f>
        <v>37322</v>
      </c>
      <c r="G48" s="163"/>
      <c r="H48" s="164"/>
      <c r="I48" s="164"/>
      <c r="J48" s="164"/>
      <c r="K48" s="15" t="s">
        <v>1869</v>
      </c>
      <c r="L48" s="170">
        <f>SUM(L10:L47)</f>
        <v>12192</v>
      </c>
      <c r="M48" s="2"/>
      <c r="N48" s="40"/>
      <c r="O48" s="2"/>
      <c r="P48" s="676"/>
      <c r="Q48" s="676"/>
      <c r="R48" s="676"/>
      <c r="S48" s="676"/>
      <c r="T48" s="675"/>
      <c r="U48" s="677"/>
      <c r="V48" s="779">
        <f t="shared" ref="V48:CK48" si="206">SUM(V10:V47)</f>
        <v>0</v>
      </c>
      <c r="W48" s="779">
        <f t="shared" si="206"/>
        <v>2</v>
      </c>
      <c r="X48" s="779">
        <f t="shared" si="206"/>
        <v>24</v>
      </c>
      <c r="Y48" s="779">
        <f t="shared" si="206"/>
        <v>2</v>
      </c>
      <c r="Z48" s="779">
        <f t="shared" si="206"/>
        <v>0</v>
      </c>
      <c r="AA48" s="779">
        <f t="shared" si="206"/>
        <v>0</v>
      </c>
      <c r="AB48" s="779">
        <f t="shared" si="206"/>
        <v>2</v>
      </c>
      <c r="AC48" s="779">
        <f t="shared" si="206"/>
        <v>1</v>
      </c>
      <c r="AD48" s="779">
        <f t="shared" si="206"/>
        <v>2</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1644</v>
      </c>
      <c r="CA48" s="779">
        <f t="shared" si="206"/>
        <v>27376</v>
      </c>
      <c r="CB48" s="779">
        <f t="shared" si="206"/>
        <v>2756</v>
      </c>
      <c r="CC48" s="779">
        <f t="shared" si="206"/>
        <v>0</v>
      </c>
      <c r="CD48" s="779">
        <f t="shared" si="206"/>
        <v>0</v>
      </c>
      <c r="CE48" s="779">
        <f t="shared" si="206"/>
        <v>1644</v>
      </c>
      <c r="CF48" s="779">
        <f t="shared" si="206"/>
        <v>1146</v>
      </c>
      <c r="CG48" s="779">
        <f t="shared" si="206"/>
        <v>2756</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4</v>
      </c>
      <c r="DE48" s="779">
        <f t="shared" si="208"/>
        <v>25</v>
      </c>
      <c r="DF48" s="779">
        <f t="shared" si="208"/>
        <v>4</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4</v>
      </c>
      <c r="EX48" s="779">
        <f t="shared" si="209"/>
        <v>1</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24</v>
      </c>
      <c r="FS48" s="779">
        <f t="shared" si="209"/>
        <v>4</v>
      </c>
      <c r="FT48" s="779">
        <f t="shared" si="209"/>
        <v>0</v>
      </c>
      <c r="FU48" s="779">
        <f t="shared" si="209"/>
        <v>0</v>
      </c>
      <c r="FV48" s="779">
        <f t="shared" si="209"/>
        <v>4</v>
      </c>
      <c r="FW48" s="779">
        <f t="shared" si="209"/>
        <v>1</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0</v>
      </c>
      <c r="GL48" s="779">
        <f t="shared" si="209"/>
        <v>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146304</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3672</v>
      </c>
      <c r="B51" s="1532"/>
      <c r="C51" s="1532"/>
      <c r="D51" s="1532"/>
      <c r="E51" s="1532"/>
      <c r="F51" s="1532"/>
      <c r="G51" s="1532"/>
      <c r="H51" s="1532"/>
      <c r="I51" s="1532"/>
      <c r="J51" s="1532"/>
      <c r="K51" s="1532"/>
      <c r="L51" s="1532"/>
      <c r="M51" s="1532"/>
      <c r="N51" s="1532"/>
      <c r="O51" s="1532"/>
      <c r="P51" s="153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2"/>
      <c r="B52" s="1532"/>
      <c r="C52" s="1532"/>
      <c r="D52" s="1532"/>
      <c r="E52" s="1532"/>
      <c r="F52" s="1532"/>
      <c r="G52" s="1532"/>
      <c r="H52" s="1532"/>
      <c r="I52" s="1532"/>
      <c r="J52" s="1532"/>
      <c r="K52" s="1532"/>
      <c r="L52" s="1532"/>
      <c r="M52" s="1532"/>
      <c r="N52" s="1532"/>
      <c r="O52" s="1532"/>
      <c r="P52" s="153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2717</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2</v>
      </c>
      <c r="J56" s="380">
        <f>X48</f>
        <v>24</v>
      </c>
      <c r="K56" s="380">
        <f>Y48</f>
        <v>2</v>
      </c>
      <c r="L56" s="380">
        <f>Z48</f>
        <v>0</v>
      </c>
      <c r="M56" s="380">
        <f t="shared" ref="M56:M62" si="211">SUM(H56:L56)</f>
        <v>28</v>
      </c>
      <c r="N56" s="1095" t="s">
        <v>1382</v>
      </c>
      <c r="O56" s="1096"/>
      <c r="P56" s="850"/>
      <c r="Q56" s="643">
        <f t="shared" ref="Q56:Q62" si="212">ABS(M56-AF56)</f>
        <v>28</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2</v>
      </c>
      <c r="J57" s="381">
        <f>AC48</f>
        <v>1</v>
      </c>
      <c r="K57" s="381">
        <f>AD48</f>
        <v>2</v>
      </c>
      <c r="L57" s="381">
        <f>AE48</f>
        <v>0</v>
      </c>
      <c r="M57" s="381">
        <f t="shared" si="211"/>
        <v>5</v>
      </c>
      <c r="N57" s="1095"/>
      <c r="O57" s="1096"/>
      <c r="P57" s="850"/>
      <c r="Q57" s="643">
        <f t="shared" si="212"/>
        <v>5</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4</v>
      </c>
      <c r="J58" s="382">
        <f>SUM(J56:J57)</f>
        <v>25</v>
      </c>
      <c r="K58" s="382">
        <f>SUM(K56:K57)</f>
        <v>4</v>
      </c>
      <c r="L58" s="382">
        <f>SUM(L56:L57)</f>
        <v>0</v>
      </c>
      <c r="M58" s="382">
        <f t="shared" si="211"/>
        <v>33</v>
      </c>
      <c r="N58" s="385"/>
      <c r="O58" s="110"/>
      <c r="Q58" s="643">
        <f t="shared" si="212"/>
        <v>33</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4</v>
      </c>
      <c r="J60" s="382">
        <f>SUM(J58:J59)</f>
        <v>25</v>
      </c>
      <c r="K60" s="382">
        <f>SUM(K58:K59)</f>
        <v>4</v>
      </c>
      <c r="L60" s="382">
        <f>SUM(L58:L59)</f>
        <v>0</v>
      </c>
      <c r="M60" s="382">
        <f t="shared" si="211"/>
        <v>33</v>
      </c>
      <c r="N60" s="65"/>
      <c r="O60" s="110"/>
      <c r="Q60" s="643">
        <f t="shared" si="212"/>
        <v>33</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0"/>
      <c r="B61" s="1090"/>
      <c r="C61" s="2" t="s">
        <v>3525</v>
      </c>
      <c r="D61" s="2"/>
      <c r="E61" s="2"/>
      <c r="F61" s="2"/>
      <c r="G61" s="44"/>
      <c r="H61" s="382">
        <f>BT48</f>
        <v>0</v>
      </c>
      <c r="I61" s="382">
        <f>BU48</f>
        <v>0</v>
      </c>
      <c r="J61" s="382">
        <f>BV48</f>
        <v>0</v>
      </c>
      <c r="K61" s="382">
        <f>BW48</f>
        <v>0</v>
      </c>
      <c r="L61" s="382">
        <f>BX48</f>
        <v>0</v>
      </c>
      <c r="M61" s="382">
        <f t="shared" si="211"/>
        <v>0</v>
      </c>
      <c r="N61" s="62" t="s">
        <v>3115</v>
      </c>
      <c r="O61" s="110"/>
      <c r="Q61" s="643">
        <f t="shared" si="212"/>
        <v>0</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4</v>
      </c>
      <c r="J62" s="382">
        <f>SUM(J60:J61)</f>
        <v>25</v>
      </c>
      <c r="K62" s="382">
        <f>SUM(K60:K61)</f>
        <v>4</v>
      </c>
      <c r="L62" s="382">
        <f>SUM(L60:L61)</f>
        <v>0</v>
      </c>
      <c r="M62" s="382">
        <f t="shared" si="211"/>
        <v>33</v>
      </c>
      <c r="O62" s="110"/>
      <c r="Q62" s="643">
        <f t="shared" si="212"/>
        <v>33</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0"/>
      <c r="B65" s="1090"/>
      <c r="C65" s="44" t="s">
        <v>3526</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0"/>
      <c r="B69" s="1090"/>
      <c r="C69" s="44" t="s">
        <v>3526</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3214</v>
      </c>
      <c r="F72" s="2"/>
      <c r="G72" s="44" t="s">
        <v>2014</v>
      </c>
      <c r="H72" s="380">
        <f>DC48</f>
        <v>0</v>
      </c>
      <c r="I72" s="380">
        <f>DD48</f>
        <v>4</v>
      </c>
      <c r="J72" s="380">
        <f>DE48</f>
        <v>25</v>
      </c>
      <c r="K72" s="380">
        <f>DF48</f>
        <v>4</v>
      </c>
      <c r="L72" s="380">
        <f>DG48</f>
        <v>0</v>
      </c>
      <c r="M72" s="380">
        <f t="shared" ref="M72:M82" si="213">SUM(H72:L72)</f>
        <v>33</v>
      </c>
      <c r="N72" s="31"/>
      <c r="O72" s="110"/>
      <c r="Q72" s="643">
        <f t="shared" ref="Q72:Q80" si="214">ABS(M72-AF72)</f>
        <v>33</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4</v>
      </c>
      <c r="J74" s="382">
        <f>SUM(J72:J73)+DO48</f>
        <v>25</v>
      </c>
      <c r="K74" s="382">
        <f>SUM(K72:K73)+DP48</f>
        <v>4</v>
      </c>
      <c r="L74" s="382">
        <f>SUM(L72:L73)+DQ48</f>
        <v>0</v>
      </c>
      <c r="M74" s="382">
        <f t="shared" si="213"/>
        <v>33</v>
      </c>
      <c r="N74" s="62"/>
      <c r="O74" s="110"/>
      <c r="Q74" s="643">
        <f t="shared" si="214"/>
        <v>33</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3029</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3"/>
      <c r="I81" s="1533"/>
      <c r="J81" s="1533"/>
      <c r="K81" s="1533"/>
      <c r="L81" s="1533"/>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4"/>
      <c r="I82" s="1534"/>
      <c r="J82" s="1534"/>
      <c r="K82" s="1534"/>
      <c r="L82" s="1534"/>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4</v>
      </c>
      <c r="J84" s="380">
        <f t="shared" si="215"/>
        <v>1</v>
      </c>
      <c r="K84" s="380">
        <f t="shared" si="215"/>
        <v>0</v>
      </c>
      <c r="L84" s="380">
        <f t="shared" si="215"/>
        <v>0</v>
      </c>
      <c r="M84" s="380">
        <f>SUM(H84:L84)</f>
        <v>5</v>
      </c>
      <c r="N84" s="31"/>
      <c r="O84" s="110"/>
      <c r="Q84" s="643">
        <f>ABS(M84-AF84)</f>
        <v>5</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3646</v>
      </c>
      <c r="H85" s="383">
        <f>FU48</f>
        <v>0</v>
      </c>
      <c r="I85" s="383">
        <f t="shared" ref="I85:L85" si="216">FV48</f>
        <v>4</v>
      </c>
      <c r="J85" s="383">
        <f t="shared" si="216"/>
        <v>1</v>
      </c>
      <c r="K85" s="383">
        <f t="shared" si="216"/>
        <v>0</v>
      </c>
      <c r="L85" s="383">
        <f t="shared" si="216"/>
        <v>0</v>
      </c>
      <c r="M85" s="381">
        <f t="shared" ref="M85:M88" si="217">SUM(H85:L85)</f>
        <v>5</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3647</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3649</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3648</v>
      </c>
      <c r="H88" s="383">
        <f>GJ48</f>
        <v>0</v>
      </c>
      <c r="I88" s="383">
        <f t="shared" ref="I88:L88" si="220">GK48</f>
        <v>0</v>
      </c>
      <c r="J88" s="383">
        <f t="shared" si="220"/>
        <v>0</v>
      </c>
      <c r="K88" s="383">
        <f t="shared" si="220"/>
        <v>0</v>
      </c>
      <c r="L88" s="383">
        <f t="shared" si="220"/>
        <v>0</v>
      </c>
      <c r="M88" s="383">
        <f t="shared" si="217"/>
        <v>0</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24</v>
      </c>
      <c r="K90" s="381">
        <f>FS48</f>
        <v>4</v>
      </c>
      <c r="L90" s="381">
        <f>FT48</f>
        <v>0</v>
      </c>
      <c r="M90" s="381">
        <f>SUM(H90:L90)</f>
        <v>28</v>
      </c>
      <c r="N90" s="31"/>
      <c r="O90" s="110"/>
      <c r="Q90" s="643">
        <f>ABS(M90-AF90)</f>
        <v>28</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3059</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3028</v>
      </c>
      <c r="D94" s="2"/>
      <c r="E94" s="2"/>
      <c r="F94" s="2"/>
      <c r="G94" s="44" t="s">
        <v>1670</v>
      </c>
      <c r="H94" s="221">
        <f>BY48</f>
        <v>0</v>
      </c>
      <c r="I94" s="221">
        <f>BZ48</f>
        <v>1644</v>
      </c>
      <c r="J94" s="221">
        <f>CA48</f>
        <v>27376</v>
      </c>
      <c r="K94" s="221">
        <f>CB48</f>
        <v>2756</v>
      </c>
      <c r="L94" s="221">
        <f>CC48</f>
        <v>0</v>
      </c>
      <c r="M94" s="221">
        <f t="shared" ref="M94:M100" si="221">SUM(H94:L94)</f>
        <v>31776</v>
      </c>
      <c r="O94" s="110"/>
      <c r="Q94" s="643">
        <f t="shared" ref="Q94:Q100" si="222">ABS(M94-AF94)</f>
        <v>31776</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1644</v>
      </c>
      <c r="J95" s="223">
        <f>CF48</f>
        <v>1146</v>
      </c>
      <c r="K95" s="223">
        <f>CG48</f>
        <v>2756</v>
      </c>
      <c r="L95" s="223">
        <f>CH48</f>
        <v>0</v>
      </c>
      <c r="M95" s="223">
        <f t="shared" si="221"/>
        <v>5546</v>
      </c>
      <c r="N95" s="6"/>
      <c r="O95" s="110"/>
      <c r="Q95" s="643">
        <f t="shared" si="222"/>
        <v>5546</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3288</v>
      </c>
      <c r="J96" s="220">
        <f>SUM(J94:J95)</f>
        <v>28522</v>
      </c>
      <c r="K96" s="220">
        <f>SUM(K94:K95)</f>
        <v>5512</v>
      </c>
      <c r="L96" s="220">
        <f>SUM(L94:L95)</f>
        <v>0</v>
      </c>
      <c r="M96" s="220">
        <f t="shared" si="221"/>
        <v>37322</v>
      </c>
      <c r="N96" s="6"/>
      <c r="O96" s="110"/>
      <c r="Q96" s="643">
        <f t="shared" si="222"/>
        <v>37322</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3288</v>
      </c>
      <c r="J98" s="220">
        <f>SUM(J96:J97)</f>
        <v>28522</v>
      </c>
      <c r="K98" s="220">
        <f>SUM(K96:K97)</f>
        <v>5512</v>
      </c>
      <c r="L98" s="220">
        <f>SUM(L96:L97)</f>
        <v>0</v>
      </c>
      <c r="M98" s="220">
        <f t="shared" si="221"/>
        <v>37322</v>
      </c>
      <c r="O98" s="110"/>
      <c r="Q98" s="643">
        <f t="shared" si="222"/>
        <v>37322</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3525</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3288</v>
      </c>
      <c r="J100" s="220">
        <f>SUM(J98:J99)</f>
        <v>28522</v>
      </c>
      <c r="K100" s="220">
        <f>SUM(K98:K99)</f>
        <v>5512</v>
      </c>
      <c r="L100" s="220">
        <f>SUM(L98:L99)</f>
        <v>0</v>
      </c>
      <c r="M100" s="220">
        <f t="shared" si="221"/>
        <v>37322</v>
      </c>
      <c r="O100" s="110"/>
      <c r="Q100" s="643">
        <f t="shared" si="222"/>
        <v>37322</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2717</v>
      </c>
      <c r="FY102" s="757"/>
      <c r="GP102" s="776"/>
      <c r="GV102" s="757"/>
      <c r="GW102" s="781"/>
      <c r="HL102" s="757"/>
      <c r="HN102" s="781"/>
    </row>
    <row r="103" spans="1:222" ht="9" customHeight="1">
      <c r="P103" s="644"/>
    </row>
    <row r="104" spans="1:222" ht="12.6" customHeight="1">
      <c r="B104" s="16" t="s">
        <v>1519</v>
      </c>
      <c r="D104" s="149"/>
      <c r="E104" s="185"/>
      <c r="G104" s="1535">
        <v>2925</v>
      </c>
      <c r="H104" s="1536"/>
      <c r="I104" s="147" t="s">
        <v>3962</v>
      </c>
      <c r="O104" s="815">
        <f>G104/L49</f>
        <v>1.999261811023622E-2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3201</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7"/>
      <c r="H109" s="1537"/>
      <c r="I109" s="1537"/>
      <c r="J109" s="1537"/>
      <c r="K109" s="1538"/>
      <c r="L109" s="1537"/>
      <c r="M109" s="1537"/>
      <c r="N109" s="1537"/>
      <c r="O109" s="1537"/>
      <c r="P109" s="1537"/>
      <c r="T109" s="1460"/>
      <c r="U109" s="1461"/>
    </row>
    <row r="110" spans="1:222" ht="15" customHeight="1">
      <c r="B110" s="9" t="s">
        <v>1137</v>
      </c>
      <c r="C110" s="1539"/>
      <c r="D110" s="1540"/>
      <c r="E110" s="1540"/>
      <c r="F110" s="1541"/>
      <c r="G110" s="1542"/>
      <c r="H110" s="1542"/>
      <c r="I110" s="1542"/>
      <c r="J110" s="1542"/>
      <c r="K110" s="1543"/>
      <c r="L110" s="1542"/>
      <c r="M110" s="1542"/>
      <c r="N110" s="1542"/>
      <c r="O110" s="1542"/>
      <c r="P110" s="1542"/>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7"/>
      <c r="H114" s="1537"/>
      <c r="I114" s="1537"/>
      <c r="J114" s="1537"/>
      <c r="K114" s="1538"/>
      <c r="L114" s="1537"/>
      <c r="M114" s="1537"/>
      <c r="N114" s="1537"/>
      <c r="O114" s="1537"/>
      <c r="P114" s="1537"/>
      <c r="T114" s="1462"/>
      <c r="U114" s="1463"/>
    </row>
    <row r="115" spans="2:21" ht="15" customHeight="1">
      <c r="B115" s="9" t="s">
        <v>1137</v>
      </c>
      <c r="C115" s="1539"/>
      <c r="D115" s="1540"/>
      <c r="E115" s="1540"/>
      <c r="F115" s="1541"/>
      <c r="G115" s="1542"/>
      <c r="H115" s="1542"/>
      <c r="I115" s="1542"/>
      <c r="J115" s="1542"/>
      <c r="K115" s="1543"/>
      <c r="L115" s="1542"/>
      <c r="M115" s="1542"/>
      <c r="N115" s="1542"/>
      <c r="O115" s="1542"/>
      <c r="P115" s="1542"/>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3673</v>
      </c>
    </row>
    <row r="118" spans="2:21" ht="13.9" customHeight="1">
      <c r="B118" s="554" t="s">
        <v>3201</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7"/>
      <c r="H119" s="1537"/>
      <c r="I119" s="1537"/>
      <c r="J119" s="1537"/>
      <c r="K119" s="1538"/>
      <c r="L119" s="1537"/>
      <c r="M119" s="1537"/>
      <c r="N119" s="1537"/>
      <c r="O119" s="1537"/>
      <c r="P119" s="1537"/>
      <c r="T119" s="1460"/>
      <c r="U119" s="1461"/>
    </row>
    <row r="120" spans="2:21" ht="15" customHeight="1">
      <c r="B120" s="9" t="s">
        <v>1137</v>
      </c>
      <c r="C120" s="1539"/>
      <c r="D120" s="1540"/>
      <c r="E120" s="1540"/>
      <c r="F120" s="1541"/>
      <c r="G120" s="1542"/>
      <c r="H120" s="1542"/>
      <c r="I120" s="1542"/>
      <c r="J120" s="1542"/>
      <c r="K120" s="1543"/>
      <c r="L120" s="1542"/>
      <c r="M120" s="1542"/>
      <c r="N120" s="1542"/>
      <c r="O120" s="1542"/>
      <c r="P120" s="1542"/>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7"/>
      <c r="H124" s="1537"/>
      <c r="I124" s="1537"/>
      <c r="J124" s="1537"/>
      <c r="K124" s="1538"/>
      <c r="L124" s="1537"/>
      <c r="M124" s="1537"/>
      <c r="N124" s="1537"/>
      <c r="O124" s="1537"/>
      <c r="P124" s="1537"/>
      <c r="T124" s="1462"/>
      <c r="U124" s="1463"/>
    </row>
    <row r="125" spans="2:21" ht="15" customHeight="1">
      <c r="B125" s="9" t="s">
        <v>1137</v>
      </c>
      <c r="C125" s="1539"/>
      <c r="D125" s="1540"/>
      <c r="E125" s="1540"/>
      <c r="F125" s="1541"/>
      <c r="G125" s="1542"/>
      <c r="H125" s="1542"/>
      <c r="I125" s="1542"/>
      <c r="J125" s="1542"/>
      <c r="K125" s="1543"/>
      <c r="L125" s="1542"/>
      <c r="M125" s="1542"/>
      <c r="N125" s="1542"/>
      <c r="O125" s="1542"/>
      <c r="P125" s="1542"/>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3674</v>
      </c>
    </row>
    <row r="128" spans="2:21" ht="13.9" customHeight="1">
      <c r="B128" s="554" t="s">
        <v>3201</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7"/>
      <c r="H129" s="1537"/>
      <c r="I129" s="1537"/>
      <c r="J129" s="1537"/>
      <c r="K129" s="1538"/>
      <c r="L129" s="1537"/>
      <c r="M129" s="1537"/>
      <c r="N129" s="1537"/>
      <c r="O129" s="1537"/>
      <c r="P129" s="1537"/>
      <c r="T129" s="1460"/>
      <c r="U129" s="1461"/>
    </row>
    <row r="130" spans="1:255" ht="15" customHeight="1">
      <c r="B130" s="9" t="s">
        <v>1137</v>
      </c>
      <c r="C130" s="1539"/>
      <c r="D130" s="1540"/>
      <c r="E130" s="1540"/>
      <c r="F130" s="1541"/>
      <c r="G130" s="1542"/>
      <c r="H130" s="1542"/>
      <c r="I130" s="1542"/>
      <c r="J130" s="1542"/>
      <c r="K130" s="1543"/>
      <c r="L130" s="1542"/>
      <c r="M130" s="1542"/>
      <c r="N130" s="1542"/>
      <c r="O130" s="1542"/>
      <c r="P130" s="1542"/>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7"/>
      <c r="H134" s="1537"/>
      <c r="I134" s="1537"/>
      <c r="J134" s="1537"/>
      <c r="K134" s="1538"/>
      <c r="L134" s="1537"/>
      <c r="M134" s="1537"/>
      <c r="N134" s="1537"/>
      <c r="O134" s="1537"/>
      <c r="P134" s="1537"/>
      <c r="T134" s="1462"/>
      <c r="U134" s="1463"/>
    </row>
    <row r="135" spans="1:255" ht="15" customHeight="1">
      <c r="B135" s="9" t="s">
        <v>1137</v>
      </c>
      <c r="C135" s="1539"/>
      <c r="D135" s="1540"/>
      <c r="E135" s="1540"/>
      <c r="F135" s="1541"/>
      <c r="G135" s="1542"/>
      <c r="H135" s="1542"/>
      <c r="I135" s="1542"/>
      <c r="J135" s="1542"/>
      <c r="K135" s="1543"/>
      <c r="L135" s="1542"/>
      <c r="M135" s="1542"/>
      <c r="N135" s="1542"/>
      <c r="O135" s="1542"/>
      <c r="P135" s="1542"/>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2648</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2717</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3092</v>
      </c>
      <c r="C141" s="2"/>
      <c r="D141" s="2"/>
      <c r="E141" s="2"/>
      <c r="F141" s="1544">
        <v>0</v>
      </c>
      <c r="G141" s="1545"/>
      <c r="H141" s="2"/>
      <c r="I141" s="2" t="s">
        <v>1946</v>
      </c>
      <c r="J141" s="2"/>
      <c r="K141" s="1544"/>
      <c r="L141" s="1545"/>
      <c r="M141" s="2"/>
      <c r="N141" s="2" t="s">
        <v>1423</v>
      </c>
      <c r="O141" s="2"/>
      <c r="P141" s="1546">
        <v>7315.2</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4">
        <v>3000</v>
      </c>
      <c r="G142" s="1545"/>
      <c r="H142" s="2"/>
      <c r="I142" s="2" t="s">
        <v>1947</v>
      </c>
      <c r="J142" s="2"/>
      <c r="K142" s="1544"/>
      <c r="L142" s="1545"/>
      <c r="M142" s="2"/>
      <c r="N142" s="2" t="s">
        <v>182</v>
      </c>
      <c r="O142" s="2"/>
      <c r="P142" s="1546">
        <v>8445</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4"/>
      <c r="G143" s="1545"/>
      <c r="H143" s="2"/>
      <c r="I143" s="2"/>
      <c r="J143" s="169" t="s">
        <v>230</v>
      </c>
      <c r="K143" s="1091">
        <f>SUM(K141:L142)</f>
        <v>0</v>
      </c>
      <c r="L143" s="1092"/>
      <c r="M143" s="2"/>
      <c r="N143" s="1547" t="s">
        <v>57</v>
      </c>
      <c r="O143" s="1548"/>
      <c r="P143" s="1549"/>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0" t="s">
        <v>57</v>
      </c>
      <c r="C144" s="1551"/>
      <c r="D144" s="1551"/>
      <c r="E144" s="1552"/>
      <c r="F144" s="1553"/>
      <c r="G144" s="1554"/>
      <c r="H144" s="2"/>
      <c r="I144" s="2"/>
      <c r="J144" s="2"/>
      <c r="K144" s="2"/>
      <c r="L144" s="2"/>
      <c r="M144" s="2"/>
      <c r="N144" s="13" t="s">
        <v>230</v>
      </c>
      <c r="O144" s="2"/>
      <c r="P144" s="633">
        <f>SUM(P141:P143)</f>
        <v>15760.2</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3000</v>
      </c>
      <c r="G145" s="1092"/>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14572</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4">
        <v>2000</v>
      </c>
      <c r="G148" s="1545"/>
      <c r="H148" s="2"/>
      <c r="I148" s="2" t="s">
        <v>2211</v>
      </c>
      <c r="J148" s="2"/>
      <c r="K148" s="1555">
        <v>4000</v>
      </c>
      <c r="L148" s="1556"/>
      <c r="M148" s="2"/>
      <c r="N148" s="595">
        <f>+P147/(M62*0.93)</f>
        <v>474.81264255457802</v>
      </c>
      <c r="O148" s="30" t="s">
        <v>3589</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4">
        <v>1500</v>
      </c>
      <c r="G149" s="1545"/>
      <c r="H149" s="2"/>
      <c r="I149" s="2" t="s">
        <v>2935</v>
      </c>
      <c r="J149" s="2"/>
      <c r="K149" s="1557">
        <v>6250</v>
      </c>
      <c r="L149" s="1558"/>
      <c r="M149" s="2"/>
      <c r="N149" s="595">
        <f>+P147/(M62*0.93)/12</f>
        <v>39.567720212881504</v>
      </c>
      <c r="O149" s="30" t="s">
        <v>3590</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4">
        <v>1000</v>
      </c>
      <c r="G150" s="1545"/>
      <c r="H150" s="2"/>
      <c r="I150" s="2" t="s">
        <v>2212</v>
      </c>
      <c r="J150" s="2"/>
      <c r="K150" s="1557">
        <v>2000</v>
      </c>
      <c r="L150" s="1558"/>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3266</v>
      </c>
      <c r="C151" s="2"/>
      <c r="D151" s="10"/>
      <c r="E151" s="2"/>
      <c r="F151" s="1544"/>
      <c r="G151" s="1545"/>
      <c r="H151" s="2"/>
      <c r="I151" s="1547" t="s">
        <v>57</v>
      </c>
      <c r="J151" s="1548"/>
      <c r="K151" s="1555"/>
      <c r="L151" s="1556"/>
      <c r="M151" s="2"/>
      <c r="N151" s="1103" t="s">
        <v>3466</v>
      </c>
      <c r="O151" s="1104"/>
      <c r="P151" s="110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4">
        <v>1200</v>
      </c>
      <c r="G152" s="1545"/>
      <c r="H152" s="2"/>
      <c r="I152" s="11"/>
      <c r="J152" s="13" t="s">
        <v>230</v>
      </c>
      <c r="K152" s="1099">
        <f>SUM(K148:K151)</f>
        <v>12250</v>
      </c>
      <c r="L152" s="1100"/>
      <c r="M152" s="2"/>
      <c r="N152" s="1104"/>
      <c r="O152" s="1104"/>
      <c r="P152" s="110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0" t="s">
        <v>57</v>
      </c>
      <c r="C153" s="1551"/>
      <c r="D153" s="1551"/>
      <c r="E153" s="1552"/>
      <c r="F153" s="1553"/>
      <c r="G153" s="1554"/>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5700</v>
      </c>
      <c r="G154" s="1092"/>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3318</v>
      </c>
      <c r="K156" s="2"/>
      <c r="L156" s="2"/>
      <c r="M156" s="2"/>
      <c r="N156" s="11" t="s">
        <v>3082</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59">
        <v>6000</v>
      </c>
      <c r="G157" s="1560"/>
      <c r="H157" s="2"/>
      <c r="I157" s="2" t="s">
        <v>1936</v>
      </c>
      <c r="J157" s="630">
        <f>K157/12/$M$62</f>
        <v>23.98989898989899</v>
      </c>
      <c r="K157" s="1557">
        <v>9500</v>
      </c>
      <c r="L157" s="1558"/>
      <c r="M157" s="2"/>
      <c r="N157" s="364">
        <f>+$P$157/$M$62</f>
        <v>3011.5818181818181</v>
      </c>
      <c r="O157" s="30" t="s">
        <v>1974</v>
      </c>
      <c r="P157" s="631">
        <f>F145+F154+F165+K143+K152+K162+P144+P147</f>
        <v>99382.2</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59">
        <v>7000</v>
      </c>
      <c r="G158" s="1560"/>
      <c r="H158" s="2"/>
      <c r="I158" s="2" t="s">
        <v>1937</v>
      </c>
      <c r="J158" s="630">
        <f>K158/12/$M$62</f>
        <v>0</v>
      </c>
      <c r="K158" s="1557"/>
      <c r="L158" s="1558"/>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59">
        <v>4000</v>
      </c>
      <c r="G159" s="1560"/>
      <c r="H159" s="2"/>
      <c r="I159" s="2" t="s">
        <v>3317</v>
      </c>
      <c r="J159" s="630">
        <f>K159/12/$M$62</f>
        <v>12.626262626262626</v>
      </c>
      <c r="K159" s="1557">
        <v>5000</v>
      </c>
      <c r="L159" s="1558"/>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4">
        <v>3600</v>
      </c>
      <c r="G160" s="1545"/>
      <c r="H160" s="2"/>
      <c r="I160" s="2" t="s">
        <v>1939</v>
      </c>
      <c r="J160" s="2"/>
      <c r="K160" s="1557">
        <v>3000</v>
      </c>
      <c r="L160" s="1558"/>
      <c r="M160" s="2"/>
      <c r="N160" s="11" t="s">
        <v>1796</v>
      </c>
      <c r="O160" s="11"/>
      <c r="P160" s="632">
        <f>P161*M62</f>
        <v>8250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4">
        <v>4000</v>
      </c>
      <c r="G161" s="1545"/>
      <c r="H161" s="2"/>
      <c r="I161" s="1547" t="s">
        <v>57</v>
      </c>
      <c r="J161" s="1548"/>
      <c r="K161" s="1555"/>
      <c r="L161" s="1556"/>
      <c r="M161" s="2"/>
      <c r="N161" s="30" t="s">
        <v>639</v>
      </c>
      <c r="O161" s="2"/>
      <c r="P161" s="1561">
        <v>250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4"/>
      <c r="G162" s="1545"/>
      <c r="H162" s="2"/>
      <c r="I162" s="2"/>
      <c r="J162" s="13" t="s">
        <v>230</v>
      </c>
      <c r="K162" s="1099">
        <f>SUM(K157:K161)</f>
        <v>17500</v>
      </c>
      <c r="L162" s="1100"/>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4">
        <v>6000</v>
      </c>
      <c r="G163" s="1545"/>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0" t="s">
        <v>57</v>
      </c>
      <c r="C164" s="1551"/>
      <c r="D164" s="1551"/>
      <c r="E164" s="1552"/>
      <c r="F164" s="1553"/>
      <c r="G164" s="1554"/>
      <c r="H164" s="2"/>
      <c r="I164" s="2"/>
      <c r="J164" s="14"/>
      <c r="K164" s="2"/>
      <c r="L164" s="2"/>
      <c r="M164" s="2"/>
      <c r="N164" s="11" t="s">
        <v>3083</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30600</v>
      </c>
      <c r="G165" s="1102"/>
      <c r="H165" s="2"/>
      <c r="I165" s="2"/>
      <c r="J165" s="14"/>
      <c r="K165" s="2"/>
      <c r="L165" s="2"/>
      <c r="M165" s="2"/>
      <c r="N165" s="2"/>
      <c r="O165" s="2"/>
      <c r="P165" s="631">
        <f>P157+P160</f>
        <v>107632.2</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2717</v>
      </c>
    </row>
    <row r="168" spans="1:255" ht="132.75" customHeight="1">
      <c r="A168" s="1360" t="s">
        <v>4066</v>
      </c>
      <c r="B168" s="1361"/>
      <c r="C168" s="1361"/>
      <c r="D168" s="1361"/>
      <c r="E168" s="1361"/>
      <c r="F168" s="1361"/>
      <c r="G168" s="1361"/>
      <c r="H168" s="1361"/>
      <c r="I168" s="1361"/>
      <c r="J168" s="1362"/>
      <c r="K168" s="1363"/>
      <c r="L168" s="1364"/>
      <c r="M168" s="1364"/>
      <c r="N168" s="1364"/>
      <c r="O168" s="1364"/>
      <c r="P168" s="1365"/>
      <c r="T168" s="952" t="s">
        <v>3965</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2012-047 Magnolia Pointe Apartments, Montezuma, Macon County</v>
      </c>
      <c r="B1" s="1108"/>
      <c r="C1" s="1108"/>
      <c r="D1" s="1108"/>
      <c r="E1" s="1108"/>
      <c r="F1" s="1108"/>
      <c r="G1" s="1108"/>
      <c r="H1" s="1108"/>
      <c r="I1" s="1108"/>
      <c r="J1" s="1108"/>
      <c r="K1" s="1109"/>
      <c r="L1" s="11"/>
      <c r="M1" s="1105" t="str">
        <f>A1</f>
        <v>PART SEVEN - OPERATING PRO FORMA  -  2012-047 Magnolia Pointe Apartments, Montezuma, Macon County</v>
      </c>
      <c r="N1" s="1105"/>
      <c r="O1" s="11"/>
    </row>
    <row r="2" spans="1:15" ht="13.5" customHeight="1">
      <c r="M2" s="1106" t="s">
        <v>2717</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3084</v>
      </c>
      <c r="B5" s="105">
        <v>0.02</v>
      </c>
      <c r="C5" s="19"/>
      <c r="D5" s="19" t="s">
        <v>1269</v>
      </c>
      <c r="F5" s="19"/>
      <c r="G5" s="1562">
        <v>7500</v>
      </c>
      <c r="H5" s="128" t="s">
        <v>2785</v>
      </c>
      <c r="K5" s="133">
        <f>IF(($B$14+$B$15+$B$16+$B$17)=0,"",-B28/($B$14+$B$15+$B$16+$B$17))</f>
        <v>5.4041212693459434E-2</v>
      </c>
      <c r="M5" s="1460"/>
      <c r="N5" s="1461"/>
    </row>
    <row r="6" spans="1:15">
      <c r="A6" s="19" t="s">
        <v>3085</v>
      </c>
      <c r="B6" s="105">
        <v>0.03</v>
      </c>
      <c r="C6" s="19"/>
      <c r="D6" s="19" t="s">
        <v>1270</v>
      </c>
      <c r="F6" s="19"/>
      <c r="G6" s="1562"/>
      <c r="H6" s="128" t="s">
        <v>3347</v>
      </c>
      <c r="K6" s="133" t="e">
        <f>IF(($B$14+$B$15+$B$16+$B$17)=0,"",-#REF!/($B$14+$B$15+$B$16+$B$17))</f>
        <v>#REF!</v>
      </c>
      <c r="M6" s="1462"/>
      <c r="N6" s="1463"/>
    </row>
    <row r="7" spans="1:15">
      <c r="A7" s="19" t="s">
        <v>3087</v>
      </c>
      <c r="B7" s="105">
        <v>0.03</v>
      </c>
      <c r="C7" s="19"/>
      <c r="D7" s="107" t="s">
        <v>332</v>
      </c>
      <c r="G7" s="109"/>
      <c r="H7" s="128" t="s">
        <v>3348</v>
      </c>
      <c r="K7" s="133">
        <f>IF(($B$14+$B$15+$B$16+$B$17)=0,"",-B20/($B$14+$B$15+$B$16+$B$17))</f>
        <v>0.10499847351587878</v>
      </c>
      <c r="M7" s="1462"/>
      <c r="N7" s="1463"/>
    </row>
    <row r="8" spans="1:15" ht="13.15" customHeight="1">
      <c r="A8" s="19" t="s">
        <v>3086</v>
      </c>
      <c r="B8" s="1563">
        <v>7.0000000000000007E-2</v>
      </c>
      <c r="C8" s="19"/>
      <c r="D8" s="106" t="s">
        <v>3518</v>
      </c>
      <c r="G8" s="1564" t="s">
        <v>3978</v>
      </c>
      <c r="H8" s="230" t="s">
        <v>2028</v>
      </c>
      <c r="K8" s="1565"/>
      <c r="M8" s="1462"/>
      <c r="N8" s="1463"/>
    </row>
    <row r="9" spans="1:15">
      <c r="A9" s="19" t="s">
        <v>1992</v>
      </c>
      <c r="B9" s="105">
        <v>0.02</v>
      </c>
      <c r="D9" s="106" t="s">
        <v>2570</v>
      </c>
      <c r="G9" s="1564" t="s">
        <v>3976</v>
      </c>
      <c r="H9" s="230" t="s">
        <v>3323</v>
      </c>
      <c r="K9" s="1566">
        <v>0.105</v>
      </c>
      <c r="M9" s="1465"/>
      <c r="N9" s="1466"/>
    </row>
    <row r="10" spans="1:15" ht="13.5" customHeight="1"/>
    <row r="11" spans="1:15">
      <c r="A11" s="16" t="s">
        <v>97</v>
      </c>
      <c r="M11" s="16" t="str">
        <f>A11</f>
        <v>II.  OPERATING PRO FORMA</v>
      </c>
    </row>
    <row r="12" spans="1:15" ht="2.4500000000000002" customHeight="1"/>
    <row r="13" spans="1:15" ht="14.45" customHeight="1">
      <c r="A13" s="16" t="s">
        <v>3486</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3675</v>
      </c>
      <c r="N13" s="954"/>
    </row>
    <row r="14" spans="1:15" ht="13.15" customHeight="1">
      <c r="A14" s="21" t="s">
        <v>3385</v>
      </c>
      <c r="B14" s="22">
        <f>'Part VI-Revenues &amp; Expenses'!L49</f>
        <v>146304</v>
      </c>
      <c r="C14" s="22">
        <f t="shared" ref="C14:K14" si="1">$B$14*(1+$B$5)^(C13-1)</f>
        <v>149230.08000000002</v>
      </c>
      <c r="D14" s="22">
        <f t="shared" si="1"/>
        <v>152214.68160000001</v>
      </c>
      <c r="E14" s="22">
        <f t="shared" si="1"/>
        <v>155258.975232</v>
      </c>
      <c r="F14" s="22">
        <f t="shared" si="1"/>
        <v>158364.15473663999</v>
      </c>
      <c r="G14" s="22">
        <f t="shared" si="1"/>
        <v>161531.43783137281</v>
      </c>
      <c r="H14" s="22">
        <f t="shared" si="1"/>
        <v>164762.06658800028</v>
      </c>
      <c r="I14" s="22">
        <f t="shared" si="1"/>
        <v>168057.30791976023</v>
      </c>
      <c r="J14" s="22">
        <f t="shared" si="1"/>
        <v>171418.45407815545</v>
      </c>
      <c r="K14" s="23">
        <f t="shared" si="1"/>
        <v>174846.82315971857</v>
      </c>
      <c r="M14" s="1460"/>
      <c r="N14" s="1461"/>
    </row>
    <row r="15" spans="1:15" ht="13.15" customHeight="1">
      <c r="A15" s="24" t="s">
        <v>1519</v>
      </c>
      <c r="B15" s="25">
        <f>MIN(B14*B9,'Part VI-Revenues &amp; Expenses'!G104)</f>
        <v>2925</v>
      </c>
      <c r="C15" s="25">
        <f t="shared" ref="C15:K15" si="2">$B$15*(1+$B$5)^(C13-1)</f>
        <v>2983.5</v>
      </c>
      <c r="D15" s="25">
        <f t="shared" si="2"/>
        <v>3043.17</v>
      </c>
      <c r="E15" s="25">
        <f t="shared" si="2"/>
        <v>3104.0333999999998</v>
      </c>
      <c r="F15" s="25">
        <f t="shared" si="2"/>
        <v>3166.1140679999999</v>
      </c>
      <c r="G15" s="25">
        <f t="shared" si="2"/>
        <v>3229.4363493599999</v>
      </c>
      <c r="H15" s="25">
        <f t="shared" si="2"/>
        <v>3294.0250763472004</v>
      </c>
      <c r="I15" s="25">
        <f t="shared" si="2"/>
        <v>3359.9055778741435</v>
      </c>
      <c r="J15" s="25">
        <f t="shared" si="2"/>
        <v>3427.1036894316267</v>
      </c>
      <c r="K15" s="26">
        <f t="shared" si="2"/>
        <v>3495.6457632202591</v>
      </c>
      <c r="M15" s="1462"/>
      <c r="N15" s="1463"/>
    </row>
    <row r="16" spans="1:15" ht="13.15" customHeight="1">
      <c r="A16" s="24" t="s">
        <v>3386</v>
      </c>
      <c r="B16" s="25">
        <f t="shared" ref="B16:K16" si="3">-(B14+B15)*$B$8</f>
        <v>-10446.030000000001</v>
      </c>
      <c r="C16" s="25">
        <f t="shared" si="3"/>
        <v>-10654.950600000002</v>
      </c>
      <c r="D16" s="25">
        <f t="shared" si="3"/>
        <v>-10868.049612000003</v>
      </c>
      <c r="E16" s="25">
        <f t="shared" si="3"/>
        <v>-11085.41060424</v>
      </c>
      <c r="F16" s="25">
        <f t="shared" si="3"/>
        <v>-11307.118816324801</v>
      </c>
      <c r="G16" s="25">
        <f t="shared" si="3"/>
        <v>-11533.261192651298</v>
      </c>
      <c r="H16" s="25">
        <f t="shared" si="3"/>
        <v>-11763.926416504324</v>
      </c>
      <c r="I16" s="25">
        <f t="shared" si="3"/>
        <v>-11999.204944834406</v>
      </c>
      <c r="J16" s="25">
        <f t="shared" si="3"/>
        <v>-12239.189043731096</v>
      </c>
      <c r="K16" s="26">
        <f t="shared" si="3"/>
        <v>-12483.97282460572</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871</v>
      </c>
      <c r="B19" s="25">
        <f>-('Part VI-Revenues &amp; Expenses'!P157-'Part VI-Revenues &amp; Expenses'!P147)</f>
        <v>-84810.2</v>
      </c>
      <c r="C19" s="25">
        <f t="shared" ref="C19:K19" si="4">$B$19*(1+$B$6)^(C13-1)</f>
        <v>-87354.505999999994</v>
      </c>
      <c r="D19" s="25">
        <f t="shared" si="4"/>
        <v>-89975.141179999991</v>
      </c>
      <c r="E19" s="25">
        <f t="shared" si="4"/>
        <v>-92674.395415399995</v>
      </c>
      <c r="F19" s="25">
        <f t="shared" si="4"/>
        <v>-95454.62727786199</v>
      </c>
      <c r="G19" s="25">
        <f t="shared" si="4"/>
        <v>-98318.26609619784</v>
      </c>
      <c r="H19" s="25">
        <f t="shared" si="4"/>
        <v>-101267.81407908378</v>
      </c>
      <c r="I19" s="25">
        <f t="shared" si="4"/>
        <v>-104305.8485014563</v>
      </c>
      <c r="J19" s="25">
        <f t="shared" si="4"/>
        <v>-107435.02395649998</v>
      </c>
      <c r="K19" s="26">
        <f t="shared" si="4"/>
        <v>-110658.07467519498</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-14572</v>
      </c>
      <c r="C20" s="25">
        <f>IF(AND('Part VII-Pro Forma'!$G$8="Yes",'Part VII-Pro Forma'!$G$9="Yes"),"Choose One!",IF('Part VII-Pro Forma'!$G$8="Yes",ROUND((-$K$8*(1+'Part VII-Pro Forma'!$B$6)^('Part VII-Pro Forma'!C13-1)),),IF('Part VII-Pro Forma'!$G$9="Yes",ROUND((-(SUM(C14:C17)*'Part VII-Pro Forma'!$K$9)),),"Choose mgt fee")))</f>
        <v>-14864</v>
      </c>
      <c r="D20" s="25">
        <f>IF(AND('Part VII-Pro Forma'!$G$8="Yes",'Part VII-Pro Forma'!$G$9="Yes"),"Choose One!",IF('Part VII-Pro Forma'!$G$8="Yes",ROUND((-$K$8*(1+'Part VII-Pro Forma'!$B$6)^('Part VII-Pro Forma'!D13-1)),),IF('Part VII-Pro Forma'!$G$9="Yes",ROUND((-(SUM(D14:D17)*'Part VII-Pro Forma'!$K$9)),),"Choose mgt fee")))</f>
        <v>-15161</v>
      </c>
      <c r="E20" s="25">
        <f>IF(AND('Part VII-Pro Forma'!$G$8="Yes",'Part VII-Pro Forma'!$G$9="Yes"),"Choose One!",IF('Part VII-Pro Forma'!$G$8="Yes",ROUND((-$K$8*(1+'Part VII-Pro Forma'!$B$6)^('Part VII-Pro Forma'!E13-1)),),IF('Part VII-Pro Forma'!$G$9="Yes",ROUND((-(SUM(E14:E17)*'Part VII-Pro Forma'!$K$9)),),"Choose mgt fee")))</f>
        <v>-15464</v>
      </c>
      <c r="F20" s="25">
        <f>IF(AND('Part VII-Pro Forma'!$G$8="Yes",'Part VII-Pro Forma'!$G$9="Yes"),"Choose One!",IF('Part VII-Pro Forma'!$G$8="Yes",ROUND((-$K$8*(1+'Part VII-Pro Forma'!$B$6)^('Part VII-Pro Forma'!F13-1)),),IF('Part VII-Pro Forma'!$G$9="Yes",ROUND((-(SUM(F14:F17)*'Part VII-Pro Forma'!$K$9)),),"Choose mgt fee")))</f>
        <v>-15773</v>
      </c>
      <c r="G20" s="25">
        <f>IF(AND('Part VII-Pro Forma'!$G$8="Yes",'Part VII-Pro Forma'!$G$9="Yes"),"Choose One!",IF('Part VII-Pro Forma'!$G$8="Yes",ROUND((-$K$8*(1+'Part VII-Pro Forma'!$B$6)^('Part VII-Pro Forma'!G13-1)),),IF('Part VII-Pro Forma'!$G$9="Yes",ROUND((-(SUM(G14:G17)*'Part VII-Pro Forma'!$K$9)),),"Choose mgt fee")))</f>
        <v>-16089</v>
      </c>
      <c r="H20" s="25">
        <f>IF(AND('Part VII-Pro Forma'!$G$8="Yes",'Part VII-Pro Forma'!$G$9="Yes"),"Choose One!",IF('Part VII-Pro Forma'!$G$8="Yes",ROUND((-$K$8*(1+'Part VII-Pro Forma'!$B$6)^('Part VII-Pro Forma'!H13-1)),),IF('Part VII-Pro Forma'!$G$9="Yes",ROUND((-(SUM(H14:H17)*'Part VII-Pro Forma'!$K$9)),),"Choose mgt fee")))</f>
        <v>-16411</v>
      </c>
      <c r="I20" s="25">
        <f>IF(AND('Part VII-Pro Forma'!$G$8="Yes",'Part VII-Pro Forma'!$G$9="Yes"),"Choose One!",IF('Part VII-Pro Forma'!$G$8="Yes",ROUND((-$K$8*(1+'Part VII-Pro Forma'!$B$6)^('Part VII-Pro Forma'!I13-1)),),IF('Part VII-Pro Forma'!$G$9="Yes",ROUND((-(SUM(I14:I17)*'Part VII-Pro Forma'!$K$9)),),"Choose mgt fee")))</f>
        <v>-16739</v>
      </c>
      <c r="J20" s="25">
        <f>IF(AND('Part VII-Pro Forma'!$G$8="Yes",'Part VII-Pro Forma'!$G$9="Yes"),"Choose One!",IF('Part VII-Pro Forma'!$G$8="Yes",ROUND((-$K$8*(1+'Part VII-Pro Forma'!$B$6)^('Part VII-Pro Forma'!J13-1)),),IF('Part VII-Pro Forma'!$G$9="Yes",ROUND((-(SUM(J14:J17)*'Part VII-Pro Forma'!$K$9)),),"Choose mgt fee")))</f>
        <v>-17074</v>
      </c>
      <c r="K20" s="25">
        <f>IF(AND('Part VII-Pro Forma'!$G$8="Yes",'Part VII-Pro Forma'!$G$9="Yes"),"Choose One!",IF('Part VII-Pro Forma'!$G$8="Yes",ROUND((-$K$8*(1+'Part VII-Pro Forma'!$B$6)^('Part VII-Pro Forma'!K13-1)),),IF('Part VII-Pro Forma'!$G$9="Yes",ROUND((-(SUM(K14:K17)*'Part VII-Pro Forma'!$K$9)),),"Choose mgt fee")))</f>
        <v>-17415</v>
      </c>
      <c r="M20" s="1462"/>
      <c r="N20" s="1463"/>
    </row>
    <row r="21" spans="1:14" ht="13.15" customHeight="1">
      <c r="A21" s="24" t="s">
        <v>1739</v>
      </c>
      <c r="B21" s="25">
        <f>-('Part VI-Revenues &amp; Expenses'!P160)</f>
        <v>-8250</v>
      </c>
      <c r="C21" s="25">
        <f t="shared" ref="C21:K21" si="5">$B$21*(1+$B$7)^(C13-1)</f>
        <v>-8497.5</v>
      </c>
      <c r="D21" s="25">
        <f t="shared" si="5"/>
        <v>-8752.4249999999993</v>
      </c>
      <c r="E21" s="25">
        <f t="shared" si="5"/>
        <v>-9014.9977500000005</v>
      </c>
      <c r="F21" s="25">
        <f t="shared" si="5"/>
        <v>-9285.4476825000002</v>
      </c>
      <c r="G21" s="25">
        <f t="shared" si="5"/>
        <v>-9564.0111129749985</v>
      </c>
      <c r="H21" s="25">
        <f t="shared" si="5"/>
        <v>-9850.9314463642495</v>
      </c>
      <c r="I21" s="25">
        <f t="shared" si="5"/>
        <v>-10146.459389755177</v>
      </c>
      <c r="J21" s="25">
        <f t="shared" si="5"/>
        <v>-10450.853171447832</v>
      </c>
      <c r="K21" s="26">
        <f t="shared" si="5"/>
        <v>-10764.378766591266</v>
      </c>
      <c r="M21" s="1462"/>
      <c r="N21" s="1463"/>
    </row>
    <row r="22" spans="1:14" ht="13.15" customHeight="1">
      <c r="A22" s="24" t="s">
        <v>1740</v>
      </c>
      <c r="B22" s="25">
        <f t="shared" ref="B22:K22" si="6">SUM(B14:B21)</f>
        <v>31150.770000000004</v>
      </c>
      <c r="C22" s="25">
        <f t="shared" si="6"/>
        <v>30842.623400000011</v>
      </c>
      <c r="D22" s="25">
        <f t="shared" si="6"/>
        <v>30501.23580800003</v>
      </c>
      <c r="E22" s="25">
        <f t="shared" si="6"/>
        <v>30124.204862359991</v>
      </c>
      <c r="F22" s="25">
        <f t="shared" si="6"/>
        <v>29710.075027953193</v>
      </c>
      <c r="G22" s="25">
        <f t="shared" si="6"/>
        <v>29256.335778908688</v>
      </c>
      <c r="H22" s="25">
        <f t="shared" si="6"/>
        <v>28762.419722395134</v>
      </c>
      <c r="I22" s="25">
        <f t="shared" si="6"/>
        <v>28226.700661588482</v>
      </c>
      <c r="J22" s="25">
        <f t="shared" si="6"/>
        <v>27646.491595908155</v>
      </c>
      <c r="K22" s="26">
        <f t="shared" si="6"/>
        <v>27021.042656546852</v>
      </c>
      <c r="M22" s="1462"/>
      <c r="N22" s="1463"/>
    </row>
    <row r="23" spans="1:14" ht="13.15" customHeight="1">
      <c r="A23" s="678" t="s">
        <v>2195</v>
      </c>
      <c r="B23" s="1567">
        <f>IF('Part III A-Sources of Funds'!$M$32="", 0,-'Part III A-Sources of Funds'!$M$32)</f>
        <v>0</v>
      </c>
      <c r="C23" s="1567">
        <f>IF('Part III A-Sources of Funds'!$M$32="", 0,-'Part III A-Sources of Funds'!$M$32)</f>
        <v>0</v>
      </c>
      <c r="D23" s="1567">
        <f>IF('Part III A-Sources of Funds'!$M$32="", 0,-'Part III A-Sources of Funds'!$M$32)</f>
        <v>0</v>
      </c>
      <c r="E23" s="1567">
        <f>IF('Part III A-Sources of Funds'!$M$32="", 0,-'Part III A-Sources of Funds'!$M$32)</f>
        <v>0</v>
      </c>
      <c r="F23" s="1567">
        <f>IF('Part III A-Sources of Funds'!$M$32="", 0,-'Part III A-Sources of Funds'!$M$32)</f>
        <v>0</v>
      </c>
      <c r="G23" s="1567">
        <f>IF('Part III A-Sources of Funds'!$M$32="", 0,-'Part III A-Sources of Funds'!$M$32)</f>
        <v>0</v>
      </c>
      <c r="H23" s="1567">
        <f>IF('Part III A-Sources of Funds'!$M$32="", 0,-'Part III A-Sources of Funds'!$M$32)</f>
        <v>0</v>
      </c>
      <c r="I23" s="1567">
        <f>IF('Part III A-Sources of Funds'!$M$32="", 0,-'Part III A-Sources of Funds'!$M$32)</f>
        <v>0</v>
      </c>
      <c r="J23" s="1567">
        <f>IF('Part III A-Sources of Funds'!$M$32="", 0,-'Part III A-Sources of Funds'!$M$32)</f>
        <v>0</v>
      </c>
      <c r="K23" s="1567">
        <f>IF('Part III A-Sources of Funds'!$M$32="", 0,-'Part III A-Sources of Funds'!$M$32)</f>
        <v>0</v>
      </c>
      <c r="M23" s="1462"/>
      <c r="N23" s="1463"/>
    </row>
    <row r="24" spans="1:14" ht="13.15" customHeight="1">
      <c r="A24" s="678" t="s">
        <v>2196</v>
      </c>
      <c r="B24" s="1568">
        <f>IF('Part III A-Sources of Funds'!$M$33="", 0,-'Part III A-Sources of Funds'!$M$33)</f>
        <v>0</v>
      </c>
      <c r="C24" s="1568">
        <f>IF('Part III A-Sources of Funds'!$M$33="", 0,-'Part III A-Sources of Funds'!$M$33)</f>
        <v>0</v>
      </c>
      <c r="D24" s="1568">
        <f>IF('Part III A-Sources of Funds'!$M$33="", 0,-'Part III A-Sources of Funds'!$M$33)</f>
        <v>0</v>
      </c>
      <c r="E24" s="1568">
        <f>IF('Part III A-Sources of Funds'!$M$33="", 0,-'Part III A-Sources of Funds'!$M$33)</f>
        <v>0</v>
      </c>
      <c r="F24" s="1568">
        <f>IF('Part III A-Sources of Funds'!$M$33="", 0,-'Part III A-Sources of Funds'!$M$33)</f>
        <v>0</v>
      </c>
      <c r="G24" s="1568">
        <f>IF('Part III A-Sources of Funds'!$M$33="", 0,-'Part III A-Sources of Funds'!$M$33)</f>
        <v>0</v>
      </c>
      <c r="H24" s="1568">
        <f>IF('Part III A-Sources of Funds'!$M$33="", 0,-'Part III A-Sources of Funds'!$M$33)</f>
        <v>0</v>
      </c>
      <c r="I24" s="1568">
        <f>IF('Part III A-Sources of Funds'!$M$33="", 0,-'Part III A-Sources of Funds'!$M$33)</f>
        <v>0</v>
      </c>
      <c r="J24" s="1568">
        <f>IF('Part III A-Sources of Funds'!$M$33="", 0,-'Part III A-Sources of Funds'!$M$33)</f>
        <v>0</v>
      </c>
      <c r="K24" s="1568">
        <f>IF('Part III A-Sources of Funds'!$M$33="", 0,-'Part III A-Sources of Funds'!$M$33)</f>
        <v>0</v>
      </c>
      <c r="M24" s="1462"/>
      <c r="N24" s="1463"/>
    </row>
    <row r="25" spans="1:14" ht="13.15" customHeight="1">
      <c r="A25" s="678" t="s">
        <v>2197</v>
      </c>
      <c r="B25" s="1568">
        <f>IF('Part III A-Sources of Funds'!$M$34="", 0,-'Part III A-Sources of Funds'!$M$34)</f>
        <v>0</v>
      </c>
      <c r="C25" s="1568">
        <f>IF('Part III A-Sources of Funds'!$M$34="", 0,-'Part III A-Sources of Funds'!$M$34)</f>
        <v>0</v>
      </c>
      <c r="D25" s="1568">
        <f>IF('Part III A-Sources of Funds'!$M$34="", 0,-'Part III A-Sources of Funds'!$M$34)</f>
        <v>0</v>
      </c>
      <c r="E25" s="1568">
        <f>IF('Part III A-Sources of Funds'!$M$34="", 0,-'Part III A-Sources of Funds'!$M$34)</f>
        <v>0</v>
      </c>
      <c r="F25" s="1568">
        <f>IF('Part III A-Sources of Funds'!$M$34="", 0,-'Part III A-Sources of Funds'!$M$34)</f>
        <v>0</v>
      </c>
      <c r="G25" s="1568">
        <f>IF('Part III A-Sources of Funds'!$M$34="", 0,-'Part III A-Sources of Funds'!$M$34)</f>
        <v>0</v>
      </c>
      <c r="H25" s="1568">
        <f>IF('Part III A-Sources of Funds'!$M$34="", 0,-'Part III A-Sources of Funds'!$M$34)</f>
        <v>0</v>
      </c>
      <c r="I25" s="1568">
        <f>IF('Part III A-Sources of Funds'!$M$34="", 0,-'Part III A-Sources of Funds'!$M$34)</f>
        <v>0</v>
      </c>
      <c r="J25" s="1568">
        <f>IF('Part III A-Sources of Funds'!$M$34="", 0,-'Part III A-Sources of Funds'!$M$34)</f>
        <v>0</v>
      </c>
      <c r="K25" s="1568">
        <f>IF('Part III A-Sources of Funds'!$M$34="", 0,-'Part III A-Sources of Funds'!$M$34)</f>
        <v>0</v>
      </c>
      <c r="M25" s="1462"/>
      <c r="N25" s="1463"/>
    </row>
    <row r="26" spans="1:14" ht="13.15" customHeight="1">
      <c r="A26" s="24" t="s">
        <v>1266</v>
      </c>
      <c r="B26" s="1568">
        <f>IF('Part III A-Sources of Funds'!$M$35="", 0,-'Part III A-Sources of Funds'!$M$35)</f>
        <v>0</v>
      </c>
      <c r="C26" s="1568">
        <f>IF('Part III A-Sources of Funds'!$M$35="", 0,-'Part III A-Sources of Funds'!$M$35)</f>
        <v>0</v>
      </c>
      <c r="D26" s="1568">
        <f>IF('Part III A-Sources of Funds'!$M$35="", 0,-'Part III A-Sources of Funds'!$M$35)</f>
        <v>0</v>
      </c>
      <c r="E26" s="1568">
        <f>IF('Part III A-Sources of Funds'!$M$35="", 0,-'Part III A-Sources of Funds'!$M$35)</f>
        <v>0</v>
      </c>
      <c r="F26" s="1568">
        <f>IF('Part III A-Sources of Funds'!$M$35="", 0,-'Part III A-Sources of Funds'!$M$35)</f>
        <v>0</v>
      </c>
      <c r="G26" s="1568">
        <f>IF('Part III A-Sources of Funds'!$M$35="", 0,-'Part III A-Sources of Funds'!$M$35)</f>
        <v>0</v>
      </c>
      <c r="H26" s="1568">
        <f>IF('Part III A-Sources of Funds'!$M$35="", 0,-'Part III A-Sources of Funds'!$M$35)</f>
        <v>0</v>
      </c>
      <c r="I26" s="1568">
        <f>IF('Part III A-Sources of Funds'!$M$35="", 0,-'Part III A-Sources of Funds'!$M$35)</f>
        <v>0</v>
      </c>
      <c r="J26" s="1568">
        <f>IF('Part III A-Sources of Funds'!$M$35="", 0,-'Part III A-Sources of Funds'!$M$35)</f>
        <v>0</v>
      </c>
      <c r="K26" s="1568">
        <f>IF('Part III A-Sources of Funds'!$M$35="", 0,-'Part III A-Sources of Funds'!$M$35)</f>
        <v>0</v>
      </c>
      <c r="M26" s="1462"/>
      <c r="N26" s="1463"/>
    </row>
    <row r="27" spans="1:14" ht="13.15" customHeight="1">
      <c r="A27" s="24" t="s">
        <v>1241</v>
      </c>
      <c r="B27" s="1569"/>
      <c r="C27" s="1569"/>
      <c r="D27" s="1569"/>
      <c r="E27" s="1569"/>
      <c r="F27" s="1569"/>
      <c r="G27" s="1569"/>
      <c r="H27" s="1569"/>
      <c r="I27" s="1569"/>
      <c r="J27" s="1569"/>
      <c r="K27" s="1569"/>
      <c r="M27" s="1462"/>
      <c r="N27" s="1463"/>
    </row>
    <row r="28" spans="1:14" ht="13.15" customHeight="1">
      <c r="A28" s="24" t="s">
        <v>1686</v>
      </c>
      <c r="B28" s="1568">
        <f>-$G$5</f>
        <v>-7500</v>
      </c>
      <c r="C28" s="1568">
        <f t="shared" ref="C28:K28" si="7">+B28</f>
        <v>-7500</v>
      </c>
      <c r="D28" s="1568">
        <f t="shared" si="7"/>
        <v>-7500</v>
      </c>
      <c r="E28" s="1568">
        <f t="shared" si="7"/>
        <v>-7500</v>
      </c>
      <c r="F28" s="1568">
        <f t="shared" si="7"/>
        <v>-7500</v>
      </c>
      <c r="G28" s="1568">
        <f t="shared" si="7"/>
        <v>-7500</v>
      </c>
      <c r="H28" s="1568">
        <f t="shared" si="7"/>
        <v>-7500</v>
      </c>
      <c r="I28" s="1568">
        <f t="shared" si="7"/>
        <v>-7500</v>
      </c>
      <c r="J28" s="1568">
        <f t="shared" si="7"/>
        <v>-7500</v>
      </c>
      <c r="K28" s="1568">
        <f t="shared" si="7"/>
        <v>-7500</v>
      </c>
      <c r="M28" s="1462"/>
      <c r="N28" s="1463"/>
    </row>
    <row r="29" spans="1:14" ht="13.15" customHeight="1">
      <c r="A29" s="24" t="s">
        <v>1741</v>
      </c>
      <c r="B29" s="1570">
        <f>-2467.5</f>
        <v>-2467.5</v>
      </c>
      <c r="C29" s="1570">
        <f t="shared" ref="C29:K29" si="8">-2467.5</f>
        <v>-2467.5</v>
      </c>
      <c r="D29" s="1570">
        <f t="shared" si="8"/>
        <v>-2467.5</v>
      </c>
      <c r="E29" s="1570">
        <f t="shared" si="8"/>
        <v>-2467.5</v>
      </c>
      <c r="F29" s="1570">
        <f t="shared" si="8"/>
        <v>-2467.5</v>
      </c>
      <c r="G29" s="1570">
        <f t="shared" si="8"/>
        <v>-2467.5</v>
      </c>
      <c r="H29" s="1570">
        <f t="shared" si="8"/>
        <v>-2467.5</v>
      </c>
      <c r="I29" s="1570">
        <f t="shared" si="8"/>
        <v>-2467.5</v>
      </c>
      <c r="J29" s="1570">
        <f t="shared" si="8"/>
        <v>-2467.5</v>
      </c>
      <c r="K29" s="1570">
        <f t="shared" si="8"/>
        <v>-2467.5</v>
      </c>
      <c r="M29" s="1462"/>
      <c r="N29" s="1463"/>
    </row>
    <row r="30" spans="1:14" ht="13.15" customHeight="1">
      <c r="A30" s="24" t="s">
        <v>1687</v>
      </c>
      <c r="B30" s="25">
        <f t="shared" ref="B30:K30" si="9">SUM(B22:B29)</f>
        <v>21183.270000000004</v>
      </c>
      <c r="C30" s="25">
        <f t="shared" si="9"/>
        <v>20875.123400000011</v>
      </c>
      <c r="D30" s="25">
        <f t="shared" si="9"/>
        <v>20533.73580800003</v>
      </c>
      <c r="E30" s="25">
        <f t="shared" si="9"/>
        <v>20156.704862359991</v>
      </c>
      <c r="F30" s="25">
        <f t="shared" si="9"/>
        <v>19742.575027953193</v>
      </c>
      <c r="G30" s="25">
        <f t="shared" si="9"/>
        <v>19288.835778908688</v>
      </c>
      <c r="H30" s="25">
        <f t="shared" si="9"/>
        <v>18794.919722395134</v>
      </c>
      <c r="I30" s="25">
        <f t="shared" si="9"/>
        <v>18259.200661588482</v>
      </c>
      <c r="J30" s="25">
        <f t="shared" si="9"/>
        <v>17678.991595908155</v>
      </c>
      <c r="K30" s="26">
        <f t="shared" si="9"/>
        <v>17053.542656546852</v>
      </c>
      <c r="M30" s="1462"/>
      <c r="N30" s="1463"/>
    </row>
    <row r="31" spans="1:14" ht="13.15" customHeight="1">
      <c r="A31" s="24" t="str">
        <f>IF('Part III A-Sources of Funds'!$E$32 = "Neither", "", "DCR Mortgage A")</f>
        <v>DCR Mortgage A</v>
      </c>
      <c r="B31" s="27" t="str">
        <f>IF(B23=0,"",-B22/B23)</f>
        <v/>
      </c>
      <c r="C31" s="27" t="str">
        <f t="shared" ref="C31:K31" si="10">IF(C23=0,"",-C22/C23)</f>
        <v/>
      </c>
      <c r="D31" s="27" t="str">
        <f t="shared" si="10"/>
        <v/>
      </c>
      <c r="E31" s="27" t="str">
        <f t="shared" si="10"/>
        <v/>
      </c>
      <c r="F31" s="27" t="str">
        <f t="shared" si="10"/>
        <v/>
      </c>
      <c r="G31" s="27" t="str">
        <f t="shared" si="10"/>
        <v/>
      </c>
      <c r="H31" s="27" t="str">
        <f t="shared" si="10"/>
        <v/>
      </c>
      <c r="I31" s="27" t="str">
        <f t="shared" si="10"/>
        <v/>
      </c>
      <c r="J31" s="27" t="str">
        <f t="shared" si="10"/>
        <v/>
      </c>
      <c r="K31" s="28" t="str">
        <f t="shared" si="10"/>
        <v/>
      </c>
      <c r="M31" s="1462"/>
      <c r="N31" s="1463"/>
    </row>
    <row r="32" spans="1:14" ht="13.15" customHeight="1">
      <c r="A32" s="24" t="str">
        <f>IF('Part III A-Sources of Funds'!$E$32 = "Neither", "", "DCR Mortgage B")</f>
        <v>DCR Mortgage B</v>
      </c>
      <c r="B32" s="27" t="str">
        <f t="shared" ref="B32:K32" si="11">IF(OR(B24=0,AND(B24=0,B23=0)),"",-B22/(B23+B24))</f>
        <v/>
      </c>
      <c r="C32" s="27" t="str">
        <f t="shared" si="11"/>
        <v/>
      </c>
      <c r="D32" s="27" t="str">
        <f t="shared" si="11"/>
        <v/>
      </c>
      <c r="E32" s="27" t="str">
        <f t="shared" si="11"/>
        <v/>
      </c>
      <c r="F32" s="27" t="str">
        <f t="shared" si="11"/>
        <v/>
      </c>
      <c r="G32" s="27" t="str">
        <f t="shared" si="11"/>
        <v/>
      </c>
      <c r="H32" s="27" t="str">
        <f t="shared" si="11"/>
        <v/>
      </c>
      <c r="I32" s="27" t="str">
        <f t="shared" si="11"/>
        <v/>
      </c>
      <c r="J32" s="27" t="str">
        <f t="shared" si="11"/>
        <v/>
      </c>
      <c r="K32" s="28" t="str">
        <f t="shared" si="11"/>
        <v/>
      </c>
      <c r="M32" s="1462"/>
      <c r="N32" s="1463"/>
    </row>
    <row r="33" spans="1:14" ht="13.15" customHeight="1">
      <c r="A33" s="24" t="str">
        <f>IF('Part III A-Sources of Funds'!$E$32 = "Neither", "DCR First Mortgage", "DCR Mortgage C")</f>
        <v>DCR Mortgage C</v>
      </c>
      <c r="B33" s="27" t="str">
        <f t="shared" ref="B33:K33" si="12">IF(OR(B25=0,AND(B25=0,B24=0,B23=0)),"",-B22/(B23+B24+B25))</f>
        <v/>
      </c>
      <c r="C33" s="27" t="str">
        <f t="shared" si="12"/>
        <v/>
      </c>
      <c r="D33" s="27" t="str">
        <f t="shared" si="12"/>
        <v/>
      </c>
      <c r="E33" s="27" t="str">
        <f t="shared" si="12"/>
        <v/>
      </c>
      <c r="F33" s="27" t="str">
        <f t="shared" si="12"/>
        <v/>
      </c>
      <c r="G33" s="27" t="str">
        <f t="shared" si="12"/>
        <v/>
      </c>
      <c r="H33" s="27" t="str">
        <f t="shared" si="12"/>
        <v/>
      </c>
      <c r="I33" s="27" t="str">
        <f t="shared" si="12"/>
        <v/>
      </c>
      <c r="J33" s="27" t="str">
        <f t="shared" si="12"/>
        <v/>
      </c>
      <c r="K33" s="28" t="str">
        <f t="shared" si="12"/>
        <v/>
      </c>
      <c r="M33" s="1462"/>
      <c r="N33" s="1463"/>
    </row>
    <row r="34" spans="1:14" ht="13.15" customHeight="1">
      <c r="A34" s="24" t="s">
        <v>1267</v>
      </c>
      <c r="B34" s="27" t="str">
        <f t="shared" ref="B34:K34" si="13">IF(OR(B26=0,AND(B23=0,B24=0,B25=0,B26=0)),"",-B22/(B23+B24+B25+B26))</f>
        <v/>
      </c>
      <c r="C34" s="27" t="str">
        <f t="shared" si="13"/>
        <v/>
      </c>
      <c r="D34" s="27" t="str">
        <f t="shared" si="13"/>
        <v/>
      </c>
      <c r="E34" s="27" t="str">
        <f t="shared" si="13"/>
        <v/>
      </c>
      <c r="F34" s="27" t="str">
        <f t="shared" si="13"/>
        <v/>
      </c>
      <c r="G34" s="27" t="str">
        <f t="shared" si="13"/>
        <v/>
      </c>
      <c r="H34" s="27" t="str">
        <f t="shared" si="13"/>
        <v/>
      </c>
      <c r="I34" s="27" t="str">
        <f t="shared" si="13"/>
        <v/>
      </c>
      <c r="J34" s="27" t="str">
        <f t="shared" si="13"/>
        <v/>
      </c>
      <c r="K34" s="28" t="str">
        <f t="shared" si="13"/>
        <v/>
      </c>
      <c r="M34" s="1462"/>
      <c r="N34" s="1463"/>
    </row>
    <row r="35" spans="1:14" ht="13.15" customHeight="1">
      <c r="A35" s="24" t="s">
        <v>1250</v>
      </c>
      <c r="B35" s="378">
        <f>IF(OR(B20="Choose mgt fee",B20="Choose One!"),"",(B14+B15+B16+B17+B18) / -(B19+B20+B21))</f>
        <v>1.2894186869728577</v>
      </c>
      <c r="C35" s="378">
        <f t="shared" ref="C35:K35" si="14">IF(OR(C20="Choose mgt fee",C20="Choose One!"),"",(C14+C15+C16+C17+C18) / -(C19+C20+C21))</f>
        <v>1.2785742054315075</v>
      </c>
      <c r="D35" s="378">
        <f t="shared" si="14"/>
        <v>1.2678164879149769</v>
      </c>
      <c r="E35" s="378">
        <f t="shared" si="14"/>
        <v>1.257134719263572</v>
      </c>
      <c r="F35" s="378">
        <f t="shared" si="14"/>
        <v>1.2465298892898149</v>
      </c>
      <c r="G35" s="378">
        <f t="shared" si="14"/>
        <v>1.2359928560673403</v>
      </c>
      <c r="H35" s="378">
        <f t="shared" si="14"/>
        <v>1.2255349887501792</v>
      </c>
      <c r="I35" s="378">
        <f t="shared" si="14"/>
        <v>1.2151567898461313</v>
      </c>
      <c r="J35" s="378">
        <f t="shared" si="14"/>
        <v>1.2048497092932153</v>
      </c>
      <c r="K35" s="379">
        <f t="shared" si="14"/>
        <v>1.1946235830944323</v>
      </c>
      <c r="M35" s="1462"/>
      <c r="N35" s="1463"/>
    </row>
    <row r="36" spans="1:14" ht="13.15" customHeight="1">
      <c r="A36" s="678" t="s">
        <v>3667</v>
      </c>
      <c r="B36" s="1571" t="str">
        <f>IF('Part III A-Sources of Funds'!$H$32="","",-FV('Part III A-Sources of Funds'!$J$32/12,12,B23/12,'Part III A-Sources of Funds'!$H$32))</f>
        <v/>
      </c>
      <c r="C36" s="1571" t="str">
        <f>IF('Part III A-Sources of Funds'!$H$32="","",-FV('Part III A-Sources of Funds'!$J$32/12,12,C23/12,B36))</f>
        <v/>
      </c>
      <c r="D36" s="1571" t="str">
        <f>IF('Part III A-Sources of Funds'!$H$32="","",-FV('Part III A-Sources of Funds'!$J$32/12,12,D23/12,C36))</f>
        <v/>
      </c>
      <c r="E36" s="1571" t="str">
        <f>IF('Part III A-Sources of Funds'!$H$32="","",-FV('Part III A-Sources of Funds'!$J$32/12,12,E23/12,D36))</f>
        <v/>
      </c>
      <c r="F36" s="1571" t="str">
        <f>IF('Part III A-Sources of Funds'!$H$32="","",-FV('Part III A-Sources of Funds'!$J$32/12,12,F23/12,E36))</f>
        <v/>
      </c>
      <c r="G36" s="1571" t="str">
        <f>IF('Part III A-Sources of Funds'!$H$32="","",-FV('Part III A-Sources of Funds'!$J$32/12,12,G23/12,F36))</f>
        <v/>
      </c>
      <c r="H36" s="1571" t="str">
        <f>IF('Part III A-Sources of Funds'!$H$32="","",-FV('Part III A-Sources of Funds'!$J$32/12,12,H23/12,G36))</f>
        <v/>
      </c>
      <c r="I36" s="1571" t="str">
        <f>IF('Part III A-Sources of Funds'!$H$32="","",-FV('Part III A-Sources of Funds'!$J$32/12,12,I23/12,H36))</f>
        <v/>
      </c>
      <c r="J36" s="1571" t="str">
        <f>IF('Part III A-Sources of Funds'!$H$32="","",-FV('Part III A-Sources of Funds'!$J$32/12,12,J23/12,I36))</f>
        <v/>
      </c>
      <c r="K36" s="1571" t="str">
        <f>IF('Part III A-Sources of Funds'!$H$32="","",-FV('Part III A-Sources of Funds'!$J$32/12,12,K23/12,J36))</f>
        <v/>
      </c>
      <c r="M36" s="1462"/>
      <c r="N36" s="1463"/>
    </row>
    <row r="37" spans="1:14" ht="13.15" customHeight="1">
      <c r="A37" s="678" t="s">
        <v>3668</v>
      </c>
      <c r="B37" s="1568" t="str">
        <f>IF('Part III A-Sources of Funds'!$H$33="","",-FV('Part III A-Sources of Funds'!$J$33/12,12,B24/12,'Part III A-Sources of Funds'!$H$33))</f>
        <v/>
      </c>
      <c r="C37" s="1568" t="str">
        <f>IF('Part III A-Sources of Funds'!$H$33="","",-FV('Part III A-Sources of Funds'!$J$33/12,12,C24/12,B37))</f>
        <v/>
      </c>
      <c r="D37" s="1568" t="str">
        <f>IF('Part III A-Sources of Funds'!$H$33="","",-FV('Part III A-Sources of Funds'!$J$33/12,12,D24/12,C37))</f>
        <v/>
      </c>
      <c r="E37" s="1568" t="str">
        <f>IF('Part III A-Sources of Funds'!$H$33="","",-FV('Part III A-Sources of Funds'!$J$33/12,12,E24/12,D37))</f>
        <v/>
      </c>
      <c r="F37" s="1568" t="str">
        <f>IF('Part III A-Sources of Funds'!$H$33="","",-FV('Part III A-Sources of Funds'!$J$33/12,12,F24/12,E37))</f>
        <v/>
      </c>
      <c r="G37" s="1568" t="str">
        <f>IF('Part III A-Sources of Funds'!$H$33="","",-FV('Part III A-Sources of Funds'!$J$33/12,12,G24/12,F37))</f>
        <v/>
      </c>
      <c r="H37" s="1568" t="str">
        <f>IF('Part III A-Sources of Funds'!$H$33="","",-FV('Part III A-Sources of Funds'!$J$33/12,12,H24/12,G37))</f>
        <v/>
      </c>
      <c r="I37" s="1568" t="str">
        <f>IF('Part III A-Sources of Funds'!$H$33="","",-FV('Part III A-Sources of Funds'!$J$33/12,12,I24/12,H37))</f>
        <v/>
      </c>
      <c r="J37" s="1568" t="str">
        <f>IF('Part III A-Sources of Funds'!$H$33="","",-FV('Part III A-Sources of Funds'!$J$33/12,12,J24/12,I37))</f>
        <v/>
      </c>
      <c r="K37" s="1568" t="str">
        <f>IF('Part III A-Sources of Funds'!$H$33="","",-FV('Part III A-Sources of Funds'!$J$33/12,12,K24/12,J37))</f>
        <v/>
      </c>
      <c r="M37" s="1462"/>
      <c r="N37" s="1463"/>
    </row>
    <row r="38" spans="1:14" ht="13.15" customHeight="1">
      <c r="A38" s="678" t="s">
        <v>3669</v>
      </c>
      <c r="B38" s="1568" t="str">
        <f>IF('Part III A-Sources of Funds'!$H$34="","",-FV('Part III A-Sources of Funds'!$J$34/12,12,B25/12,'Part III A-Sources of Funds'!$H$34))</f>
        <v/>
      </c>
      <c r="C38" s="1568" t="str">
        <f>IF('Part III A-Sources of Funds'!$H$34="","",-FV('Part III A-Sources of Funds'!$J$34/12,12,C25/12,B38))</f>
        <v/>
      </c>
      <c r="D38" s="1568" t="str">
        <f>IF('Part III A-Sources of Funds'!$H$34="","",-FV('Part III A-Sources of Funds'!$J$34/12,12,D25/12,C38))</f>
        <v/>
      </c>
      <c r="E38" s="1568" t="str">
        <f>IF('Part III A-Sources of Funds'!$H$34="","",-FV('Part III A-Sources of Funds'!$J$34/12,12,E25/12,D38))</f>
        <v/>
      </c>
      <c r="F38" s="1568" t="str">
        <f>IF('Part III A-Sources of Funds'!$H$34="","",-FV('Part III A-Sources of Funds'!$J$34/12,12,F25/12,E38))</f>
        <v/>
      </c>
      <c r="G38" s="1568" t="str">
        <f>IF('Part III A-Sources of Funds'!$H$34="","",-FV('Part III A-Sources of Funds'!$J$34/12,12,G25/12,F38))</f>
        <v/>
      </c>
      <c r="H38" s="1568" t="str">
        <f>IF('Part III A-Sources of Funds'!$H$34="","",-FV('Part III A-Sources of Funds'!$J$34/12,12,H25/12,G38))</f>
        <v/>
      </c>
      <c r="I38" s="1568" t="str">
        <f>IF('Part III A-Sources of Funds'!$H$34="","",-FV('Part III A-Sources of Funds'!$J$34/12,12,I25/12,H38))</f>
        <v/>
      </c>
      <c r="J38" s="1568" t="str">
        <f>IF('Part III A-Sources of Funds'!$H$34="","",-FV('Part III A-Sources of Funds'!$J$34/12,12,J25/12,I38))</f>
        <v/>
      </c>
      <c r="K38" s="1568" t="str">
        <f>IF('Part III A-Sources of Funds'!$H$34="","",-FV('Part III A-Sources of Funds'!$J$34/12,12,K25/12,J38))</f>
        <v/>
      </c>
      <c r="M38" s="1462"/>
      <c r="N38" s="1463"/>
    </row>
    <row r="39" spans="1:14" ht="13.15" customHeight="1">
      <c r="A39" s="24" t="s">
        <v>1268</v>
      </c>
      <c r="B39" s="1568" t="str">
        <f>IF('Part III A-Sources of Funds'!$H$35="","",-FV('Part III A-Sources of Funds'!$J$35/12,12,B24/12,'Part III A-Sources of Funds'!$H$35))</f>
        <v/>
      </c>
      <c r="C39" s="1568" t="str">
        <f>IF('Part III A-Sources of Funds'!$H$35="","",-FV('Part III A-Sources of Funds'!$J$35/12,12,C26/12,B39))</f>
        <v/>
      </c>
      <c r="D39" s="1568" t="str">
        <f>IF('Part III A-Sources of Funds'!$H$35="","",-FV('Part III A-Sources of Funds'!$J$35/12,12,D26/12,C39))</f>
        <v/>
      </c>
      <c r="E39" s="1568" t="str">
        <f>IF('Part III A-Sources of Funds'!$H$35="","",-FV('Part III A-Sources of Funds'!$J$35/12,12,E26/12,D39))</f>
        <v/>
      </c>
      <c r="F39" s="1568" t="str">
        <f>IF('Part III A-Sources of Funds'!$H$35="","",-FV('Part III A-Sources of Funds'!$J$35/12,12,F26/12,E39))</f>
        <v/>
      </c>
      <c r="G39" s="1568" t="str">
        <f>IF('Part III A-Sources of Funds'!$H$35="","",-FV('Part III A-Sources of Funds'!$J$35/12,12,G26/12,F39))</f>
        <v/>
      </c>
      <c r="H39" s="1568" t="str">
        <f>IF('Part III A-Sources of Funds'!$H$35="","",-FV('Part III A-Sources of Funds'!$J$35/12,12,H26/12,G39))</f>
        <v/>
      </c>
      <c r="I39" s="1568" t="str">
        <f>IF('Part III A-Sources of Funds'!$H$35="","",-FV('Part III A-Sources of Funds'!$J$35/12,12,I26/12,H39))</f>
        <v/>
      </c>
      <c r="J39" s="1568" t="str">
        <f>IF('Part III A-Sources of Funds'!$H$35="","",-FV('Part III A-Sources of Funds'!$J$35/12,12,J26/12,I39))</f>
        <v/>
      </c>
      <c r="K39" s="1568" t="str">
        <f>IF('Part III A-Sources of Funds'!$H$35="","",-FV('Part III A-Sources of Funds'!$J$35/12,12,K26/12,J39))</f>
        <v/>
      </c>
      <c r="M39" s="1462"/>
      <c r="N39" s="1463"/>
    </row>
    <row r="40" spans="1:14" ht="13.15" customHeight="1">
      <c r="A40" s="678" t="s">
        <v>3670</v>
      </c>
      <c r="B40" s="1568">
        <f>'Part III A-Sources of Funds'!$H$36</f>
        <v>0</v>
      </c>
      <c r="C40" s="1568">
        <f>B40</f>
        <v>0</v>
      </c>
      <c r="D40" s="1568">
        <f t="shared" ref="D40:K40" si="15">C40</f>
        <v>0</v>
      </c>
      <c r="E40" s="1568">
        <f t="shared" si="15"/>
        <v>0</v>
      </c>
      <c r="F40" s="1568">
        <f t="shared" si="15"/>
        <v>0</v>
      </c>
      <c r="G40" s="1568">
        <f t="shared" si="15"/>
        <v>0</v>
      </c>
      <c r="H40" s="1568">
        <f t="shared" si="15"/>
        <v>0</v>
      </c>
      <c r="I40" s="1568">
        <f t="shared" si="15"/>
        <v>0</v>
      </c>
      <c r="J40" s="1568">
        <f t="shared" si="15"/>
        <v>0</v>
      </c>
      <c r="K40" s="1568">
        <f t="shared" si="15"/>
        <v>0</v>
      </c>
      <c r="M40" s="1462"/>
      <c r="N40" s="1463"/>
    </row>
    <row r="41" spans="1:14" ht="13.15" customHeight="1">
      <c r="A41" s="29" t="s">
        <v>1776</v>
      </c>
      <c r="B41" s="1572">
        <f>IF('Part III A-Sources of Funds'!$H$37="","",-FV('Part III A-Sources of Funds'!$J$37/12,12,B29/12,'Part III A-Sources of Funds'!$H$37))</f>
        <v>22207.5</v>
      </c>
      <c r="C41" s="1572">
        <f>IF('Part III A-Sources of Funds'!$H$37="","",-FV('Part III A-Sources of Funds'!$J$37/12,12,C29/12,B41))</f>
        <v>19740</v>
      </c>
      <c r="D41" s="1572">
        <f>IF('Part III A-Sources of Funds'!$H$37="","",-FV('Part III A-Sources of Funds'!$J$37/12,12,D29/12,C41))</f>
        <v>17272.5</v>
      </c>
      <c r="E41" s="1572">
        <f>IF('Part III A-Sources of Funds'!$H$37="","",-FV('Part III A-Sources of Funds'!$J$37/12,12,E29/12,D41))</f>
        <v>14805</v>
      </c>
      <c r="F41" s="1572">
        <f>IF('Part III A-Sources of Funds'!$H$37="","",-FV('Part III A-Sources of Funds'!$J$37/12,12,F29/12,E41))</f>
        <v>12337.5</v>
      </c>
      <c r="G41" s="1572">
        <f>IF('Part III A-Sources of Funds'!$H$37="","",-FV('Part III A-Sources of Funds'!$J$37/12,12,G29/12,F41))</f>
        <v>9870</v>
      </c>
      <c r="H41" s="1572">
        <f>IF('Part III A-Sources of Funds'!$H$37="","",-FV('Part III A-Sources of Funds'!$J$37/12,12,H29/12,G41))</f>
        <v>7402.5</v>
      </c>
      <c r="I41" s="1572">
        <f>IF('Part III A-Sources of Funds'!$H$37="","",-FV('Part III A-Sources of Funds'!$J$37/12,12,I29/12,H41))</f>
        <v>4935</v>
      </c>
      <c r="J41" s="1572">
        <f>IF('Part III A-Sources of Funds'!$H$37="","",-FV('Part III A-Sources of Funds'!$J$37/12,12,J29/12,I41))</f>
        <v>2467.5</v>
      </c>
      <c r="K41" s="1572">
        <f>IF('Part III A-Sources of Funds'!$H$37="","",-FV('Part III A-Sources of Funds'!$J$37/12,12,K29/12,J41))</f>
        <v>0</v>
      </c>
      <c r="M41" s="1465"/>
      <c r="N41" s="1466"/>
    </row>
    <row r="42" spans="1:14" ht="4.1500000000000004" customHeight="1">
      <c r="B42" s="20"/>
      <c r="C42" s="20"/>
      <c r="D42" s="20"/>
      <c r="E42" s="20"/>
      <c r="F42" s="20"/>
      <c r="G42" s="20"/>
      <c r="H42" s="20"/>
      <c r="I42" s="20"/>
      <c r="J42" s="20"/>
      <c r="K42" s="20"/>
    </row>
    <row r="43" spans="1:14" ht="14.45" customHeight="1">
      <c r="A43" s="16" t="s">
        <v>3486</v>
      </c>
      <c r="B43" s="18">
        <f>K13+1</f>
        <v>11</v>
      </c>
      <c r="C43" s="18">
        <f t="shared" ref="C43:K43" si="16">B43+1</f>
        <v>12</v>
      </c>
      <c r="D43" s="18">
        <f t="shared" si="16"/>
        <v>13</v>
      </c>
      <c r="E43" s="18">
        <f t="shared" si="16"/>
        <v>14</v>
      </c>
      <c r="F43" s="18">
        <f t="shared" si="16"/>
        <v>15</v>
      </c>
      <c r="G43" s="18">
        <f t="shared" si="16"/>
        <v>16</v>
      </c>
      <c r="H43" s="18">
        <f t="shared" si="16"/>
        <v>17</v>
      </c>
      <c r="I43" s="18">
        <f t="shared" si="16"/>
        <v>18</v>
      </c>
      <c r="J43" s="18">
        <f t="shared" si="16"/>
        <v>19</v>
      </c>
      <c r="K43" s="18">
        <f t="shared" si="16"/>
        <v>20</v>
      </c>
      <c r="M43" s="954" t="s">
        <v>3673</v>
      </c>
      <c r="N43" s="954"/>
    </row>
    <row r="44" spans="1:14" ht="13.15" customHeight="1">
      <c r="A44" s="21" t="s">
        <v>3385</v>
      </c>
      <c r="B44" s="22">
        <f t="shared" ref="B44:K44" si="17">$B$14*(1+$B$5)^(B43-1)</f>
        <v>178343.75962291294</v>
      </c>
      <c r="C44" s="22">
        <f t="shared" si="17"/>
        <v>181910.63481537116</v>
      </c>
      <c r="D44" s="22">
        <f t="shared" si="17"/>
        <v>185548.84751167861</v>
      </c>
      <c r="E44" s="22">
        <f t="shared" si="17"/>
        <v>189259.82446191218</v>
      </c>
      <c r="F44" s="22">
        <f t="shared" si="17"/>
        <v>193045.02095115045</v>
      </c>
      <c r="G44" s="22">
        <f t="shared" si="17"/>
        <v>196905.9213701734</v>
      </c>
      <c r="H44" s="22">
        <f t="shared" si="17"/>
        <v>200844.0397975769</v>
      </c>
      <c r="I44" s="22">
        <f t="shared" si="17"/>
        <v>204860.92059352846</v>
      </c>
      <c r="J44" s="22">
        <f t="shared" si="17"/>
        <v>208958.13900539902</v>
      </c>
      <c r="K44" s="23">
        <f t="shared" si="17"/>
        <v>213137.30178550698</v>
      </c>
      <c r="M44" s="1460"/>
      <c r="N44" s="1461"/>
    </row>
    <row r="45" spans="1:14" ht="13.15" customHeight="1">
      <c r="A45" s="24" t="s">
        <v>1519</v>
      </c>
      <c r="B45" s="25">
        <f t="shared" ref="B45:K45" si="18">$B$15*(1+$B$5)^(B43-1)</f>
        <v>3565.5586784846646</v>
      </c>
      <c r="C45" s="25">
        <f t="shared" si="18"/>
        <v>3636.8698520543571</v>
      </c>
      <c r="D45" s="25">
        <f t="shared" si="18"/>
        <v>3709.6072490954448</v>
      </c>
      <c r="E45" s="25">
        <f t="shared" si="18"/>
        <v>3783.7993940773536</v>
      </c>
      <c r="F45" s="25">
        <f t="shared" si="18"/>
        <v>3859.4753819589009</v>
      </c>
      <c r="G45" s="25">
        <f t="shared" si="18"/>
        <v>3936.6648895980779</v>
      </c>
      <c r="H45" s="25">
        <f t="shared" si="18"/>
        <v>4015.3981873900402</v>
      </c>
      <c r="I45" s="25">
        <f t="shared" si="18"/>
        <v>4095.7061511378415</v>
      </c>
      <c r="J45" s="25">
        <f t="shared" si="18"/>
        <v>4177.6202741605975</v>
      </c>
      <c r="K45" s="26">
        <f t="shared" si="18"/>
        <v>4261.1726796438097</v>
      </c>
      <c r="M45" s="1462"/>
      <c r="N45" s="1463"/>
    </row>
    <row r="46" spans="1:14" ht="13.15" customHeight="1">
      <c r="A46" s="24" t="s">
        <v>3386</v>
      </c>
      <c r="B46" s="25">
        <f t="shared" ref="B46:K46" si="19">-(B44+B45)*$B$8</f>
        <v>-12733.652281097833</v>
      </c>
      <c r="C46" s="25">
        <f t="shared" si="19"/>
        <v>-12988.325326719789</v>
      </c>
      <c r="D46" s="25">
        <f t="shared" si="19"/>
        <v>-13248.091833254186</v>
      </c>
      <c r="E46" s="25">
        <f t="shared" si="19"/>
        <v>-13513.053669919269</v>
      </c>
      <c r="F46" s="25">
        <f t="shared" si="19"/>
        <v>-13783.314743317656</v>
      </c>
      <c r="G46" s="25">
        <f t="shared" si="19"/>
        <v>-14058.981038184005</v>
      </c>
      <c r="H46" s="25">
        <f t="shared" si="19"/>
        <v>-14340.160658947687</v>
      </c>
      <c r="I46" s="25">
        <f t="shared" si="19"/>
        <v>-14626.963872126644</v>
      </c>
      <c r="J46" s="25">
        <f t="shared" si="19"/>
        <v>-14919.503149569175</v>
      </c>
      <c r="K46" s="26">
        <f t="shared" si="19"/>
        <v>-15217.893212560557</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20">$B$19*(1+$B$6)^(B43-1)</f>
        <v>-113977.81691545084</v>
      </c>
      <c r="C49" s="25">
        <f t="shared" si="20"/>
        <v>-117397.15142291436</v>
      </c>
      <c r="D49" s="25">
        <f t="shared" si="20"/>
        <v>-120919.06596560178</v>
      </c>
      <c r="E49" s="25">
        <f t="shared" si="20"/>
        <v>-124546.63794456983</v>
      </c>
      <c r="F49" s="25">
        <f t="shared" si="20"/>
        <v>-128283.03708290693</v>
      </c>
      <c r="G49" s="25">
        <f t="shared" si="20"/>
        <v>-132131.52819539414</v>
      </c>
      <c r="H49" s="25">
        <f t="shared" si="20"/>
        <v>-136095.47404125595</v>
      </c>
      <c r="I49" s="25">
        <f t="shared" si="20"/>
        <v>-140178.33826249363</v>
      </c>
      <c r="J49" s="25">
        <f t="shared" si="20"/>
        <v>-144383.68841036843</v>
      </c>
      <c r="K49" s="26">
        <f t="shared" si="20"/>
        <v>-148715.19906267949</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-17763</v>
      </c>
      <c r="C50" s="25">
        <f>IF(AND('Part VII-Pro Forma'!$G$8="Yes",'Part VII-Pro Forma'!$G$9="Yes"),"Choose One!",IF('Part VII-Pro Forma'!$G$8="Yes",ROUND((-$K$8*(1+'Part VII-Pro Forma'!$B$6)^('Part VII-Pro Forma'!C43-1)),),IF('Part VII-Pro Forma'!$G$9="Yes",ROUND((-(SUM(C44:C47)*'Part VII-Pro Forma'!$K$9)),),"Choose mgt fee")))</f>
        <v>-18119</v>
      </c>
      <c r="D50" s="25">
        <f>IF(AND('Part VII-Pro Forma'!$G$8="Yes",'Part VII-Pro Forma'!$G$9="Yes"),"Choose One!",IF('Part VII-Pro Forma'!$G$8="Yes",ROUND((-$K$8*(1+'Part VII-Pro Forma'!$B$6)^('Part VII-Pro Forma'!D43-1)),),IF('Part VII-Pro Forma'!$G$9="Yes",ROUND((-(SUM(D44:D47)*'Part VII-Pro Forma'!$K$9)),),"Choose mgt fee")))</f>
        <v>-18481</v>
      </c>
      <c r="E50" s="25">
        <f>IF(AND('Part VII-Pro Forma'!$G$8="Yes",'Part VII-Pro Forma'!$G$9="Yes"),"Choose One!",IF('Part VII-Pro Forma'!$G$8="Yes",ROUND((-$K$8*(1+'Part VII-Pro Forma'!$B$6)^('Part VII-Pro Forma'!E43-1)),),IF('Part VII-Pro Forma'!$G$9="Yes",ROUND((-(SUM(E44:E47)*'Part VII-Pro Forma'!$K$9)),),"Choose mgt fee")))</f>
        <v>-18851</v>
      </c>
      <c r="F50" s="25">
        <f>IF(AND('Part VII-Pro Forma'!$G$8="Yes",'Part VII-Pro Forma'!$G$9="Yes"),"Choose One!",IF('Part VII-Pro Forma'!$G$8="Yes",ROUND((-$K$8*(1+'Part VII-Pro Forma'!$B$6)^('Part VII-Pro Forma'!F43-1)),),IF('Part VII-Pro Forma'!$G$9="Yes",ROUND((-(SUM(F44:F47)*'Part VII-Pro Forma'!$K$9)),),"Choose mgt fee")))</f>
        <v>-19228</v>
      </c>
      <c r="G50" s="25">
        <f>IF(AND('Part VII-Pro Forma'!$G$8="Yes",'Part VII-Pro Forma'!$G$9="Yes"),"Choose One!",IF('Part VII-Pro Forma'!$G$8="Yes",ROUND((-$K$8*(1+'Part VII-Pro Forma'!$B$6)^('Part VII-Pro Forma'!G43-1)),),IF('Part VII-Pro Forma'!$G$9="Yes",ROUND((-(SUM(G44:G47)*'Part VII-Pro Forma'!$K$9)),),"Choose mgt fee")))</f>
        <v>-19612</v>
      </c>
      <c r="H50" s="25">
        <f>IF(AND('Part VII-Pro Forma'!$G$8="Yes",'Part VII-Pro Forma'!$G$9="Yes"),"Choose One!",IF('Part VII-Pro Forma'!$G$8="Yes",ROUND((-$K$8*(1+'Part VII-Pro Forma'!$B$6)^('Part VII-Pro Forma'!H43-1)),),IF('Part VII-Pro Forma'!$G$9="Yes",ROUND((-(SUM(H44:H47)*'Part VII-Pro Forma'!$K$9)),),"Choose mgt fee")))</f>
        <v>-20005</v>
      </c>
      <c r="I50" s="25">
        <f>IF(AND('Part VII-Pro Forma'!$G$8="Yes",'Part VII-Pro Forma'!$G$9="Yes"),"Choose One!",IF('Part VII-Pro Forma'!$G$8="Yes",ROUND((-$K$8*(1+'Part VII-Pro Forma'!$B$6)^('Part VII-Pro Forma'!I43-1)),),IF('Part VII-Pro Forma'!$G$9="Yes",ROUND((-(SUM(I44:I47)*'Part VII-Pro Forma'!$K$9)),),"Choose mgt fee")))</f>
        <v>-20405</v>
      </c>
      <c r="J50" s="25">
        <f>IF(AND('Part VII-Pro Forma'!$G$8="Yes",'Part VII-Pro Forma'!$G$9="Yes"),"Choose One!",IF('Part VII-Pro Forma'!$G$8="Yes",ROUND((-$K$8*(1+'Part VII-Pro Forma'!$B$6)^('Part VII-Pro Forma'!J43-1)),),IF('Part VII-Pro Forma'!$G$9="Yes",ROUND((-(SUM(J44:J47)*'Part VII-Pro Forma'!$K$9)),),"Choose mgt fee")))</f>
        <v>-20813</v>
      </c>
      <c r="K50" s="25">
        <f>IF(AND('Part VII-Pro Forma'!$G$8="Yes",'Part VII-Pro Forma'!$G$9="Yes"),"Choose One!",IF('Part VII-Pro Forma'!$G$8="Yes",ROUND((-$K$8*(1+'Part VII-Pro Forma'!$B$6)^('Part VII-Pro Forma'!K43-1)),),IF('Part VII-Pro Forma'!$G$9="Yes",ROUND((-(SUM(K44:K47)*'Part VII-Pro Forma'!$K$9)),),"Choose mgt fee")))</f>
        <v>-21229</v>
      </c>
      <c r="M50" s="1462"/>
      <c r="N50" s="1463"/>
    </row>
    <row r="51" spans="1:14" ht="13.15" customHeight="1">
      <c r="A51" s="24" t="s">
        <v>1739</v>
      </c>
      <c r="B51" s="25">
        <f t="shared" ref="B51:K51" si="21">$B$21*(1+$B$7)^(B43-1)</f>
        <v>-11087.310129589005</v>
      </c>
      <c r="C51" s="25">
        <f t="shared" si="21"/>
        <v>-11419.929433476675</v>
      </c>
      <c r="D51" s="25">
        <f t="shared" si="21"/>
        <v>-11762.527316480973</v>
      </c>
      <c r="E51" s="25">
        <f t="shared" si="21"/>
        <v>-12115.403135975403</v>
      </c>
      <c r="F51" s="25">
        <f t="shared" si="21"/>
        <v>-12478.865230054666</v>
      </c>
      <c r="G51" s="25">
        <f t="shared" si="21"/>
        <v>-12853.231186956307</v>
      </c>
      <c r="H51" s="25">
        <f t="shared" si="21"/>
        <v>-13238.828122564993</v>
      </c>
      <c r="I51" s="25">
        <f t="shared" si="21"/>
        <v>-13635.992966241944</v>
      </c>
      <c r="J51" s="25">
        <f t="shared" si="21"/>
        <v>-14045.072755229201</v>
      </c>
      <c r="K51" s="26">
        <f t="shared" si="21"/>
        <v>-14466.424937886077</v>
      </c>
      <c r="M51" s="1462"/>
      <c r="N51" s="1463"/>
    </row>
    <row r="52" spans="1:14" ht="13.15" customHeight="1">
      <c r="A52" s="24" t="s">
        <v>1740</v>
      </c>
      <c r="B52" s="25">
        <f t="shared" ref="B52:K52" si="22">SUM(B44:B51)</f>
        <v>26347.538975259933</v>
      </c>
      <c r="C52" s="25">
        <f t="shared" si="22"/>
        <v>25623.098484314702</v>
      </c>
      <c r="D52" s="25">
        <f t="shared" si="22"/>
        <v>24847.769645437136</v>
      </c>
      <c r="E52" s="25">
        <f t="shared" si="22"/>
        <v>24017.529105525056</v>
      </c>
      <c r="F52" s="25">
        <f t="shared" si="22"/>
        <v>23131.279276830101</v>
      </c>
      <c r="G52" s="25">
        <f t="shared" si="22"/>
        <v>22186.845839237045</v>
      </c>
      <c r="H52" s="25">
        <f t="shared" si="22"/>
        <v>21179.975162198309</v>
      </c>
      <c r="I52" s="25">
        <f t="shared" si="22"/>
        <v>20110.331643804078</v>
      </c>
      <c r="J52" s="25">
        <f t="shared" si="22"/>
        <v>18974.494964392819</v>
      </c>
      <c r="K52" s="26">
        <f t="shared" si="22"/>
        <v>17769.957252024666</v>
      </c>
      <c r="M52" s="1462"/>
      <c r="N52" s="1463"/>
    </row>
    <row r="53" spans="1:14" ht="13.15" customHeight="1">
      <c r="A53" s="24" t="str">
        <f>$A23</f>
        <v>Mortgage A</v>
      </c>
      <c r="B53" s="1567">
        <f>IF('Part III A-Sources of Funds'!$M$32="", 0,-'Part III A-Sources of Funds'!$M$32)</f>
        <v>0</v>
      </c>
      <c r="C53" s="1567">
        <f>IF('Part III A-Sources of Funds'!$M$32="", 0,-'Part III A-Sources of Funds'!$M$32)</f>
        <v>0</v>
      </c>
      <c r="D53" s="1567">
        <f>IF('Part III A-Sources of Funds'!$M$32="", 0,-'Part III A-Sources of Funds'!$M$32)</f>
        <v>0</v>
      </c>
      <c r="E53" s="1567">
        <f>IF('Part III A-Sources of Funds'!$M$32="", 0,-'Part III A-Sources of Funds'!$M$32)</f>
        <v>0</v>
      </c>
      <c r="F53" s="1567">
        <f>IF('Part III A-Sources of Funds'!$M$32="", 0,-'Part III A-Sources of Funds'!$M$32)</f>
        <v>0</v>
      </c>
      <c r="G53" s="1567">
        <f>IF('Part III A-Sources of Funds'!$M$32="", 0,-'Part III A-Sources of Funds'!$M$32)</f>
        <v>0</v>
      </c>
      <c r="H53" s="1567">
        <f>IF('Part III A-Sources of Funds'!$M$32="", 0,-'Part III A-Sources of Funds'!$M$32)</f>
        <v>0</v>
      </c>
      <c r="I53" s="1567">
        <f>IF('Part III A-Sources of Funds'!$M$32="", 0,-'Part III A-Sources of Funds'!$M$32)</f>
        <v>0</v>
      </c>
      <c r="J53" s="1567">
        <f>IF('Part III A-Sources of Funds'!$M$32="", 0,-'Part III A-Sources of Funds'!$M$32)</f>
        <v>0</v>
      </c>
      <c r="K53" s="1567">
        <f>IF('Part III A-Sources of Funds'!$M$32="", 0,-'Part III A-Sources of Funds'!$M$32)</f>
        <v>0</v>
      </c>
      <c r="M53" s="1462"/>
      <c r="N53" s="1463"/>
    </row>
    <row r="54" spans="1:14" ht="13.15" customHeight="1">
      <c r="A54" s="24" t="str">
        <f>$A24</f>
        <v>Mortgage B</v>
      </c>
      <c r="B54" s="1568">
        <f>IF('Part III A-Sources of Funds'!$M$33="", 0,-'Part III A-Sources of Funds'!$M$33)</f>
        <v>0</v>
      </c>
      <c r="C54" s="1568">
        <f>IF('Part III A-Sources of Funds'!$M$33="", 0,-'Part III A-Sources of Funds'!$M$33)</f>
        <v>0</v>
      </c>
      <c r="D54" s="1568">
        <f>IF('Part III A-Sources of Funds'!$M$33="", 0,-'Part III A-Sources of Funds'!$M$33)</f>
        <v>0</v>
      </c>
      <c r="E54" s="1568">
        <f>IF('Part III A-Sources of Funds'!$M$33="", 0,-'Part III A-Sources of Funds'!$M$33)</f>
        <v>0</v>
      </c>
      <c r="F54" s="1568">
        <f>IF('Part III A-Sources of Funds'!$M$33="", 0,-'Part III A-Sources of Funds'!$M$33)</f>
        <v>0</v>
      </c>
      <c r="G54" s="1568">
        <f>IF('Part III A-Sources of Funds'!$M$33="", 0,-'Part III A-Sources of Funds'!$M$33)</f>
        <v>0</v>
      </c>
      <c r="H54" s="1568">
        <f>IF('Part III A-Sources of Funds'!$M$33="", 0,-'Part III A-Sources of Funds'!$M$33)</f>
        <v>0</v>
      </c>
      <c r="I54" s="1568">
        <f>IF('Part III A-Sources of Funds'!$M$33="", 0,-'Part III A-Sources of Funds'!$M$33)</f>
        <v>0</v>
      </c>
      <c r="J54" s="1568">
        <f>IF('Part III A-Sources of Funds'!$M$33="", 0,-'Part III A-Sources of Funds'!$M$33)</f>
        <v>0</v>
      </c>
      <c r="K54" s="1568">
        <f>IF('Part III A-Sources of Funds'!$M$33="", 0,-'Part III A-Sources of Funds'!$M$33)</f>
        <v>0</v>
      </c>
      <c r="M54" s="1462"/>
      <c r="N54" s="1463"/>
    </row>
    <row r="55" spans="1:14" ht="13.15" customHeight="1">
      <c r="A55" s="24" t="str">
        <f>$A25</f>
        <v>Mortgage C</v>
      </c>
      <c r="B55" s="1568">
        <f>IF('Part III A-Sources of Funds'!$M$34="", 0,-'Part III A-Sources of Funds'!$M$34)</f>
        <v>0</v>
      </c>
      <c r="C55" s="1568">
        <f>IF('Part III A-Sources of Funds'!$M$34="", 0,-'Part III A-Sources of Funds'!$M$34)</f>
        <v>0</v>
      </c>
      <c r="D55" s="1568">
        <f>IF('Part III A-Sources of Funds'!$M$34="", 0,-'Part III A-Sources of Funds'!$M$34)</f>
        <v>0</v>
      </c>
      <c r="E55" s="1568">
        <f>IF('Part III A-Sources of Funds'!$M$34="", 0,-'Part III A-Sources of Funds'!$M$34)</f>
        <v>0</v>
      </c>
      <c r="F55" s="1568">
        <f>IF('Part III A-Sources of Funds'!$M$34="", 0,-'Part III A-Sources of Funds'!$M$34)</f>
        <v>0</v>
      </c>
      <c r="G55" s="1568">
        <f>IF('Part III A-Sources of Funds'!$M$34="", 0,-'Part III A-Sources of Funds'!$M$34)</f>
        <v>0</v>
      </c>
      <c r="H55" s="1568">
        <f>IF('Part III A-Sources of Funds'!$M$34="", 0,-'Part III A-Sources of Funds'!$M$34)</f>
        <v>0</v>
      </c>
      <c r="I55" s="1568">
        <f>IF('Part III A-Sources of Funds'!$M$34="", 0,-'Part III A-Sources of Funds'!$M$34)</f>
        <v>0</v>
      </c>
      <c r="J55" s="1568">
        <f>IF('Part III A-Sources of Funds'!$M$34="", 0,-'Part III A-Sources of Funds'!$M$34)</f>
        <v>0</v>
      </c>
      <c r="K55" s="1568">
        <f>IF('Part III A-Sources of Funds'!$M$34="", 0,-'Part III A-Sources of Funds'!$M$34)</f>
        <v>0</v>
      </c>
      <c r="M55" s="1462"/>
      <c r="N55" s="1463"/>
    </row>
    <row r="56" spans="1:14" ht="13.15" customHeight="1">
      <c r="A56" s="24" t="str">
        <f>$A26</f>
        <v>D/S Other Source</v>
      </c>
      <c r="B56" s="1568">
        <f>IF('Part III A-Sources of Funds'!$M$35="", 0,-'Part III A-Sources of Funds'!$M$35)</f>
        <v>0</v>
      </c>
      <c r="C56" s="1568">
        <f>IF('Part III A-Sources of Funds'!$M$35="", 0,-'Part III A-Sources of Funds'!$M$35)</f>
        <v>0</v>
      </c>
      <c r="D56" s="1568">
        <f>IF('Part III A-Sources of Funds'!$M$35="", 0,-'Part III A-Sources of Funds'!$M$35)</f>
        <v>0</v>
      </c>
      <c r="E56" s="1568">
        <f>IF('Part III A-Sources of Funds'!$M$35="", 0,-'Part III A-Sources of Funds'!$M$35)</f>
        <v>0</v>
      </c>
      <c r="F56" s="1568">
        <f>IF('Part III A-Sources of Funds'!$M$35="", 0,-'Part III A-Sources of Funds'!$M$35)</f>
        <v>0</v>
      </c>
      <c r="G56" s="1568">
        <f>IF('Part III A-Sources of Funds'!$M$35="", 0,-'Part III A-Sources of Funds'!$M$35)</f>
        <v>0</v>
      </c>
      <c r="H56" s="1568">
        <f>IF('Part III A-Sources of Funds'!$M$35="", 0,-'Part III A-Sources of Funds'!$M$35)</f>
        <v>0</v>
      </c>
      <c r="I56" s="1568">
        <f>IF('Part III A-Sources of Funds'!$M$35="", 0,-'Part III A-Sources of Funds'!$M$35)</f>
        <v>0</v>
      </c>
      <c r="J56" s="1568">
        <f>IF('Part III A-Sources of Funds'!$M$35="", 0,-'Part III A-Sources of Funds'!$M$35)</f>
        <v>0</v>
      </c>
      <c r="K56" s="1568">
        <f>IF('Part III A-Sources of Funds'!$M$35="", 0,-'Part III A-Sources of Funds'!$M$35)</f>
        <v>0</v>
      </c>
      <c r="M56" s="1462"/>
      <c r="N56" s="1463"/>
    </row>
    <row r="57" spans="1:14" ht="13.15" customHeight="1">
      <c r="A57" s="24" t="s">
        <v>1241</v>
      </c>
      <c r="B57" s="1569"/>
      <c r="C57" s="1569"/>
      <c r="D57" s="1569"/>
      <c r="E57" s="1569"/>
      <c r="F57" s="1569"/>
      <c r="G57" s="1569"/>
      <c r="H57" s="1569"/>
      <c r="I57" s="1569"/>
      <c r="J57" s="1569"/>
      <c r="K57" s="1569"/>
      <c r="M57" s="1462"/>
      <c r="N57" s="1463"/>
    </row>
    <row r="58" spans="1:14" ht="13.15" customHeight="1">
      <c r="A58" s="24" t="s">
        <v>1686</v>
      </c>
      <c r="B58" s="1568">
        <f>+K28</f>
        <v>-7500</v>
      </c>
      <c r="C58" s="1568">
        <f t="shared" ref="C58:K58" si="23">+B58</f>
        <v>-7500</v>
      </c>
      <c r="D58" s="1568">
        <f t="shared" si="23"/>
        <v>-7500</v>
      </c>
      <c r="E58" s="1568">
        <f t="shared" si="23"/>
        <v>-7500</v>
      </c>
      <c r="F58" s="1568">
        <f t="shared" si="23"/>
        <v>-7500</v>
      </c>
      <c r="G58" s="1568">
        <v>0</v>
      </c>
      <c r="H58" s="1568">
        <f t="shared" si="23"/>
        <v>0</v>
      </c>
      <c r="I58" s="1568">
        <f t="shared" si="23"/>
        <v>0</v>
      </c>
      <c r="J58" s="1568">
        <f t="shared" si="23"/>
        <v>0</v>
      </c>
      <c r="K58" s="1568">
        <f t="shared" si="23"/>
        <v>0</v>
      </c>
      <c r="M58" s="1462"/>
      <c r="N58" s="1463"/>
    </row>
    <row r="59" spans="1:14" ht="13.15" customHeight="1">
      <c r="A59" s="24" t="s">
        <v>1741</v>
      </c>
      <c r="B59" s="1570"/>
      <c r="C59" s="1570"/>
      <c r="D59" s="1570"/>
      <c r="E59" s="1570"/>
      <c r="F59" s="1570"/>
      <c r="G59" s="1572">
        <f>IF('Part III A-Sources of Funds'!$M$37="", 0,-'Part III A-Sources of Funds'!$M$37)</f>
        <v>0</v>
      </c>
      <c r="H59" s="1572">
        <f>IF('Part III A-Sources of Funds'!$M$37="", 0,-'Part III A-Sources of Funds'!$M$37)</f>
        <v>0</v>
      </c>
      <c r="I59" s="1572">
        <f>IF('Part III A-Sources of Funds'!$M$37="", 0,-'Part III A-Sources of Funds'!$M$37)</f>
        <v>0</v>
      </c>
      <c r="J59" s="1572">
        <f>IF('Part III A-Sources of Funds'!$M$37="", 0,-'Part III A-Sources of Funds'!$M$37)</f>
        <v>0</v>
      </c>
      <c r="K59" s="1568">
        <f>IF('Part III A-Sources of Funds'!$M$37="", 0,-'Part III A-Sources of Funds'!$M$37)</f>
        <v>0</v>
      </c>
      <c r="M59" s="1462"/>
      <c r="N59" s="1463"/>
    </row>
    <row r="60" spans="1:14" ht="13.15" customHeight="1">
      <c r="A60" s="24" t="s">
        <v>1687</v>
      </c>
      <c r="B60" s="25">
        <f t="shared" ref="B60:K60" si="24">SUM(B52:B59)</f>
        <v>18847.538975259933</v>
      </c>
      <c r="C60" s="25">
        <f t="shared" si="24"/>
        <v>18123.098484314702</v>
      </c>
      <c r="D60" s="25">
        <f t="shared" si="24"/>
        <v>17347.769645437136</v>
      </c>
      <c r="E60" s="25">
        <f t="shared" si="24"/>
        <v>16517.529105525056</v>
      </c>
      <c r="F60" s="25">
        <f t="shared" si="24"/>
        <v>15631.279276830101</v>
      </c>
      <c r="G60" s="25">
        <f t="shared" si="24"/>
        <v>22186.845839237045</v>
      </c>
      <c r="H60" s="25">
        <f t="shared" si="24"/>
        <v>21179.975162198309</v>
      </c>
      <c r="I60" s="25">
        <f t="shared" si="24"/>
        <v>20110.331643804078</v>
      </c>
      <c r="J60" s="25">
        <f t="shared" si="24"/>
        <v>18974.494964392819</v>
      </c>
      <c r="K60" s="23">
        <f t="shared" si="24"/>
        <v>17769.957252024666</v>
      </c>
      <c r="M60" s="1462"/>
      <c r="N60" s="1463"/>
    </row>
    <row r="61" spans="1:14" ht="13.15" customHeight="1">
      <c r="A61" s="24" t="str">
        <f>$A31</f>
        <v>DCR Mortgage A</v>
      </c>
      <c r="B61" s="27" t="str">
        <f>IF(B53=0,"",-B52/B53)</f>
        <v/>
      </c>
      <c r="C61" s="27" t="str">
        <f t="shared" ref="C61:K61" si="25">IF(C53=0,"",-C52/C53)</f>
        <v/>
      </c>
      <c r="D61" s="27" t="str">
        <f t="shared" si="25"/>
        <v/>
      </c>
      <c r="E61" s="27" t="str">
        <f t="shared" si="25"/>
        <v/>
      </c>
      <c r="F61" s="27" t="str">
        <f t="shared" si="25"/>
        <v/>
      </c>
      <c r="G61" s="27" t="str">
        <f t="shared" si="25"/>
        <v/>
      </c>
      <c r="H61" s="27" t="str">
        <f t="shared" si="25"/>
        <v/>
      </c>
      <c r="I61" s="27" t="str">
        <f t="shared" si="25"/>
        <v/>
      </c>
      <c r="J61" s="27" t="str">
        <f t="shared" si="25"/>
        <v/>
      </c>
      <c r="K61" s="28" t="str">
        <f t="shared" si="25"/>
        <v/>
      </c>
      <c r="M61" s="1462"/>
      <c r="N61" s="1463"/>
    </row>
    <row r="62" spans="1:14" ht="13.15" customHeight="1">
      <c r="A62" s="24" t="str">
        <f>$A32</f>
        <v>DCR Mortgage B</v>
      </c>
      <c r="B62" s="27" t="str">
        <f>IF(OR(B54=0,AND(B54=0,B53=0)),"",-B52/(B53+B54))</f>
        <v/>
      </c>
      <c r="C62" s="27" t="str">
        <f t="shared" ref="C62:K62" si="26">IF(OR(C54=0,AND(C54=0,C53=0)),"",-C52/(C53+C54))</f>
        <v/>
      </c>
      <c r="D62" s="27" t="str">
        <f t="shared" si="26"/>
        <v/>
      </c>
      <c r="E62" s="27" t="str">
        <f t="shared" si="26"/>
        <v/>
      </c>
      <c r="F62" s="27" t="str">
        <f t="shared" si="26"/>
        <v/>
      </c>
      <c r="G62" s="27" t="str">
        <f t="shared" si="26"/>
        <v/>
      </c>
      <c r="H62" s="27" t="str">
        <f t="shared" si="26"/>
        <v/>
      </c>
      <c r="I62" s="27" t="str">
        <f t="shared" si="26"/>
        <v/>
      </c>
      <c r="J62" s="27" t="str">
        <f t="shared" si="26"/>
        <v/>
      </c>
      <c r="K62" s="28" t="str">
        <f t="shared" si="26"/>
        <v/>
      </c>
      <c r="M62" s="1462"/>
      <c r="N62" s="1463"/>
    </row>
    <row r="63" spans="1:14" ht="13.15" customHeight="1">
      <c r="A63" s="24" t="str">
        <f>$A33</f>
        <v>DCR Mortgage C</v>
      </c>
      <c r="B63" s="27" t="str">
        <f>IF(OR(B55=0,AND(B55=0,B54=0,B53=0)),"",-B52/(B53+B54+B55))</f>
        <v/>
      </c>
      <c r="C63" s="27" t="str">
        <f t="shared" ref="C63:K63" si="27">IF(OR(C55=0,AND(C55=0,C54=0,C53=0)),"",-C52/(C53+C54+C55))</f>
        <v/>
      </c>
      <c r="D63" s="27" t="str">
        <f t="shared" si="27"/>
        <v/>
      </c>
      <c r="E63" s="27" t="str">
        <f t="shared" si="27"/>
        <v/>
      </c>
      <c r="F63" s="27" t="str">
        <f t="shared" si="27"/>
        <v/>
      </c>
      <c r="G63" s="27" t="str">
        <f t="shared" si="27"/>
        <v/>
      </c>
      <c r="H63" s="27" t="str">
        <f t="shared" si="27"/>
        <v/>
      </c>
      <c r="I63" s="27" t="str">
        <f t="shared" si="27"/>
        <v/>
      </c>
      <c r="J63" s="27" t="str">
        <f t="shared" si="27"/>
        <v/>
      </c>
      <c r="K63" s="28" t="str">
        <f t="shared" si="27"/>
        <v/>
      </c>
      <c r="M63" s="1462"/>
      <c r="N63" s="1463"/>
    </row>
    <row r="64" spans="1:14" ht="13.15" customHeight="1">
      <c r="A64" s="24" t="str">
        <f>$A34</f>
        <v>DCR Other Source</v>
      </c>
      <c r="B64" s="27" t="str">
        <f>IF(OR(B56=0,AND(B53=0,B54=0,B55=0,B56=0)),"",-B52/(B53+B54+B55+B56))</f>
        <v/>
      </c>
      <c r="C64" s="27" t="str">
        <f t="shared" ref="C64:K64" si="28">IF(OR(C56=0,AND(C53=0,C54=0,C55=0,C56=0)),"",-C52/(C53+C54+C55+C56))</f>
        <v/>
      </c>
      <c r="D64" s="27" t="str">
        <f t="shared" si="28"/>
        <v/>
      </c>
      <c r="E64" s="27" t="str">
        <f t="shared" si="28"/>
        <v/>
      </c>
      <c r="F64" s="27" t="str">
        <f t="shared" si="28"/>
        <v/>
      </c>
      <c r="G64" s="27" t="str">
        <f t="shared" si="28"/>
        <v/>
      </c>
      <c r="H64" s="27" t="str">
        <f t="shared" si="28"/>
        <v/>
      </c>
      <c r="I64" s="27" t="str">
        <f t="shared" si="28"/>
        <v/>
      </c>
      <c r="J64" s="27" t="str">
        <f t="shared" si="28"/>
        <v/>
      </c>
      <c r="K64" s="28" t="str">
        <f t="shared" si="28"/>
        <v/>
      </c>
      <c r="M64" s="1462"/>
      <c r="N64" s="1463"/>
    </row>
    <row r="65" spans="1:14" ht="13.15" customHeight="1">
      <c r="A65" s="24" t="s">
        <v>1250</v>
      </c>
      <c r="B65" s="378">
        <f>IF(OR(B50="Choose mgt fee",B50="Choose One!"),"",(B44+B45+B46+B47+B48) / -(B49+B50+B51))</f>
        <v>1.1844702407037195</v>
      </c>
      <c r="C65" s="378">
        <f t="shared" ref="C65:K65" si="29">IF(OR(C50="Choose mgt fee",C50="Choose One!"),"",(C44+C45+C46+C47+C48) / -(C49+C50+C51))</f>
        <v>1.1743826181763868</v>
      </c>
      <c r="D65" s="378">
        <f t="shared" si="29"/>
        <v>1.1643777677131342</v>
      </c>
      <c r="E65" s="378">
        <f t="shared" si="29"/>
        <v>1.154440611145181</v>
      </c>
      <c r="F65" s="378">
        <f t="shared" si="29"/>
        <v>1.1445796199786549</v>
      </c>
      <c r="G65" s="378">
        <f t="shared" si="29"/>
        <v>1.1347951558857732</v>
      </c>
      <c r="H65" s="378">
        <f t="shared" si="29"/>
        <v>1.1250741847377435</v>
      </c>
      <c r="I65" s="378">
        <f t="shared" si="29"/>
        <v>1.1154311149168681</v>
      </c>
      <c r="J65" s="378">
        <f t="shared" si="29"/>
        <v>1.1058597887066213</v>
      </c>
      <c r="K65" s="379">
        <f t="shared" si="29"/>
        <v>1.0963608108173322</v>
      </c>
      <c r="M65" s="1462"/>
      <c r="N65" s="1463"/>
    </row>
    <row r="66" spans="1:14" ht="13.15" customHeight="1">
      <c r="A66" s="678" t="s">
        <v>3667</v>
      </c>
      <c r="B66" s="1571" t="str">
        <f>IF('Part III A-Sources of Funds'!$H$32="","",-FV('Part III A-Sources of Funds'!$J$32/12,12,B53/12,K36))</f>
        <v/>
      </c>
      <c r="C66" s="1571" t="str">
        <f>IF('Part III A-Sources of Funds'!$H$32="","",-FV('Part III A-Sources of Funds'!$J$32/12,12,C53/12,B66))</f>
        <v/>
      </c>
      <c r="D66" s="1571" t="str">
        <f>IF('Part III A-Sources of Funds'!$H$32="","",-FV('Part III A-Sources of Funds'!$J$32/12,12,D53/12,C66))</f>
        <v/>
      </c>
      <c r="E66" s="1571" t="str">
        <f>IF('Part III A-Sources of Funds'!$H$32="","",-FV('Part III A-Sources of Funds'!$J$32/12,12,E53/12,D66))</f>
        <v/>
      </c>
      <c r="F66" s="1571" t="str">
        <f>IF('Part III A-Sources of Funds'!$H$32="","",-FV('Part III A-Sources of Funds'!$J$32/12,12,F53/12,E66))</f>
        <v/>
      </c>
      <c r="G66" s="1571" t="str">
        <f>IF('Part III A-Sources of Funds'!$H$32="","",-FV('Part III A-Sources of Funds'!$J$32/12,12,G53/12,F66))</f>
        <v/>
      </c>
      <c r="H66" s="1571" t="str">
        <f>IF('Part III A-Sources of Funds'!$H$32="","",-FV('Part III A-Sources of Funds'!$J$32/12,12,H53/12,G66))</f>
        <v/>
      </c>
      <c r="I66" s="1571" t="str">
        <f>IF('Part III A-Sources of Funds'!$H$32="","",-FV('Part III A-Sources of Funds'!$J$32/12,12,I53/12,H66))</f>
        <v/>
      </c>
      <c r="J66" s="1571" t="str">
        <f>IF('Part III A-Sources of Funds'!$H$32="","",-FV('Part III A-Sources of Funds'!$J$32/12,12,J53/12,I66))</f>
        <v/>
      </c>
      <c r="K66" s="1571" t="str">
        <f>IF('Part III A-Sources of Funds'!$H$32="","",-FV('Part III A-Sources of Funds'!$J$32/12,12,K53/12,J66))</f>
        <v/>
      </c>
      <c r="M66" s="1462"/>
      <c r="N66" s="1463"/>
    </row>
    <row r="67" spans="1:14" ht="13.15" customHeight="1">
      <c r="A67" s="678" t="s">
        <v>3668</v>
      </c>
      <c r="B67" s="1568" t="str">
        <f>IF('Part III A-Sources of Funds'!$H$33="","",-FV('Part III A-Sources of Funds'!$J$33/12,12,B54/12,K37))</f>
        <v/>
      </c>
      <c r="C67" s="1568" t="str">
        <f>IF('Part III A-Sources of Funds'!$H$33="","",-FV('Part III A-Sources of Funds'!$J$33/12,12,C54/12,B67))</f>
        <v/>
      </c>
      <c r="D67" s="1568" t="str">
        <f>IF('Part III A-Sources of Funds'!$H$33="","",-FV('Part III A-Sources of Funds'!$J$33/12,12,D54/12,C67))</f>
        <v/>
      </c>
      <c r="E67" s="1568" t="str">
        <f>IF('Part III A-Sources of Funds'!$H$33="","",-FV('Part III A-Sources of Funds'!$J$33/12,12,E54/12,D67))</f>
        <v/>
      </c>
      <c r="F67" s="1568" t="str">
        <f>IF('Part III A-Sources of Funds'!$H$33="","",-FV('Part III A-Sources of Funds'!$J$33/12,12,F54/12,E67))</f>
        <v/>
      </c>
      <c r="G67" s="1568" t="str">
        <f>IF('Part III A-Sources of Funds'!$H$33="","",-FV('Part III A-Sources of Funds'!$J$33/12,12,G54/12,F67))</f>
        <v/>
      </c>
      <c r="H67" s="1568" t="str">
        <f>IF('Part III A-Sources of Funds'!$H$33="","",-FV('Part III A-Sources of Funds'!$J$33/12,12,H54/12,G67))</f>
        <v/>
      </c>
      <c r="I67" s="1568" t="str">
        <f>IF('Part III A-Sources of Funds'!$H$33="","",-FV('Part III A-Sources of Funds'!$J$33/12,12,I54/12,H67))</f>
        <v/>
      </c>
      <c r="J67" s="1568" t="str">
        <f>IF('Part III A-Sources of Funds'!$H$33="","",-FV('Part III A-Sources of Funds'!$J$33/12,12,J54/12,I67))</f>
        <v/>
      </c>
      <c r="K67" s="1568" t="str">
        <f>IF('Part III A-Sources of Funds'!$H$33="","",-FV('Part III A-Sources of Funds'!$J$33/12,12,K54/12,J67))</f>
        <v/>
      </c>
      <c r="M67" s="1462"/>
      <c r="N67" s="1463"/>
    </row>
    <row r="68" spans="1:14" ht="13.15" customHeight="1">
      <c r="A68" s="678" t="s">
        <v>3669</v>
      </c>
      <c r="B68" s="1568" t="str">
        <f>IF('Part III A-Sources of Funds'!$H$34="","",-FV('Part III A-Sources of Funds'!$J$34/12,12,B55/12,K38))</f>
        <v/>
      </c>
      <c r="C68" s="1568" t="str">
        <f>IF('Part III A-Sources of Funds'!$H$34="","",-FV('Part III A-Sources of Funds'!$J$34/12,12,C55/12,B68))</f>
        <v/>
      </c>
      <c r="D68" s="1568" t="str">
        <f>IF('Part III A-Sources of Funds'!$H$34="","",-FV('Part III A-Sources of Funds'!$J$34/12,12,D55/12,C68))</f>
        <v/>
      </c>
      <c r="E68" s="1568" t="str">
        <f>IF('Part III A-Sources of Funds'!$H$34="","",-FV('Part III A-Sources of Funds'!$J$34/12,12,E55/12,D68))</f>
        <v/>
      </c>
      <c r="F68" s="1568" t="str">
        <f>IF('Part III A-Sources of Funds'!$H$34="","",-FV('Part III A-Sources of Funds'!$J$34/12,12,F55/12,E68))</f>
        <v/>
      </c>
      <c r="G68" s="1568" t="str">
        <f>IF('Part III A-Sources of Funds'!$H$34="","",-FV('Part III A-Sources of Funds'!$J$34/12,12,G55/12,F68))</f>
        <v/>
      </c>
      <c r="H68" s="1568" t="str">
        <f>IF('Part III A-Sources of Funds'!$H$34="","",-FV('Part III A-Sources of Funds'!$J$34/12,12,H55/12,G68))</f>
        <v/>
      </c>
      <c r="I68" s="1568" t="str">
        <f>IF('Part III A-Sources of Funds'!$H$34="","",-FV('Part III A-Sources of Funds'!$J$34/12,12,I55/12,H68))</f>
        <v/>
      </c>
      <c r="J68" s="1568" t="str">
        <f>IF('Part III A-Sources of Funds'!$H$34="","",-FV('Part III A-Sources of Funds'!$J$34/12,12,J55/12,I68))</f>
        <v/>
      </c>
      <c r="K68" s="1568" t="str">
        <f>IF('Part III A-Sources of Funds'!$H$34="","",-FV('Part III A-Sources of Funds'!$J$34/12,12,K55/12,J68))</f>
        <v/>
      </c>
      <c r="M68" s="1462"/>
      <c r="N68" s="1463"/>
    </row>
    <row r="69" spans="1:14" ht="13.15" customHeight="1">
      <c r="A69" s="24" t="s">
        <v>1268</v>
      </c>
      <c r="B69" s="1568" t="str">
        <f>IF('Part III A-Sources of Funds'!$H$35="","",-FV('Part III A-Sources of Funds'!$J$35/12,12,B56/12,K39))</f>
        <v/>
      </c>
      <c r="C69" s="1568" t="str">
        <f>IF('Part III A-Sources of Funds'!$H$35="","",-FV('Part III A-Sources of Funds'!$J$35/12,12,C56/12,B69))</f>
        <v/>
      </c>
      <c r="D69" s="1568" t="str">
        <f>IF('Part III A-Sources of Funds'!$H$35="","",-FV('Part III A-Sources of Funds'!$J$35/12,12,D56/12,C69))</f>
        <v/>
      </c>
      <c r="E69" s="1568" t="str">
        <f>IF('Part III A-Sources of Funds'!$H$35="","",-FV('Part III A-Sources of Funds'!$J$35/12,12,E56/12,D69))</f>
        <v/>
      </c>
      <c r="F69" s="1568" t="str">
        <f>IF('Part III A-Sources of Funds'!$H$35="","",-FV('Part III A-Sources of Funds'!$J$35/12,12,F56/12,E69))</f>
        <v/>
      </c>
      <c r="G69" s="1568" t="str">
        <f>IF('Part III A-Sources of Funds'!$H$35="","",-FV('Part III A-Sources of Funds'!$J$35/12,12,G56/12,F69))</f>
        <v/>
      </c>
      <c r="H69" s="1568" t="str">
        <f>IF('Part III A-Sources of Funds'!$H$35="","",-FV('Part III A-Sources of Funds'!$J$35/12,12,H56/12,G69))</f>
        <v/>
      </c>
      <c r="I69" s="1568" t="str">
        <f>IF('Part III A-Sources of Funds'!$H$35="","",-FV('Part III A-Sources of Funds'!$J$35/12,12,I56/12,H69))</f>
        <v/>
      </c>
      <c r="J69" s="1568" t="str">
        <f>IF('Part III A-Sources of Funds'!$H$35="","",-FV('Part III A-Sources of Funds'!$J$35/12,12,J56/12,I69))</f>
        <v/>
      </c>
      <c r="K69" s="1568" t="str">
        <f>IF('Part III A-Sources of Funds'!$H$35="","",-FV('Part III A-Sources of Funds'!$J$35/12,12,K56/12,J69))</f>
        <v/>
      </c>
      <c r="M69" s="1462"/>
      <c r="N69" s="1463"/>
    </row>
    <row r="70" spans="1:14" ht="13.15" customHeight="1">
      <c r="A70" s="678" t="s">
        <v>3652</v>
      </c>
      <c r="B70" s="1568">
        <f>'Part III A-Sources of Funds'!$H$36</f>
        <v>0</v>
      </c>
      <c r="C70" s="1568">
        <f>B70</f>
        <v>0</v>
      </c>
      <c r="D70" s="1568">
        <f t="shared" ref="D70:K70" si="30">C70</f>
        <v>0</v>
      </c>
      <c r="E70" s="1568">
        <f t="shared" si="30"/>
        <v>0</v>
      </c>
      <c r="F70" s="1568">
        <f t="shared" si="30"/>
        <v>0</v>
      </c>
      <c r="G70" s="1568">
        <f t="shared" si="30"/>
        <v>0</v>
      </c>
      <c r="H70" s="1568">
        <f t="shared" si="30"/>
        <v>0</v>
      </c>
      <c r="I70" s="1568">
        <f t="shared" si="30"/>
        <v>0</v>
      </c>
      <c r="J70" s="1568">
        <f t="shared" si="30"/>
        <v>0</v>
      </c>
      <c r="K70" s="1568">
        <f t="shared" si="30"/>
        <v>0</v>
      </c>
      <c r="M70" s="1462"/>
      <c r="N70" s="1463"/>
    </row>
    <row r="71" spans="1:14" ht="13.15" customHeight="1">
      <c r="A71" s="29" t="s">
        <v>1776</v>
      </c>
      <c r="B71" s="1572">
        <f>IF('Part III A-Sources of Funds'!$H$37="","",-FV('Part III A-Sources of Funds'!$J$37/12,12,B59/12,K41))</f>
        <v>0</v>
      </c>
      <c r="C71" s="1572">
        <f>IF('Part III A-Sources of Funds'!$H$37="","",-FV('Part III A-Sources of Funds'!$J$37/12,12,C59/12,B71))</f>
        <v>0</v>
      </c>
      <c r="D71" s="1572">
        <f>IF('Part III A-Sources of Funds'!$H$37="","",-FV('Part III A-Sources of Funds'!$J$37/12,12,D59/12,C71))</f>
        <v>0</v>
      </c>
      <c r="E71" s="1572">
        <f>IF('Part III A-Sources of Funds'!$H$37="","",-FV('Part III A-Sources of Funds'!$J$37/12,12,E59/12,D71))</f>
        <v>0</v>
      </c>
      <c r="F71" s="1572">
        <f>IF('Part III A-Sources of Funds'!$H$37="","",-FV('Part III A-Sources of Funds'!$J$37/12,12,F59/12,E71))</f>
        <v>0</v>
      </c>
      <c r="G71" s="1572">
        <f>IF('Part III A-Sources of Funds'!$H$37="","",-FV('Part III A-Sources of Funds'!$J$37/12,12,G59/12,F71))</f>
        <v>0</v>
      </c>
      <c r="H71" s="1572">
        <f>IF('Part III A-Sources of Funds'!$H$37="","",-FV('Part III A-Sources of Funds'!$J$37/12,12,H59/12,G71))</f>
        <v>0</v>
      </c>
      <c r="I71" s="1572">
        <f>IF('Part III A-Sources of Funds'!$H$37="","",-FV('Part III A-Sources of Funds'!$J$37/12,12,I59/12,H71))</f>
        <v>0</v>
      </c>
      <c r="J71" s="1572">
        <f>IF('Part III A-Sources of Funds'!$H$37="","",-FV('Part III A-Sources of Funds'!$J$37/12,12,J59/12,I71))</f>
        <v>0</v>
      </c>
      <c r="K71" s="1572">
        <f>IF('Part III A-Sources of Funds'!$H$37="","",-FV('Part III A-Sources of Funds'!$J$37/12,12,K59/12,J71))</f>
        <v>0</v>
      </c>
      <c r="M71" s="1465"/>
      <c r="N71" s="1466"/>
    </row>
    <row r="72" spans="1:14" ht="4.1500000000000004" customHeight="1">
      <c r="B72" s="20"/>
      <c r="C72" s="20"/>
      <c r="D72" s="20"/>
      <c r="E72" s="20"/>
      <c r="F72" s="20"/>
      <c r="G72" s="20"/>
      <c r="H72" s="20"/>
      <c r="I72" s="20"/>
      <c r="J72" s="20"/>
      <c r="K72" s="20"/>
    </row>
    <row r="73" spans="1:14" ht="14.45" customHeight="1">
      <c r="A73" s="16" t="s">
        <v>3486</v>
      </c>
      <c r="B73" s="18">
        <f>K43+1</f>
        <v>21</v>
      </c>
      <c r="C73" s="18">
        <f t="shared" ref="C73:K73" si="31">B73+1</f>
        <v>22</v>
      </c>
      <c r="D73" s="18">
        <f t="shared" si="31"/>
        <v>23</v>
      </c>
      <c r="E73" s="18">
        <f t="shared" si="31"/>
        <v>24</v>
      </c>
      <c r="F73" s="18">
        <f t="shared" si="31"/>
        <v>25</v>
      </c>
      <c r="G73" s="18">
        <f t="shared" si="31"/>
        <v>26</v>
      </c>
      <c r="H73" s="18">
        <f t="shared" si="31"/>
        <v>27</v>
      </c>
      <c r="I73" s="18">
        <f t="shared" si="31"/>
        <v>28</v>
      </c>
      <c r="J73" s="18">
        <f t="shared" si="31"/>
        <v>29</v>
      </c>
      <c r="K73" s="18">
        <f t="shared" si="31"/>
        <v>30</v>
      </c>
      <c r="M73" s="954" t="s">
        <v>3674</v>
      </c>
      <c r="N73" s="954"/>
    </row>
    <row r="74" spans="1:14" ht="13.15" customHeight="1">
      <c r="A74" s="21" t="s">
        <v>3385</v>
      </c>
      <c r="B74" s="22">
        <f t="shared" ref="B74:K74" si="32">$B$14*(1+$B$5)^(B73-1)</f>
        <v>217400.04782121713</v>
      </c>
      <c r="C74" s="22">
        <f t="shared" si="32"/>
        <v>221748.04877764147</v>
      </c>
      <c r="D74" s="22">
        <f t="shared" si="32"/>
        <v>226183.00975319432</v>
      </c>
      <c r="E74" s="22">
        <f t="shared" si="32"/>
        <v>230706.66994825815</v>
      </c>
      <c r="F74" s="22">
        <f t="shared" si="32"/>
        <v>235320.80334722332</v>
      </c>
      <c r="G74" s="22">
        <f t="shared" si="32"/>
        <v>240027.2194141678</v>
      </c>
      <c r="H74" s="22">
        <f t="shared" si="32"/>
        <v>244827.76380245117</v>
      </c>
      <c r="I74" s="22">
        <f t="shared" si="32"/>
        <v>249724.31907850015</v>
      </c>
      <c r="J74" s="22">
        <f t="shared" si="32"/>
        <v>254718.8054600702</v>
      </c>
      <c r="K74" s="23">
        <f t="shared" si="32"/>
        <v>259813.18156927158</v>
      </c>
      <c r="M74" s="1460"/>
      <c r="N74" s="1461"/>
    </row>
    <row r="75" spans="1:14" ht="13.15" customHeight="1">
      <c r="A75" s="24" t="s">
        <v>1519</v>
      </c>
      <c r="B75" s="25">
        <f t="shared" ref="B75:K75" si="33">$B$15*(1+$B$5)^(B73-1)</f>
        <v>4346.3961332366862</v>
      </c>
      <c r="C75" s="25">
        <f t="shared" si="33"/>
        <v>4433.3240559014193</v>
      </c>
      <c r="D75" s="25">
        <f t="shared" si="33"/>
        <v>4521.9905370194483</v>
      </c>
      <c r="E75" s="25">
        <f t="shared" si="33"/>
        <v>4612.430347759836</v>
      </c>
      <c r="F75" s="25">
        <f t="shared" si="33"/>
        <v>4704.6789547150329</v>
      </c>
      <c r="G75" s="25">
        <f t="shared" si="33"/>
        <v>4798.7725338093342</v>
      </c>
      <c r="H75" s="25">
        <f t="shared" si="33"/>
        <v>4894.7479844855216</v>
      </c>
      <c r="I75" s="25">
        <f t="shared" si="33"/>
        <v>4992.6429441752307</v>
      </c>
      <c r="J75" s="25">
        <f t="shared" si="33"/>
        <v>5092.4958030587359</v>
      </c>
      <c r="K75" s="26">
        <f t="shared" si="33"/>
        <v>5194.3457191199104</v>
      </c>
      <c r="M75" s="1462"/>
      <c r="N75" s="1463"/>
    </row>
    <row r="76" spans="1:14" ht="13.15" customHeight="1">
      <c r="A76" s="24" t="s">
        <v>3386</v>
      </c>
      <c r="B76" s="25">
        <f t="shared" ref="B76:K76" si="34">-(B74+B75)*$B$8</f>
        <v>-15522.251076811768</v>
      </c>
      <c r="C76" s="25">
        <f t="shared" si="34"/>
        <v>-15832.696098348002</v>
      </c>
      <c r="D76" s="25">
        <f t="shared" si="34"/>
        <v>-16149.350020314965</v>
      </c>
      <c r="E76" s="25">
        <f t="shared" si="34"/>
        <v>-16472.337020721261</v>
      </c>
      <c r="F76" s="25">
        <f t="shared" si="34"/>
        <v>-16801.783761135684</v>
      </c>
      <c r="G76" s="25">
        <f t="shared" si="34"/>
        <v>-17137.819436358401</v>
      </c>
      <c r="H76" s="25">
        <f t="shared" si="34"/>
        <v>-17480.575825085569</v>
      </c>
      <c r="I76" s="25">
        <f t="shared" si="34"/>
        <v>-17830.18734158728</v>
      </c>
      <c r="J76" s="25">
        <f t="shared" si="34"/>
        <v>-18186.791088419028</v>
      </c>
      <c r="K76" s="26">
        <f t="shared" si="34"/>
        <v>-18550.526910187407</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5">$B$19*(1+$B$6)^(B73-1)</f>
        <v>-153176.65503455987</v>
      </c>
      <c r="C79" s="25">
        <f t="shared" si="35"/>
        <v>-157771.95468559663</v>
      </c>
      <c r="D79" s="25">
        <f t="shared" si="35"/>
        <v>-162505.11332616454</v>
      </c>
      <c r="E79" s="25">
        <f t="shared" si="35"/>
        <v>-167380.26672594951</v>
      </c>
      <c r="F79" s="25">
        <f t="shared" si="35"/>
        <v>-172401.67472772795</v>
      </c>
      <c r="G79" s="25">
        <f t="shared" si="35"/>
        <v>-177573.72496955979</v>
      </c>
      <c r="H79" s="25">
        <f t="shared" si="35"/>
        <v>-182900.93671864661</v>
      </c>
      <c r="I79" s="25">
        <f t="shared" si="35"/>
        <v>-188387.96482020599</v>
      </c>
      <c r="J79" s="25">
        <f t="shared" si="35"/>
        <v>-194039.60376481217</v>
      </c>
      <c r="K79" s="26">
        <f t="shared" si="35"/>
        <v>-199860.79187775654</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-21654</v>
      </c>
      <c r="C80" s="25">
        <f>IF(AND('Part VII-Pro Forma'!$G$8="Yes",'Part VII-Pro Forma'!$G$9="Yes"),"Choose One!",IF('Part VII-Pro Forma'!$G$8="Yes",ROUND((-$K$8*(1+'Part VII-Pro Forma'!$B$6)^('Part VII-Pro Forma'!C73-1)),),IF('Part VII-Pro Forma'!$G$9="Yes",ROUND((-(SUM(C74:C77)*'Part VII-Pro Forma'!$K$9)),),"Choose mgt fee")))</f>
        <v>-22087</v>
      </c>
      <c r="D80" s="25">
        <f>IF(AND('Part VII-Pro Forma'!$G$8="Yes",'Part VII-Pro Forma'!$G$9="Yes"),"Choose One!",IF('Part VII-Pro Forma'!$G$8="Yes",ROUND((-$K$8*(1+'Part VII-Pro Forma'!$B$6)^('Part VII-Pro Forma'!D73-1)),),IF('Part VII-Pro Forma'!$G$9="Yes",ROUND((-(SUM(D74:D77)*'Part VII-Pro Forma'!$K$9)),),"Choose mgt fee")))</f>
        <v>-22528</v>
      </c>
      <c r="E80" s="25">
        <f>IF(AND('Part VII-Pro Forma'!$G$8="Yes",'Part VII-Pro Forma'!$G$9="Yes"),"Choose One!",IF('Part VII-Pro Forma'!$G$8="Yes",ROUND((-$K$8*(1+'Part VII-Pro Forma'!$B$6)^('Part VII-Pro Forma'!E73-1)),),IF('Part VII-Pro Forma'!$G$9="Yes",ROUND((-(SUM(E74:E77)*'Part VII-Pro Forma'!$K$9)),),"Choose mgt fee")))</f>
        <v>-22979</v>
      </c>
      <c r="F80" s="25">
        <f>IF(AND('Part VII-Pro Forma'!$G$8="Yes",'Part VII-Pro Forma'!$G$9="Yes"),"Choose One!",IF('Part VII-Pro Forma'!$G$8="Yes",ROUND((-$K$8*(1+'Part VII-Pro Forma'!$B$6)^('Part VII-Pro Forma'!F73-1)),),IF('Part VII-Pro Forma'!$G$9="Yes",ROUND((-(SUM(F74:F77)*'Part VII-Pro Forma'!$K$9)),),"Choose mgt fee")))</f>
        <v>-23438</v>
      </c>
      <c r="G80" s="25">
        <f>IF(AND('Part VII-Pro Forma'!$G$8="Yes",'Part VII-Pro Forma'!$G$9="Yes"),"Choose One!",IF('Part VII-Pro Forma'!$G$8="Yes",ROUND((-$K$8*(1+'Part VII-Pro Forma'!$B$6)^('Part VII-Pro Forma'!G73-1)),),IF('Part VII-Pro Forma'!$G$9="Yes",ROUND((-(SUM(G74:G77)*'Part VII-Pro Forma'!$K$9)),),"Choose mgt fee")))</f>
        <v>-23907</v>
      </c>
      <c r="H80" s="25">
        <f>IF(AND('Part VII-Pro Forma'!$G$8="Yes",'Part VII-Pro Forma'!$G$9="Yes"),"Choose One!",IF('Part VII-Pro Forma'!$G$8="Yes",ROUND((-$K$8*(1+'Part VII-Pro Forma'!$B$6)^('Part VII-Pro Forma'!H73-1)),),IF('Part VII-Pro Forma'!$G$9="Yes",ROUND((-(SUM(H74:H77)*'Part VII-Pro Forma'!$K$9)),),"Choose mgt fee")))</f>
        <v>-24385</v>
      </c>
      <c r="I80" s="25">
        <f>IF(AND('Part VII-Pro Forma'!$G$8="Yes",'Part VII-Pro Forma'!$G$9="Yes"),"Choose One!",IF('Part VII-Pro Forma'!$G$8="Yes",ROUND((-$K$8*(1+'Part VII-Pro Forma'!$B$6)^('Part VII-Pro Forma'!I73-1)),),IF('Part VII-Pro Forma'!$G$9="Yes",ROUND((-(SUM(I74:I77)*'Part VII-Pro Forma'!$K$9)),),"Choose mgt fee")))</f>
        <v>-24873</v>
      </c>
      <c r="J80" s="25">
        <f>IF(AND('Part VII-Pro Forma'!$G$8="Yes",'Part VII-Pro Forma'!$G$9="Yes"),"Choose One!",IF('Part VII-Pro Forma'!$G$8="Yes",ROUND((-$K$8*(1+'Part VII-Pro Forma'!$B$6)^('Part VII-Pro Forma'!J73-1)),),IF('Part VII-Pro Forma'!$G$9="Yes",ROUND((-(SUM(J74:J77)*'Part VII-Pro Forma'!$K$9)),),"Choose mgt fee")))</f>
        <v>-25371</v>
      </c>
      <c r="K80" s="25">
        <f>IF(AND('Part VII-Pro Forma'!$G$8="Yes",'Part VII-Pro Forma'!$G$9="Yes"),"Choose One!",IF('Part VII-Pro Forma'!$G$8="Yes",ROUND((-$K$8*(1+'Part VII-Pro Forma'!$B$6)^('Part VII-Pro Forma'!K73-1)),),IF('Part VII-Pro Forma'!$G$9="Yes",ROUND((-(SUM(K74:K77)*'Part VII-Pro Forma'!$K$9)),),"Choose mgt fee")))</f>
        <v>-25878</v>
      </c>
      <c r="M80" s="1462"/>
      <c r="N80" s="1463"/>
    </row>
    <row r="81" spans="1:14" ht="13.15" customHeight="1">
      <c r="A81" s="24" t="s">
        <v>1739</v>
      </c>
      <c r="B81" s="25">
        <f t="shared" ref="B81:K81" si="36">$B$21*(1+$B$7)^(B73-1)</f>
        <v>-14900.41768602266</v>
      </c>
      <c r="C81" s="25">
        <f t="shared" si="36"/>
        <v>-15347.430216603338</v>
      </c>
      <c r="D81" s="25">
        <f t="shared" si="36"/>
        <v>-15807.853123101439</v>
      </c>
      <c r="E81" s="25">
        <f t="shared" si="36"/>
        <v>-16282.088716794484</v>
      </c>
      <c r="F81" s="25">
        <f t="shared" si="36"/>
        <v>-16770.551378298314</v>
      </c>
      <c r="G81" s="25">
        <f t="shared" si="36"/>
        <v>-17273.667919647265</v>
      </c>
      <c r="H81" s="25">
        <f t="shared" si="36"/>
        <v>-17791.877957236684</v>
      </c>
      <c r="I81" s="25">
        <f t="shared" si="36"/>
        <v>-18325.634295953783</v>
      </c>
      <c r="J81" s="25">
        <f t="shared" si="36"/>
        <v>-18875.403324832398</v>
      </c>
      <c r="K81" s="26">
        <f t="shared" si="36"/>
        <v>-19441.665424577368</v>
      </c>
      <c r="M81" s="1462"/>
      <c r="N81" s="1463"/>
    </row>
    <row r="82" spans="1:14" ht="13.15" customHeight="1">
      <c r="A82" s="24" t="s">
        <v>1740</v>
      </c>
      <c r="B82" s="25">
        <f t="shared" ref="B82:K82" si="37">SUM(B74:B81)</f>
        <v>16493.1201570595</v>
      </c>
      <c r="C82" s="25">
        <f t="shared" si="37"/>
        <v>15142.291832994895</v>
      </c>
      <c r="D82" s="25">
        <f t="shared" si="37"/>
        <v>13714.683820632807</v>
      </c>
      <c r="E82" s="25">
        <f t="shared" si="37"/>
        <v>12205.407832552728</v>
      </c>
      <c r="F82" s="25">
        <f t="shared" si="37"/>
        <v>10613.472434776402</v>
      </c>
      <c r="G82" s="25">
        <f t="shared" si="37"/>
        <v>8933.7796224116792</v>
      </c>
      <c r="H82" s="25">
        <f t="shared" si="37"/>
        <v>7164.1212859678271</v>
      </c>
      <c r="I82" s="25">
        <f t="shared" si="37"/>
        <v>5300.1755649283332</v>
      </c>
      <c r="J82" s="25">
        <f t="shared" si="37"/>
        <v>3338.5030850653275</v>
      </c>
      <c r="K82" s="26">
        <f t="shared" si="37"/>
        <v>1276.5430758701696</v>
      </c>
      <c r="M82" s="1462"/>
      <c r="N82" s="1463"/>
    </row>
    <row r="83" spans="1:14" ht="13.15" customHeight="1">
      <c r="A83" s="24" t="str">
        <f>$A53</f>
        <v>Mortgage A</v>
      </c>
      <c r="B83" s="1567">
        <f>IF('Part III A-Sources of Funds'!$M$32="", 0,-'Part III A-Sources of Funds'!$M$32)</f>
        <v>0</v>
      </c>
      <c r="C83" s="1567">
        <f>IF('Part III A-Sources of Funds'!$M$32="", 0,-'Part III A-Sources of Funds'!$M$32)</f>
        <v>0</v>
      </c>
      <c r="D83" s="1567">
        <f>IF('Part III A-Sources of Funds'!$M$32="", 0,-'Part III A-Sources of Funds'!$M$32)</f>
        <v>0</v>
      </c>
      <c r="E83" s="1567">
        <f>IF('Part III A-Sources of Funds'!$M$32="", 0,-'Part III A-Sources of Funds'!$M$32)</f>
        <v>0</v>
      </c>
      <c r="F83" s="1567">
        <f>IF('Part III A-Sources of Funds'!$M$32="", 0,-'Part III A-Sources of Funds'!$M$32)</f>
        <v>0</v>
      </c>
      <c r="G83" s="1567">
        <f>IF('Part III A-Sources of Funds'!$M$32="", 0,-'Part III A-Sources of Funds'!$M$32)</f>
        <v>0</v>
      </c>
      <c r="H83" s="1567">
        <f>IF('Part III A-Sources of Funds'!$M$32="", 0,-'Part III A-Sources of Funds'!$M$32)</f>
        <v>0</v>
      </c>
      <c r="I83" s="1567">
        <f>IF('Part III A-Sources of Funds'!$M$32="", 0,-'Part III A-Sources of Funds'!$M$32)</f>
        <v>0</v>
      </c>
      <c r="J83" s="1567">
        <f>IF('Part III A-Sources of Funds'!$M$32="", 0,-'Part III A-Sources of Funds'!$M$32)</f>
        <v>0</v>
      </c>
      <c r="K83" s="1567">
        <f>IF('Part III A-Sources of Funds'!$M$32="", 0,-'Part III A-Sources of Funds'!$M$32)</f>
        <v>0</v>
      </c>
      <c r="M83" s="1462"/>
      <c r="N83" s="1463"/>
    </row>
    <row r="84" spans="1:14" ht="13.15" customHeight="1">
      <c r="A84" s="24" t="str">
        <f>$A54</f>
        <v>Mortgage B</v>
      </c>
      <c r="B84" s="1568">
        <f>IF('Part III A-Sources of Funds'!$M$33="", 0,-'Part III A-Sources of Funds'!$M$33)</f>
        <v>0</v>
      </c>
      <c r="C84" s="1568">
        <f>IF('Part III A-Sources of Funds'!$M$33="", 0,-'Part III A-Sources of Funds'!$M$33)</f>
        <v>0</v>
      </c>
      <c r="D84" s="1568">
        <f>IF('Part III A-Sources of Funds'!$M$33="", 0,-'Part III A-Sources of Funds'!$M$33)</f>
        <v>0</v>
      </c>
      <c r="E84" s="1568">
        <f>IF('Part III A-Sources of Funds'!$M$33="", 0,-'Part III A-Sources of Funds'!$M$33)</f>
        <v>0</v>
      </c>
      <c r="F84" s="1568">
        <f>IF('Part III A-Sources of Funds'!$M$33="", 0,-'Part III A-Sources of Funds'!$M$33)</f>
        <v>0</v>
      </c>
      <c r="G84" s="1568">
        <f>IF('Part III A-Sources of Funds'!$M$33="", 0,-'Part III A-Sources of Funds'!$M$33)</f>
        <v>0</v>
      </c>
      <c r="H84" s="1568">
        <f>IF('Part III A-Sources of Funds'!$M$33="", 0,-'Part III A-Sources of Funds'!$M$33)</f>
        <v>0</v>
      </c>
      <c r="I84" s="1568">
        <f>IF('Part III A-Sources of Funds'!$M$33="", 0,-'Part III A-Sources of Funds'!$M$33)</f>
        <v>0</v>
      </c>
      <c r="J84" s="1568">
        <f>IF('Part III A-Sources of Funds'!$M$33="", 0,-'Part III A-Sources of Funds'!$M$33)</f>
        <v>0</v>
      </c>
      <c r="K84" s="1568">
        <f>IF('Part III A-Sources of Funds'!$M$33="", 0,-'Part III A-Sources of Funds'!$M$33)</f>
        <v>0</v>
      </c>
      <c r="M84" s="1462"/>
      <c r="N84" s="1463"/>
    </row>
    <row r="85" spans="1:14" ht="13.15" customHeight="1">
      <c r="A85" s="24" t="str">
        <f>$A55</f>
        <v>Mortgage C</v>
      </c>
      <c r="B85" s="1568">
        <f>IF('Part III A-Sources of Funds'!$M$34="", 0,-'Part III A-Sources of Funds'!$M$34)</f>
        <v>0</v>
      </c>
      <c r="C85" s="1568">
        <f>IF('Part III A-Sources of Funds'!$M$34="", 0,-'Part III A-Sources of Funds'!$M$34)</f>
        <v>0</v>
      </c>
      <c r="D85" s="1568">
        <f>IF('Part III A-Sources of Funds'!$M$34="", 0,-'Part III A-Sources of Funds'!$M$34)</f>
        <v>0</v>
      </c>
      <c r="E85" s="1568">
        <f>IF('Part III A-Sources of Funds'!$M$34="", 0,-'Part III A-Sources of Funds'!$M$34)</f>
        <v>0</v>
      </c>
      <c r="F85" s="1568">
        <f>IF('Part III A-Sources of Funds'!$M$34="", 0,-'Part III A-Sources of Funds'!$M$34)</f>
        <v>0</v>
      </c>
      <c r="G85" s="1568">
        <f>IF('Part III A-Sources of Funds'!$M$34="", 0,-'Part III A-Sources of Funds'!$M$34)</f>
        <v>0</v>
      </c>
      <c r="H85" s="1568">
        <f>IF('Part III A-Sources of Funds'!$M$34="", 0,-'Part III A-Sources of Funds'!$M$34)</f>
        <v>0</v>
      </c>
      <c r="I85" s="1568">
        <f>IF('Part III A-Sources of Funds'!$M$34="", 0,-'Part III A-Sources of Funds'!$M$34)</f>
        <v>0</v>
      </c>
      <c r="J85" s="1568">
        <f>IF('Part III A-Sources of Funds'!$M$34="", 0,-'Part III A-Sources of Funds'!$M$34)</f>
        <v>0</v>
      </c>
      <c r="K85" s="1568">
        <f>IF('Part III A-Sources of Funds'!$M$34="", 0,-'Part III A-Sources of Funds'!$M$34)</f>
        <v>0</v>
      </c>
      <c r="M85" s="1462"/>
      <c r="N85" s="1463"/>
    </row>
    <row r="86" spans="1:14" ht="13.15" customHeight="1">
      <c r="A86" s="24" t="str">
        <f>$A56</f>
        <v>D/S Other Source</v>
      </c>
      <c r="B86" s="1568">
        <f>IF('Part III A-Sources of Funds'!$M$35="", 0,-'Part III A-Sources of Funds'!$M$35)</f>
        <v>0</v>
      </c>
      <c r="C86" s="1568">
        <f>IF('Part III A-Sources of Funds'!$M$35="", 0,-'Part III A-Sources of Funds'!$M$35)</f>
        <v>0</v>
      </c>
      <c r="D86" s="1568">
        <f>IF('Part III A-Sources of Funds'!$M$35="", 0,-'Part III A-Sources of Funds'!$M$35)</f>
        <v>0</v>
      </c>
      <c r="E86" s="1568">
        <f>IF('Part III A-Sources of Funds'!$M$35="", 0,-'Part III A-Sources of Funds'!$M$35)</f>
        <v>0</v>
      </c>
      <c r="F86" s="1568">
        <f>IF('Part III A-Sources of Funds'!$M$35="", 0,-'Part III A-Sources of Funds'!$M$35)</f>
        <v>0</v>
      </c>
      <c r="G86" s="1568">
        <f>IF('Part III A-Sources of Funds'!$M$35="", 0,-'Part III A-Sources of Funds'!$M$35)</f>
        <v>0</v>
      </c>
      <c r="H86" s="1568">
        <f>IF('Part III A-Sources of Funds'!$M$35="", 0,-'Part III A-Sources of Funds'!$M$35)</f>
        <v>0</v>
      </c>
      <c r="I86" s="1568">
        <f>IF('Part III A-Sources of Funds'!$M$35="", 0,-'Part III A-Sources of Funds'!$M$35)</f>
        <v>0</v>
      </c>
      <c r="J86" s="1568">
        <f>IF('Part III A-Sources of Funds'!$M$35="", 0,-'Part III A-Sources of Funds'!$M$35)</f>
        <v>0</v>
      </c>
      <c r="K86" s="1568">
        <f>IF('Part III A-Sources of Funds'!$M$35="", 0,-'Part III A-Sources of Funds'!$M$35)</f>
        <v>0</v>
      </c>
      <c r="M86" s="1462"/>
      <c r="N86" s="1463"/>
    </row>
    <row r="87" spans="1:14" ht="13.15" customHeight="1">
      <c r="A87" s="24" t="s">
        <v>1241</v>
      </c>
      <c r="B87" s="1569"/>
      <c r="C87" s="1569"/>
      <c r="D87" s="1569"/>
      <c r="E87" s="1569"/>
      <c r="F87" s="1569"/>
      <c r="G87" s="1569"/>
      <c r="H87" s="1569"/>
      <c r="I87" s="1569"/>
      <c r="J87" s="1569"/>
      <c r="K87" s="1569"/>
      <c r="M87" s="1462"/>
      <c r="N87" s="1463"/>
    </row>
    <row r="88" spans="1:14" ht="13.15" customHeight="1">
      <c r="A88" s="24" t="s">
        <v>1686</v>
      </c>
      <c r="B88" s="1568">
        <f>+K58</f>
        <v>0</v>
      </c>
      <c r="C88" s="1568">
        <f t="shared" ref="C88:K88" si="38">+B88</f>
        <v>0</v>
      </c>
      <c r="D88" s="1568">
        <f t="shared" si="38"/>
        <v>0</v>
      </c>
      <c r="E88" s="1568">
        <f t="shared" si="38"/>
        <v>0</v>
      </c>
      <c r="F88" s="1568">
        <f t="shared" si="38"/>
        <v>0</v>
      </c>
      <c r="G88" s="1568">
        <f t="shared" si="38"/>
        <v>0</v>
      </c>
      <c r="H88" s="1568">
        <f t="shared" si="38"/>
        <v>0</v>
      </c>
      <c r="I88" s="1568">
        <f t="shared" si="38"/>
        <v>0</v>
      </c>
      <c r="J88" s="1568">
        <f t="shared" si="38"/>
        <v>0</v>
      </c>
      <c r="K88" s="1568">
        <f t="shared" si="38"/>
        <v>0</v>
      </c>
      <c r="M88" s="1462"/>
      <c r="N88" s="1463"/>
    </row>
    <row r="89" spans="1:14" ht="13.15" customHeight="1">
      <c r="A89" s="24" t="s">
        <v>1741</v>
      </c>
      <c r="B89" s="1572">
        <f>IF('Part III A-Sources of Funds'!$M$37="", 0,-'Part III A-Sources of Funds'!$M$37)</f>
        <v>0</v>
      </c>
      <c r="C89" s="1572">
        <f>IF('Part III A-Sources of Funds'!$M$37="", 0,-'Part III A-Sources of Funds'!$M$37)</f>
        <v>0</v>
      </c>
      <c r="D89" s="1572">
        <f>IF('Part III A-Sources of Funds'!$M$37="", 0,-'Part III A-Sources of Funds'!$M$37)</f>
        <v>0</v>
      </c>
      <c r="E89" s="1572">
        <f>IF('Part III A-Sources of Funds'!$M$37="", 0,-'Part III A-Sources of Funds'!$M$37)</f>
        <v>0</v>
      </c>
      <c r="F89" s="1572">
        <f>IF('Part III A-Sources of Funds'!$M$37="", 0,-'Part III A-Sources of Funds'!$M$37)</f>
        <v>0</v>
      </c>
      <c r="G89" s="1572">
        <f>IF('Part III A-Sources of Funds'!$M$37="", 0,-'Part III A-Sources of Funds'!$M$37)</f>
        <v>0</v>
      </c>
      <c r="H89" s="1572">
        <f>IF('Part III A-Sources of Funds'!$M$37="", 0,-'Part III A-Sources of Funds'!$M$37)</f>
        <v>0</v>
      </c>
      <c r="I89" s="1572">
        <f>IF('Part III A-Sources of Funds'!$M$37="", 0,-'Part III A-Sources of Funds'!$M$37)</f>
        <v>0</v>
      </c>
      <c r="J89" s="1572">
        <f>IF('Part III A-Sources of Funds'!$M$37="", 0,-'Part III A-Sources of Funds'!$M$37)</f>
        <v>0</v>
      </c>
      <c r="K89" s="1568">
        <f>IF('Part III A-Sources of Funds'!$M$37="", 0,-'Part III A-Sources of Funds'!$M$37)</f>
        <v>0</v>
      </c>
      <c r="M89" s="1462"/>
      <c r="N89" s="1463"/>
    </row>
    <row r="90" spans="1:14" ht="13.15" customHeight="1">
      <c r="A90" s="24" t="s">
        <v>1687</v>
      </c>
      <c r="B90" s="25">
        <f t="shared" ref="B90:K90" si="39">SUM(B82:B89)</f>
        <v>16493.1201570595</v>
      </c>
      <c r="C90" s="25">
        <f t="shared" si="39"/>
        <v>15142.291832994895</v>
      </c>
      <c r="D90" s="25">
        <f t="shared" si="39"/>
        <v>13714.683820632807</v>
      </c>
      <c r="E90" s="25">
        <f t="shared" si="39"/>
        <v>12205.407832552728</v>
      </c>
      <c r="F90" s="25">
        <f t="shared" si="39"/>
        <v>10613.472434776402</v>
      </c>
      <c r="G90" s="25">
        <f t="shared" si="39"/>
        <v>8933.7796224116792</v>
      </c>
      <c r="H90" s="25">
        <f t="shared" si="39"/>
        <v>7164.1212859678271</v>
      </c>
      <c r="I90" s="25">
        <f t="shared" si="39"/>
        <v>5300.1755649283332</v>
      </c>
      <c r="J90" s="25">
        <f t="shared" si="39"/>
        <v>3338.5030850653275</v>
      </c>
      <c r="K90" s="23">
        <f t="shared" si="39"/>
        <v>1276.5430758701696</v>
      </c>
      <c r="M90" s="1462"/>
      <c r="N90" s="1463"/>
    </row>
    <row r="91" spans="1:14" ht="13.15" customHeight="1">
      <c r="A91" s="24" t="str">
        <f>$A61</f>
        <v>DCR Mortgage A</v>
      </c>
      <c r="B91" s="27" t="str">
        <f>IF(B83=0,"",-B82/B83)</f>
        <v/>
      </c>
      <c r="C91" s="27" t="str">
        <f t="shared" ref="C91:K91" si="40">IF(C83=0,"",-C82/C83)</f>
        <v/>
      </c>
      <c r="D91" s="27" t="str">
        <f t="shared" si="40"/>
        <v/>
      </c>
      <c r="E91" s="27" t="str">
        <f t="shared" si="40"/>
        <v/>
      </c>
      <c r="F91" s="27" t="str">
        <f t="shared" si="40"/>
        <v/>
      </c>
      <c r="G91" s="27" t="str">
        <f t="shared" si="40"/>
        <v/>
      </c>
      <c r="H91" s="27" t="str">
        <f t="shared" si="40"/>
        <v/>
      </c>
      <c r="I91" s="27" t="str">
        <f t="shared" si="40"/>
        <v/>
      </c>
      <c r="J91" s="27" t="str">
        <f t="shared" si="40"/>
        <v/>
      </c>
      <c r="K91" s="28" t="str">
        <f t="shared" si="40"/>
        <v/>
      </c>
      <c r="M91" s="1462"/>
      <c r="N91" s="1463"/>
    </row>
    <row r="92" spans="1:14" ht="13.15" customHeight="1">
      <c r="A92" s="24" t="str">
        <f>$A62</f>
        <v>DCR Mortgage B</v>
      </c>
      <c r="B92" s="27" t="str">
        <f>IF(OR(B84=0,AND(B84=0,B83=0)),"",-B82/(B83+B84))</f>
        <v/>
      </c>
      <c r="C92" s="27" t="str">
        <f t="shared" ref="C92:K92" si="41">IF(OR(C84=0,AND(C84=0,C83=0)),"",-C82/(C83+C84))</f>
        <v/>
      </c>
      <c r="D92" s="27" t="str">
        <f t="shared" si="41"/>
        <v/>
      </c>
      <c r="E92" s="27" t="str">
        <f t="shared" si="41"/>
        <v/>
      </c>
      <c r="F92" s="27" t="str">
        <f t="shared" si="41"/>
        <v/>
      </c>
      <c r="G92" s="27" t="str">
        <f t="shared" si="41"/>
        <v/>
      </c>
      <c r="H92" s="27" t="str">
        <f t="shared" si="41"/>
        <v/>
      </c>
      <c r="I92" s="27" t="str">
        <f t="shared" si="41"/>
        <v/>
      </c>
      <c r="J92" s="27" t="str">
        <f t="shared" si="41"/>
        <v/>
      </c>
      <c r="K92" s="28" t="str">
        <f t="shared" si="41"/>
        <v/>
      </c>
      <c r="M92" s="1462"/>
      <c r="N92" s="1463"/>
    </row>
    <row r="93" spans="1:14" ht="13.15" customHeight="1">
      <c r="A93" s="24" t="str">
        <f>$A63</f>
        <v>DCR Mortgage C</v>
      </c>
      <c r="B93" s="27" t="str">
        <f>IF(OR(B85=0,AND(B85=0,B84=0,B83=0)),"",-B82/(B83+B84+B85))</f>
        <v/>
      </c>
      <c r="C93" s="27" t="str">
        <f t="shared" ref="C93:K93" si="42">IF(OR(C85=0,AND(C85=0,C84=0,C83=0)),"",-C82/(C83+C84+C85))</f>
        <v/>
      </c>
      <c r="D93" s="27" t="str">
        <f t="shared" si="42"/>
        <v/>
      </c>
      <c r="E93" s="27" t="str">
        <f t="shared" si="42"/>
        <v/>
      </c>
      <c r="F93" s="27" t="str">
        <f t="shared" si="42"/>
        <v/>
      </c>
      <c r="G93" s="27" t="str">
        <f t="shared" si="42"/>
        <v/>
      </c>
      <c r="H93" s="27" t="str">
        <f t="shared" si="42"/>
        <v/>
      </c>
      <c r="I93" s="27" t="str">
        <f t="shared" si="42"/>
        <v/>
      </c>
      <c r="J93" s="27" t="str">
        <f t="shared" si="42"/>
        <v/>
      </c>
      <c r="K93" s="28" t="str">
        <f t="shared" si="42"/>
        <v/>
      </c>
      <c r="M93" s="1462"/>
      <c r="N93" s="1463"/>
    </row>
    <row r="94" spans="1:14" ht="13.15" customHeight="1">
      <c r="A94" s="24" t="str">
        <f>$A64</f>
        <v>DCR Other Source</v>
      </c>
      <c r="B94" s="27" t="str">
        <f>IF(OR(B86=0,AND(B83=0,B84=0,B85=0,B86=0)),"",-B82/(B83+B84+B85+B86))</f>
        <v/>
      </c>
      <c r="C94" s="27" t="str">
        <f t="shared" ref="C94:K94" si="43">IF(OR(C86=0,AND(C83=0,C84=0,C85=0,C86=0)),"",-C82/(C83+C84+C85+C86))</f>
        <v/>
      </c>
      <c r="D94" s="27" t="str">
        <f t="shared" si="43"/>
        <v/>
      </c>
      <c r="E94" s="27" t="str">
        <f t="shared" si="43"/>
        <v/>
      </c>
      <c r="F94" s="27" t="str">
        <f t="shared" si="43"/>
        <v/>
      </c>
      <c r="G94" s="27" t="str">
        <f t="shared" si="43"/>
        <v/>
      </c>
      <c r="H94" s="27" t="str">
        <f t="shared" si="43"/>
        <v/>
      </c>
      <c r="I94" s="27" t="str">
        <f t="shared" si="43"/>
        <v/>
      </c>
      <c r="J94" s="27" t="str">
        <f t="shared" si="43"/>
        <v/>
      </c>
      <c r="K94" s="28" t="str">
        <f t="shared" si="43"/>
        <v/>
      </c>
      <c r="M94" s="1462"/>
      <c r="N94" s="1463"/>
    </row>
    <row r="95" spans="1:14" ht="13.15" customHeight="1">
      <c r="A95" s="24" t="s">
        <v>1250</v>
      </c>
      <c r="B95" s="378">
        <f>IF(OR(B80="Choose mgt fee",B80="Choose One!"),"",(B74+B75+B76+B77+B78) / -(B79+B80+B81))</f>
        <v>1.0869289353639451</v>
      </c>
      <c r="C95" s="378">
        <f t="shared" ref="C95:K95" si="44">IF(OR(C80="Choose mgt fee",C80="Choose One!"),"",(C74+C75+C76+C77+C78) / -(C79+C80+C81))</f>
        <v>1.0775706790563295</v>
      </c>
      <c r="D95" s="378">
        <f t="shared" si="44"/>
        <v>1.06828628672277</v>
      </c>
      <c r="E95" s="378">
        <f t="shared" si="44"/>
        <v>1.0590656589839036</v>
      </c>
      <c r="F95" s="378">
        <f t="shared" si="44"/>
        <v>1.0499198586500895</v>
      </c>
      <c r="G95" s="378">
        <f t="shared" si="44"/>
        <v>1.0408393152906255</v>
      </c>
      <c r="H95" s="378">
        <f t="shared" si="44"/>
        <v>1.0318295310281216</v>
      </c>
      <c r="I95" s="378">
        <f t="shared" si="44"/>
        <v>1.0228863655546401</v>
      </c>
      <c r="J95" s="378">
        <f t="shared" si="44"/>
        <v>1.0140104873376361</v>
      </c>
      <c r="K95" s="379">
        <f t="shared" si="44"/>
        <v>1.0052065449665757</v>
      </c>
      <c r="M95" s="1462"/>
      <c r="N95" s="1463"/>
    </row>
    <row r="96" spans="1:14" ht="13.15" customHeight="1">
      <c r="A96" s="678" t="s">
        <v>3667</v>
      </c>
      <c r="B96" s="1571" t="str">
        <f>IF('Part III A-Sources of Funds'!$H$32="","",-FV('Part III A-Sources of Funds'!$J$32/12,12,B83/12,K66))</f>
        <v/>
      </c>
      <c r="C96" s="1571" t="str">
        <f>IF('Part III A-Sources of Funds'!$H$32="","",-FV('Part III A-Sources of Funds'!$J$32/12,12,C83/12,B96))</f>
        <v/>
      </c>
      <c r="D96" s="1571" t="str">
        <f>IF('Part III A-Sources of Funds'!$H$32="","",-FV('Part III A-Sources of Funds'!$J$32/12,12,D83/12,C96))</f>
        <v/>
      </c>
      <c r="E96" s="1571" t="str">
        <f>IF('Part III A-Sources of Funds'!$H$32="","",-FV('Part III A-Sources of Funds'!$J$32/12,12,E83/12,D96))</f>
        <v/>
      </c>
      <c r="F96" s="1571" t="str">
        <f>IF('Part III A-Sources of Funds'!$H$32="","",-FV('Part III A-Sources of Funds'!$J$32/12,12,F83/12,E96))</f>
        <v/>
      </c>
      <c r="G96" s="1571" t="str">
        <f>IF('Part III A-Sources of Funds'!$H$32="","",-FV('Part III A-Sources of Funds'!$J$32/12,12,G83/12,F96))</f>
        <v/>
      </c>
      <c r="H96" s="1571" t="str">
        <f>IF('Part III A-Sources of Funds'!$H$32="","",-FV('Part III A-Sources of Funds'!$J$32/12,12,H83/12,G96))</f>
        <v/>
      </c>
      <c r="I96" s="1571" t="str">
        <f>IF('Part III A-Sources of Funds'!$H$32="","",-FV('Part III A-Sources of Funds'!$J$32/12,12,I83/12,H96))</f>
        <v/>
      </c>
      <c r="J96" s="1571" t="str">
        <f>IF('Part III A-Sources of Funds'!$H$32="","",-FV('Part III A-Sources of Funds'!$J$32/12,12,J83/12,I96))</f>
        <v/>
      </c>
      <c r="K96" s="1571" t="str">
        <f>IF('Part III A-Sources of Funds'!$H$32="","",-FV('Part III A-Sources of Funds'!$J$32/12,12,K83/12,J96))</f>
        <v/>
      </c>
      <c r="M96" s="1462"/>
      <c r="N96" s="1463"/>
    </row>
    <row r="97" spans="1:14" ht="13.15" customHeight="1">
      <c r="A97" s="678" t="s">
        <v>3668</v>
      </c>
      <c r="B97" s="1568" t="str">
        <f>IF('Part III A-Sources of Funds'!$H$33="","",-FV('Part III A-Sources of Funds'!$J$33/12,12,B84/12,K67))</f>
        <v/>
      </c>
      <c r="C97" s="1568" t="str">
        <f>IF('Part III A-Sources of Funds'!$H$33="","",-FV('Part III A-Sources of Funds'!$J$33/12,12,C84/12,B97))</f>
        <v/>
      </c>
      <c r="D97" s="1568" t="str">
        <f>IF('Part III A-Sources of Funds'!$H$33="","",-FV('Part III A-Sources of Funds'!$J$33/12,12,D84/12,C97))</f>
        <v/>
      </c>
      <c r="E97" s="1568" t="str">
        <f>IF('Part III A-Sources of Funds'!$H$33="","",-FV('Part III A-Sources of Funds'!$J$33/12,12,E84/12,D97))</f>
        <v/>
      </c>
      <c r="F97" s="1568" t="str">
        <f>IF('Part III A-Sources of Funds'!$H$33="","",-FV('Part III A-Sources of Funds'!$J$33/12,12,F84/12,E97))</f>
        <v/>
      </c>
      <c r="G97" s="1568" t="str">
        <f>IF('Part III A-Sources of Funds'!$H$33="","",-FV('Part III A-Sources of Funds'!$J$33/12,12,G84/12,F97))</f>
        <v/>
      </c>
      <c r="H97" s="1568" t="str">
        <f>IF('Part III A-Sources of Funds'!$H$33="","",-FV('Part III A-Sources of Funds'!$J$33/12,12,H84/12,G97))</f>
        <v/>
      </c>
      <c r="I97" s="1568" t="str">
        <f>IF('Part III A-Sources of Funds'!$H$33="","",-FV('Part III A-Sources of Funds'!$J$33/12,12,I84/12,H97))</f>
        <v/>
      </c>
      <c r="J97" s="1568" t="str">
        <f>IF('Part III A-Sources of Funds'!$H$33="","",-FV('Part III A-Sources of Funds'!$J$33/12,12,J84/12,I97))</f>
        <v/>
      </c>
      <c r="K97" s="1568" t="str">
        <f>IF('Part III A-Sources of Funds'!$H$33="","",-FV('Part III A-Sources of Funds'!$J$33/12,12,K84/12,J97))</f>
        <v/>
      </c>
      <c r="M97" s="1462"/>
      <c r="N97" s="1463"/>
    </row>
    <row r="98" spans="1:14" ht="13.15" customHeight="1">
      <c r="A98" s="678" t="s">
        <v>3669</v>
      </c>
      <c r="B98" s="1568" t="str">
        <f>IF('Part III A-Sources of Funds'!$H$34="","",-FV('Part III A-Sources of Funds'!$J$34/12,12,B85/12,K68))</f>
        <v/>
      </c>
      <c r="C98" s="1568" t="str">
        <f>IF('Part III A-Sources of Funds'!$H$34="","",-FV('Part III A-Sources of Funds'!$J$34/12,12,C85/12,B98))</f>
        <v/>
      </c>
      <c r="D98" s="1568" t="str">
        <f>IF('Part III A-Sources of Funds'!$H$34="","",-FV('Part III A-Sources of Funds'!$J$34/12,12,D85/12,C98))</f>
        <v/>
      </c>
      <c r="E98" s="1568" t="str">
        <f>IF('Part III A-Sources of Funds'!$H$34="","",-FV('Part III A-Sources of Funds'!$J$34/12,12,E85/12,D98))</f>
        <v/>
      </c>
      <c r="F98" s="1568" t="str">
        <f>IF('Part III A-Sources of Funds'!$H$34="","",-FV('Part III A-Sources of Funds'!$J$34/12,12,F85/12,E98))</f>
        <v/>
      </c>
      <c r="G98" s="1568" t="str">
        <f>IF('Part III A-Sources of Funds'!$H$34="","",-FV('Part III A-Sources of Funds'!$J$34/12,12,G85/12,F98))</f>
        <v/>
      </c>
      <c r="H98" s="1568" t="str">
        <f>IF('Part III A-Sources of Funds'!$H$34="","",-FV('Part III A-Sources of Funds'!$J$34/12,12,H85/12,G98))</f>
        <v/>
      </c>
      <c r="I98" s="1568" t="str">
        <f>IF('Part III A-Sources of Funds'!$H$34="","",-FV('Part III A-Sources of Funds'!$J$34/12,12,I85/12,H98))</f>
        <v/>
      </c>
      <c r="J98" s="1568" t="str">
        <f>IF('Part III A-Sources of Funds'!$H$34="","",-FV('Part III A-Sources of Funds'!$J$34/12,12,J85/12,I98))</f>
        <v/>
      </c>
      <c r="K98" s="1568" t="str">
        <f>IF('Part III A-Sources of Funds'!$H$34="","",-FV('Part III A-Sources of Funds'!$J$34/12,12,K85/12,J98))</f>
        <v/>
      </c>
      <c r="M98" s="1462"/>
      <c r="N98" s="1463"/>
    </row>
    <row r="99" spans="1:14" ht="13.15" customHeight="1">
      <c r="A99" s="24" t="s">
        <v>1268</v>
      </c>
      <c r="B99" s="1568" t="str">
        <f>IF('Part III A-Sources of Funds'!$H$35="","",-FV('Part III A-Sources of Funds'!$J$35/12,12,B86/12,K69))</f>
        <v/>
      </c>
      <c r="C99" s="1568" t="str">
        <f>IF('Part III A-Sources of Funds'!$H$35="","",-FV('Part III A-Sources of Funds'!$J$35/12,12,C86/12,B99))</f>
        <v/>
      </c>
      <c r="D99" s="1568" t="str">
        <f>IF('Part III A-Sources of Funds'!$H$35="","",-FV('Part III A-Sources of Funds'!$J$35/12,12,D86/12,C99))</f>
        <v/>
      </c>
      <c r="E99" s="1568" t="str">
        <f>IF('Part III A-Sources of Funds'!$H$35="","",-FV('Part III A-Sources of Funds'!$J$35/12,12,E86/12,D99))</f>
        <v/>
      </c>
      <c r="F99" s="1568" t="str">
        <f>IF('Part III A-Sources of Funds'!$H$35="","",-FV('Part III A-Sources of Funds'!$J$35/12,12,F86/12,E99))</f>
        <v/>
      </c>
      <c r="G99" s="1568" t="str">
        <f>IF('Part III A-Sources of Funds'!$H$35="","",-FV('Part III A-Sources of Funds'!$J$35/12,12,G86/12,F99))</f>
        <v/>
      </c>
      <c r="H99" s="1568" t="str">
        <f>IF('Part III A-Sources of Funds'!$H$35="","",-FV('Part III A-Sources of Funds'!$J$35/12,12,H86/12,G99))</f>
        <v/>
      </c>
      <c r="I99" s="1568" t="str">
        <f>IF('Part III A-Sources of Funds'!$H$35="","",-FV('Part III A-Sources of Funds'!$J$35/12,12,I86/12,H99))</f>
        <v/>
      </c>
      <c r="J99" s="1568" t="str">
        <f>IF('Part III A-Sources of Funds'!$H$35="","",-FV('Part III A-Sources of Funds'!$J$35/12,12,J86/12,I99))</f>
        <v/>
      </c>
      <c r="K99" s="1568" t="str">
        <f>IF('Part III A-Sources of Funds'!$H$35="","",-FV('Part III A-Sources of Funds'!$J$35/12,12,K86/12,J99))</f>
        <v/>
      </c>
      <c r="M99" s="1462"/>
      <c r="N99" s="1463"/>
    </row>
    <row r="100" spans="1:14" ht="13.15" customHeight="1">
      <c r="A100" s="678" t="s">
        <v>3652</v>
      </c>
      <c r="B100" s="1568">
        <f>'Part III A-Sources of Funds'!$H$36</f>
        <v>0</v>
      </c>
      <c r="C100" s="1568">
        <f>B100</f>
        <v>0</v>
      </c>
      <c r="D100" s="1568">
        <f t="shared" ref="D100:K100" si="45">C100</f>
        <v>0</v>
      </c>
      <c r="E100" s="1568">
        <f t="shared" si="45"/>
        <v>0</v>
      </c>
      <c r="F100" s="1568">
        <f t="shared" si="45"/>
        <v>0</v>
      </c>
      <c r="G100" s="1568">
        <f t="shared" si="45"/>
        <v>0</v>
      </c>
      <c r="H100" s="1568">
        <f t="shared" si="45"/>
        <v>0</v>
      </c>
      <c r="I100" s="1568">
        <f t="shared" si="45"/>
        <v>0</v>
      </c>
      <c r="J100" s="1568">
        <f t="shared" si="45"/>
        <v>0</v>
      </c>
      <c r="K100" s="1568">
        <f t="shared" si="45"/>
        <v>0</v>
      </c>
      <c r="M100" s="1462"/>
      <c r="N100" s="1463"/>
    </row>
    <row r="101" spans="1:14" ht="13.15" customHeight="1">
      <c r="A101" s="29" t="s">
        <v>1776</v>
      </c>
      <c r="B101" s="1572">
        <f>IF('Part III A-Sources of Funds'!$H$37="","",-FV('Part III A-Sources of Funds'!$J$37/12,12,B89/12,K71))</f>
        <v>0</v>
      </c>
      <c r="C101" s="1572">
        <f>IF('Part III A-Sources of Funds'!$H$37="","",-FV('Part III A-Sources of Funds'!$J$37/12,12,C89/12,B101))</f>
        <v>0</v>
      </c>
      <c r="D101" s="1572">
        <f>IF('Part III A-Sources of Funds'!$H$37="","",-FV('Part III A-Sources of Funds'!$J$37/12,12,D89/12,C101))</f>
        <v>0</v>
      </c>
      <c r="E101" s="1572">
        <f>IF('Part III A-Sources of Funds'!$H$37="","",-FV('Part III A-Sources of Funds'!$J$37/12,12,E89/12,D101))</f>
        <v>0</v>
      </c>
      <c r="F101" s="1572">
        <f>IF('Part III A-Sources of Funds'!$H$37="","",-FV('Part III A-Sources of Funds'!$J$37/12,12,F89/12,E101))</f>
        <v>0</v>
      </c>
      <c r="G101" s="1572">
        <f>IF('Part III A-Sources of Funds'!$H$37="","",-FV('Part III A-Sources of Funds'!$J$37/12,12,G89/12,F101))</f>
        <v>0</v>
      </c>
      <c r="H101" s="1572">
        <f>IF('Part III A-Sources of Funds'!$H$37="","",-FV('Part III A-Sources of Funds'!$J$37/12,12,H89/12,G101))</f>
        <v>0</v>
      </c>
      <c r="I101" s="1572">
        <f>IF('Part III A-Sources of Funds'!$H$37="","",-FV('Part III A-Sources of Funds'!$J$37/12,12,I89/12,H101))</f>
        <v>0</v>
      </c>
      <c r="J101" s="1572">
        <f>IF('Part III A-Sources of Funds'!$H$37="","",-FV('Part III A-Sources of Funds'!$J$37/12,12,J89/12,I101))</f>
        <v>0</v>
      </c>
      <c r="K101" s="1572">
        <f>IF('Part III A-Sources of Funds'!$H$37="","",-FV('Part III A-Sources of Funds'!$J$37/12,12,K89/12,J101))</f>
        <v>0</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t="s">
        <v>4086</v>
      </c>
      <c r="B106" s="1573"/>
      <c r="C106" s="1573"/>
      <c r="D106" s="1573"/>
      <c r="E106" s="1573"/>
      <c r="F106" s="1574"/>
      <c r="G106" s="1363"/>
      <c r="H106" s="1573"/>
      <c r="I106" s="1573"/>
      <c r="J106" s="1573"/>
      <c r="K106" s="1574"/>
      <c r="M106" s="952" t="s">
        <v>3965</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disablePrompts="1"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P271" sqref="P271"/>
      <selection pane="bottomLeft"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2012-047 Magnolia Pointe Apartments, Montezuma, Macon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2710</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2913</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2900</v>
      </c>
      <c r="B15" s="1134"/>
      <c r="C15" s="1134"/>
      <c r="D15" s="1134"/>
      <c r="E15" s="1134"/>
      <c r="F15" s="1134"/>
      <c r="G15" s="1134"/>
      <c r="H15" s="1134"/>
      <c r="I15" s="1134"/>
      <c r="J15" s="1134"/>
      <c r="K15" s="1134"/>
      <c r="L15" s="1134"/>
      <c r="M15" s="1134"/>
      <c r="N15" s="1134"/>
      <c r="O15" s="1134"/>
      <c r="P15" s="1134"/>
      <c r="Q15" s="1135"/>
      <c r="R15" s="886" t="s">
        <v>2913</v>
      </c>
      <c r="S15" s="886"/>
    </row>
    <row r="16" spans="1:32" ht="24.6" customHeight="1">
      <c r="A16" s="1133" t="s">
        <v>2901</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2902</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2903</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2904</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2905</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2906</v>
      </c>
      <c r="B21" s="1134"/>
      <c r="C21" s="1134"/>
      <c r="D21" s="1134"/>
      <c r="E21" s="1134"/>
      <c r="F21" s="1134"/>
      <c r="G21" s="1134"/>
      <c r="H21" s="1134"/>
      <c r="I21" s="1134"/>
      <c r="J21" s="1134"/>
      <c r="K21" s="1134"/>
      <c r="L21" s="1134"/>
      <c r="M21" s="1134"/>
      <c r="N21" s="1134"/>
      <c r="O21" s="1134"/>
      <c r="P21" s="1134"/>
      <c r="Q21" s="1135"/>
    </row>
    <row r="22" spans="1:19" ht="24.6" customHeight="1">
      <c r="A22" s="1133" t="s">
        <v>2907</v>
      </c>
      <c r="B22" s="1134"/>
      <c r="C22" s="1134"/>
      <c r="D22" s="1134"/>
      <c r="E22" s="1134"/>
      <c r="F22" s="1134"/>
      <c r="G22" s="1134"/>
      <c r="H22" s="1134"/>
      <c r="I22" s="1134"/>
      <c r="J22" s="1134"/>
      <c r="K22" s="1134"/>
      <c r="L22" s="1134"/>
      <c r="M22" s="1134"/>
      <c r="N22" s="1134"/>
      <c r="O22" s="1134"/>
      <c r="P22" s="1134"/>
      <c r="Q22" s="1135"/>
      <c r="R22" s="886" t="s">
        <v>2913</v>
      </c>
      <c r="S22" s="886"/>
    </row>
    <row r="23" spans="1:19" ht="24.6" customHeight="1">
      <c r="A23" s="1133" t="s">
        <v>2908</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2909</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2910</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2911</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2912</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3791</v>
      </c>
      <c r="C29" s="179"/>
      <c r="D29" s="115"/>
      <c r="E29" s="115"/>
      <c r="F29" s="115"/>
      <c r="G29" s="115"/>
      <c r="I29" s="180"/>
      <c r="J29" s="180"/>
      <c r="K29" s="180"/>
      <c r="L29" s="851"/>
      <c r="M29" s="851"/>
      <c r="O29" s="181" t="s">
        <v>2740</v>
      </c>
      <c r="P29" s="1116"/>
      <c r="Q29" s="1117"/>
    </row>
    <row r="30" spans="1:19" ht="3" customHeight="1"/>
    <row r="31" spans="1:19" ht="12" customHeight="1">
      <c r="B31" s="192" t="s">
        <v>2863</v>
      </c>
      <c r="C31" s="62" t="s">
        <v>3869</v>
      </c>
      <c r="E31" s="38"/>
      <c r="F31" s="38"/>
      <c r="G31" s="38"/>
      <c r="H31" s="38"/>
      <c r="I31" s="50"/>
      <c r="J31" s="40"/>
      <c r="K31" s="50"/>
      <c r="L31" s="40"/>
      <c r="M31" s="40"/>
      <c r="O31" s="79" t="s">
        <v>849</v>
      </c>
      <c r="P31" s="1575" t="s">
        <v>3978</v>
      </c>
      <c r="Q31" s="232"/>
    </row>
    <row r="32" spans="1:19" ht="12" customHeight="1">
      <c r="B32" s="55" t="s">
        <v>2866</v>
      </c>
      <c r="C32" s="62" t="s">
        <v>994</v>
      </c>
      <c r="E32" s="38"/>
      <c r="F32" s="38"/>
      <c r="G32" s="38"/>
      <c r="H32" s="38"/>
      <c r="J32" s="1576" t="s">
        <v>3051</v>
      </c>
      <c r="K32" s="1577"/>
      <c r="L32" s="1577"/>
      <c r="M32" s="1577"/>
      <c r="N32" s="1578"/>
      <c r="O32" s="79"/>
      <c r="P32" s="79"/>
      <c r="Q32" s="79"/>
    </row>
    <row r="33" spans="1:31" ht="11.25" customHeight="1">
      <c r="B33" s="80" t="s">
        <v>2738</v>
      </c>
      <c r="C33" s="80"/>
      <c r="D33" s="80"/>
      <c r="E33" s="80"/>
      <c r="F33" s="80"/>
      <c r="G33" s="180"/>
      <c r="H33" s="180"/>
      <c r="I33" s="180"/>
      <c r="J33" s="180"/>
      <c r="K33" s="851"/>
      <c r="L33" s="851"/>
      <c r="M33" s="851"/>
      <c r="N33" s="851"/>
      <c r="O33" s="851"/>
      <c r="P33" s="60"/>
      <c r="S33" s="215"/>
      <c r="T33" s="215"/>
    </row>
    <row r="34" spans="1:31" ht="12" customHeight="1">
      <c r="A34" s="1579" t="s">
        <v>4032</v>
      </c>
      <c r="B34" s="1580"/>
      <c r="C34" s="1580"/>
      <c r="D34" s="1580"/>
      <c r="E34" s="1580"/>
      <c r="F34" s="1580"/>
      <c r="G34" s="1580"/>
      <c r="H34" s="1580"/>
      <c r="I34" s="1580"/>
      <c r="J34" s="1580"/>
      <c r="K34" s="1580"/>
      <c r="L34" s="1580"/>
      <c r="M34" s="1580"/>
      <c r="N34" s="1580"/>
      <c r="O34" s="1580"/>
      <c r="P34" s="1580"/>
      <c r="Q34" s="1581"/>
      <c r="R34" s="736" t="s">
        <v>1806</v>
      </c>
      <c r="S34" s="737"/>
      <c r="T34" s="215"/>
      <c r="U34" s="186"/>
      <c r="V34" s="186"/>
      <c r="W34" s="186"/>
      <c r="X34" s="186"/>
      <c r="Y34" s="186"/>
      <c r="Z34" s="186"/>
      <c r="AA34" s="186"/>
      <c r="AB34" s="186"/>
      <c r="AC34" s="186"/>
      <c r="AD34" s="186"/>
      <c r="AE34" s="805"/>
    </row>
    <row r="35" spans="1:31" ht="11.25" customHeight="1">
      <c r="B35" s="187" t="s">
        <v>2739</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2740</v>
      </c>
      <c r="P41" s="1116"/>
      <c r="Q41" s="1117"/>
    </row>
    <row r="42" spans="1:31" ht="3" customHeight="1"/>
    <row r="43" spans="1:31" ht="11.45" customHeight="1">
      <c r="A43" s="189"/>
      <c r="C43" s="190" t="s">
        <v>108</v>
      </c>
      <c r="D43" s="190"/>
      <c r="E43" s="190"/>
      <c r="F43" s="190"/>
      <c r="G43" s="190"/>
      <c r="H43" s="190"/>
      <c r="J43" s="1582" t="str">
        <f>'Part I-Project Information'!$H$65</f>
        <v>Family</v>
      </c>
      <c r="K43" s="1583"/>
      <c r="L43" s="1584"/>
      <c r="M43" s="855"/>
      <c r="N43" s="855"/>
      <c r="P43" s="1575" t="s">
        <v>3976</v>
      </c>
      <c r="Q43" s="232"/>
    </row>
    <row r="44" spans="1:31" ht="11.25" customHeight="1">
      <c r="B44" s="127" t="s">
        <v>2738</v>
      </c>
      <c r="D44" s="127"/>
      <c r="E44" s="127"/>
      <c r="F44" s="127"/>
      <c r="G44" s="127"/>
      <c r="H44" s="48"/>
      <c r="I44" s="180"/>
      <c r="J44" s="180"/>
      <c r="K44" s="187" t="s">
        <v>2739</v>
      </c>
      <c r="L44" s="851"/>
      <c r="M44" s="851"/>
      <c r="N44" s="851"/>
      <c r="O44" s="851"/>
      <c r="P44" s="851"/>
      <c r="Q44" s="60"/>
    </row>
    <row r="45" spans="1:31" ht="11.45" customHeight="1">
      <c r="A45" s="1579" t="s">
        <v>4033</v>
      </c>
      <c r="B45" s="1580"/>
      <c r="C45" s="1580"/>
      <c r="D45" s="1580"/>
      <c r="E45" s="1580"/>
      <c r="F45" s="1580"/>
      <c r="G45" s="1580"/>
      <c r="H45" s="1580"/>
      <c r="I45" s="1580"/>
      <c r="J45" s="1581"/>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3792</v>
      </c>
      <c r="C47" s="154"/>
      <c r="D47" s="855"/>
      <c r="E47" s="855"/>
      <c r="F47" s="855"/>
      <c r="G47" s="855"/>
      <c r="H47" s="855"/>
      <c r="I47" s="855"/>
      <c r="J47" s="855"/>
      <c r="K47" s="855"/>
      <c r="L47" s="855"/>
      <c r="M47" s="855"/>
      <c r="O47" s="181" t="s">
        <v>2740</v>
      </c>
      <c r="P47" s="1116"/>
      <c r="Q47" s="1117"/>
    </row>
    <row r="48" spans="1:31" ht="3" customHeight="1"/>
    <row r="49" spans="1:31" ht="12.6" customHeight="1">
      <c r="B49" s="192" t="s">
        <v>2863</v>
      </c>
      <c r="C49" s="1160" t="s">
        <v>373</v>
      </c>
      <c r="D49" s="1160"/>
      <c r="E49" s="1160"/>
      <c r="F49" s="1160"/>
      <c r="G49" s="1160"/>
      <c r="H49" s="1160"/>
      <c r="I49" s="1160"/>
      <c r="J49" s="1160"/>
      <c r="K49" s="1160"/>
      <c r="L49" s="1160"/>
      <c r="M49" s="1160"/>
      <c r="O49" s="193"/>
      <c r="P49" s="1575" t="s">
        <v>4034</v>
      </c>
      <c r="Q49" s="232"/>
    </row>
    <row r="50" spans="1:31" ht="12" customHeight="1">
      <c r="B50" s="55" t="s">
        <v>2866</v>
      </c>
      <c r="C50" s="38" t="s">
        <v>3890</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75" t="s">
        <v>3976</v>
      </c>
      <c r="Q51" s="232"/>
    </row>
    <row r="52" spans="1:31" ht="10.9" customHeight="1">
      <c r="A52" s="194"/>
      <c r="B52" s="50"/>
      <c r="C52" s="79" t="s">
        <v>2591</v>
      </c>
      <c r="D52" s="38" t="s">
        <v>2669</v>
      </c>
      <c r="E52" s="850"/>
      <c r="F52" s="850"/>
      <c r="G52" s="850"/>
      <c r="H52" s="40"/>
      <c r="I52" s="50"/>
      <c r="J52" s="50"/>
      <c r="O52" s="79" t="s">
        <v>2591</v>
      </c>
      <c r="P52" s="1575" t="s">
        <v>3976</v>
      </c>
      <c r="Q52" s="232"/>
    </row>
    <row r="53" spans="1:31" ht="10.9" customHeight="1">
      <c r="A53" s="194"/>
      <c r="B53" s="50"/>
      <c r="C53" s="79" t="s">
        <v>2592</v>
      </c>
      <c r="D53" s="38" t="s">
        <v>374</v>
      </c>
      <c r="E53" s="850"/>
      <c r="J53" s="79"/>
      <c r="K53" s="79" t="s">
        <v>2592</v>
      </c>
      <c r="L53" s="1585"/>
      <c r="M53" s="1586"/>
      <c r="N53" s="1586"/>
      <c r="O53" s="1586"/>
      <c r="P53" s="1587"/>
      <c r="Q53" s="232"/>
    </row>
    <row r="54" spans="1:31" ht="11.25" customHeight="1">
      <c r="B54" s="127" t="s">
        <v>2738</v>
      </c>
      <c r="D54" s="127"/>
      <c r="E54" s="127"/>
      <c r="F54" s="127"/>
      <c r="G54" s="127"/>
      <c r="H54" s="48"/>
      <c r="I54" s="180"/>
      <c r="J54" s="180"/>
      <c r="K54" s="180"/>
      <c r="L54" s="851"/>
      <c r="M54" s="851"/>
      <c r="N54" s="851"/>
      <c r="O54" s="851"/>
      <c r="P54" s="851"/>
      <c r="Q54" s="60"/>
    </row>
    <row r="55" spans="1:31" ht="12" customHeight="1">
      <c r="A55" s="1579" t="s">
        <v>4087</v>
      </c>
      <c r="B55" s="1580"/>
      <c r="C55" s="1580"/>
      <c r="D55" s="1580"/>
      <c r="E55" s="1580"/>
      <c r="F55" s="1580"/>
      <c r="G55" s="1580"/>
      <c r="H55" s="1580"/>
      <c r="I55" s="1580"/>
      <c r="J55" s="1580"/>
      <c r="K55" s="1580"/>
      <c r="L55" s="1580"/>
      <c r="M55" s="1580"/>
      <c r="N55" s="1580"/>
      <c r="O55" s="1580"/>
      <c r="P55" s="1580"/>
      <c r="Q55" s="1581"/>
      <c r="U55" s="186"/>
      <c r="V55" s="186"/>
      <c r="W55" s="186"/>
      <c r="X55" s="186"/>
      <c r="Y55" s="186"/>
      <c r="Z55" s="186"/>
      <c r="AA55" s="186"/>
      <c r="AB55" s="186"/>
      <c r="AC55" s="186"/>
      <c r="AD55" s="186"/>
      <c r="AE55" s="805"/>
    </row>
    <row r="56" spans="1:31" ht="11.25" customHeight="1">
      <c r="B56" s="187" t="s">
        <v>2739</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3793</v>
      </c>
      <c r="C59" s="856"/>
      <c r="D59" s="855"/>
      <c r="E59" s="855"/>
      <c r="F59" s="855"/>
      <c r="G59" s="855"/>
      <c r="H59" s="855"/>
      <c r="I59" s="855"/>
      <c r="J59" s="855"/>
      <c r="K59" s="855"/>
      <c r="O59" s="181" t="s">
        <v>2740</v>
      </c>
      <c r="P59" s="1116"/>
      <c r="Q59" s="1117"/>
    </row>
    <row r="60" spans="1:31" ht="3" customHeight="1"/>
    <row r="61" spans="1:31" ht="12" customHeight="1">
      <c r="B61" s="55" t="s">
        <v>2863</v>
      </c>
      <c r="C61" s="195" t="s">
        <v>3463</v>
      </c>
      <c r="D61" s="183"/>
      <c r="E61" s="183"/>
      <c r="F61" s="183"/>
      <c r="G61" s="183"/>
      <c r="H61" s="183"/>
      <c r="I61" s="50"/>
      <c r="J61" s="50"/>
      <c r="K61" s="50"/>
      <c r="L61" s="803" t="s">
        <v>2863</v>
      </c>
      <c r="M61" s="1585" t="s">
        <v>4019</v>
      </c>
      <c r="N61" s="1586"/>
      <c r="O61" s="1586"/>
      <c r="P61" s="1588"/>
      <c r="Q61" s="232"/>
    </row>
    <row r="62" spans="1:31" ht="12" customHeight="1">
      <c r="B62" s="55" t="s">
        <v>2866</v>
      </c>
      <c r="C62" s="62" t="s">
        <v>2919</v>
      </c>
      <c r="D62" s="183"/>
      <c r="E62" s="183"/>
      <c r="F62" s="183"/>
      <c r="L62" s="803" t="s">
        <v>2866</v>
      </c>
      <c r="M62" s="1585" t="s">
        <v>4035</v>
      </c>
      <c r="N62" s="1586"/>
      <c r="O62" s="1586"/>
      <c r="P62" s="1588"/>
      <c r="Q62" s="232"/>
    </row>
    <row r="63" spans="1:31" ht="12" customHeight="1">
      <c r="B63" s="55" t="s">
        <v>1145</v>
      </c>
      <c r="C63" s="62" t="s">
        <v>3464</v>
      </c>
      <c r="D63" s="183"/>
      <c r="E63" s="183"/>
      <c r="F63" s="183"/>
      <c r="L63" s="803" t="s">
        <v>1145</v>
      </c>
      <c r="M63" s="1585" t="s">
        <v>4035</v>
      </c>
      <c r="N63" s="1586"/>
      <c r="O63" s="1586"/>
      <c r="P63" s="1588"/>
      <c r="Q63" s="352"/>
    </row>
    <row r="64" spans="1:31" ht="12" customHeight="1">
      <c r="B64" s="55" t="s">
        <v>3005</v>
      </c>
      <c r="C64" s="62" t="s">
        <v>3465</v>
      </c>
      <c r="D64" s="183"/>
      <c r="E64" s="183"/>
      <c r="F64" s="183"/>
      <c r="L64" s="803" t="s">
        <v>3005</v>
      </c>
      <c r="M64" s="1589">
        <v>0.216</v>
      </c>
      <c r="N64" s="1586"/>
      <c r="O64" s="1586"/>
      <c r="P64" s="1588"/>
      <c r="Q64" s="232"/>
    </row>
    <row r="65" spans="1:31" ht="22.15" customHeight="1">
      <c r="B65" s="192" t="s">
        <v>2588</v>
      </c>
      <c r="C65" s="1125" t="s">
        <v>3870</v>
      </c>
      <c r="D65" s="1125"/>
      <c r="E65" s="1125"/>
      <c r="F65" s="1125"/>
      <c r="G65" s="1125"/>
      <c r="H65" s="1125"/>
      <c r="I65" s="1125"/>
      <c r="J65" s="1125"/>
      <c r="K65" s="1125"/>
      <c r="L65" s="1125"/>
      <c r="M65" s="850"/>
      <c r="O65" s="803" t="s">
        <v>2588</v>
      </c>
      <c r="P65" s="1575" t="s">
        <v>3978</v>
      </c>
      <c r="Q65" s="232"/>
    </row>
    <row r="66" spans="1:31" ht="12" customHeight="1">
      <c r="B66" s="55"/>
      <c r="C66" s="62"/>
      <c r="D66" s="823" t="s">
        <v>3352</v>
      </c>
      <c r="E66" s="38" t="s">
        <v>874</v>
      </c>
      <c r="F66" s="38"/>
      <c r="H66" s="62"/>
      <c r="I66" s="823" t="s">
        <v>3352</v>
      </c>
      <c r="J66" s="38" t="s">
        <v>874</v>
      </c>
      <c r="K66" s="38"/>
      <c r="M66" s="62"/>
      <c r="N66" s="823" t="s">
        <v>3352</v>
      </c>
      <c r="O66" s="38" t="s">
        <v>874</v>
      </c>
      <c r="P66" s="38"/>
      <c r="Q66" s="803"/>
    </row>
    <row r="67" spans="1:31" ht="12" customHeight="1">
      <c r="B67" s="55"/>
      <c r="C67" s="62">
        <v>1</v>
      </c>
      <c r="D67" s="1590"/>
      <c r="E67" s="1591"/>
      <c r="F67" s="1591"/>
      <c r="G67" s="1591"/>
      <c r="H67" s="62">
        <v>3</v>
      </c>
      <c r="I67" s="1590"/>
      <c r="J67" s="1591"/>
      <c r="K67" s="1591"/>
      <c r="L67" s="1591"/>
      <c r="M67" s="62">
        <v>5</v>
      </c>
      <c r="N67" s="1590"/>
      <c r="O67" s="1591"/>
      <c r="P67" s="1591"/>
      <c r="Q67" s="1591"/>
    </row>
    <row r="68" spans="1:31" ht="12" customHeight="1">
      <c r="B68" s="55"/>
      <c r="C68" s="62">
        <v>2</v>
      </c>
      <c r="D68" s="1590"/>
      <c r="E68" s="1591"/>
      <c r="F68" s="1591"/>
      <c r="G68" s="1591"/>
      <c r="H68" s="62">
        <v>4</v>
      </c>
      <c r="I68" s="1590"/>
      <c r="J68" s="1591"/>
      <c r="K68" s="1591"/>
      <c r="L68" s="1591"/>
      <c r="M68" s="62">
        <v>6</v>
      </c>
      <c r="N68" s="1590"/>
      <c r="O68" s="1591"/>
      <c r="P68" s="1591"/>
      <c r="Q68" s="1591"/>
    </row>
    <row r="69" spans="1:31" ht="12" customHeight="1">
      <c r="B69" s="55" t="s">
        <v>2589</v>
      </c>
      <c r="C69" s="62" t="s">
        <v>0</v>
      </c>
      <c r="D69" s="183"/>
      <c r="E69" s="183"/>
      <c r="F69" s="183"/>
      <c r="G69" s="183"/>
      <c r="H69" s="183"/>
      <c r="I69" s="50"/>
      <c r="J69" s="50"/>
      <c r="K69" s="183"/>
      <c r="L69" s="850"/>
      <c r="M69" s="850"/>
      <c r="O69" s="803" t="s">
        <v>2589</v>
      </c>
      <c r="P69" s="1592" t="s">
        <v>3976</v>
      </c>
      <c r="Q69" s="352"/>
    </row>
    <row r="70" spans="1:31" ht="11.25" customHeight="1">
      <c r="B70" s="191" t="s">
        <v>2738</v>
      </c>
      <c r="D70" s="191"/>
      <c r="E70" s="191"/>
      <c r="F70" s="191"/>
      <c r="G70" s="191"/>
      <c r="H70" s="48"/>
      <c r="I70" s="180"/>
      <c r="J70" s="180"/>
      <c r="K70" s="180"/>
      <c r="L70" s="851"/>
      <c r="M70" s="851"/>
      <c r="N70" s="851"/>
      <c r="O70" s="851"/>
      <c r="P70" s="851"/>
      <c r="Q70" s="60"/>
    </row>
    <row r="71" spans="1:31" ht="22.9" customHeight="1">
      <c r="A71" s="1579" t="s">
        <v>4088</v>
      </c>
      <c r="B71" s="1580"/>
      <c r="C71" s="1580"/>
      <c r="D71" s="1580"/>
      <c r="E71" s="1580"/>
      <c r="F71" s="1580"/>
      <c r="G71" s="1580"/>
      <c r="H71" s="1580"/>
      <c r="I71" s="1580"/>
      <c r="J71" s="1580"/>
      <c r="K71" s="1580"/>
      <c r="L71" s="1580"/>
      <c r="M71" s="1580"/>
      <c r="N71" s="1580"/>
      <c r="O71" s="1580"/>
      <c r="P71" s="1580"/>
      <c r="Q71" s="1581"/>
      <c r="U71" s="186"/>
      <c r="V71" s="186"/>
      <c r="W71" s="186"/>
      <c r="X71" s="186"/>
      <c r="Y71" s="186"/>
      <c r="Z71" s="186"/>
      <c r="AA71" s="186"/>
      <c r="AB71" s="186"/>
      <c r="AC71" s="186"/>
      <c r="AD71" s="186"/>
      <c r="AE71" s="805"/>
    </row>
    <row r="72" spans="1:31" ht="11.25" customHeight="1">
      <c r="B72" s="187" t="s">
        <v>2739</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3794</v>
      </c>
      <c r="C74" s="856"/>
      <c r="D74" s="855"/>
      <c r="E74" s="855"/>
      <c r="F74" s="855"/>
      <c r="G74" s="855"/>
      <c r="H74" s="855"/>
      <c r="I74" s="855"/>
      <c r="J74" s="855"/>
      <c r="K74" s="855"/>
      <c r="L74" s="855"/>
      <c r="M74" s="855"/>
      <c r="O74" s="181" t="s">
        <v>2740</v>
      </c>
      <c r="P74" s="1116"/>
      <c r="Q74" s="1117"/>
    </row>
    <row r="75" spans="1:31" ht="3" customHeight="1"/>
    <row r="76" spans="1:31" ht="12" customHeight="1">
      <c r="B76" s="55" t="s">
        <v>2863</v>
      </c>
      <c r="C76" s="62" t="s">
        <v>684</v>
      </c>
      <c r="D76" s="62"/>
      <c r="E76" s="62"/>
      <c r="F76" s="62"/>
      <c r="G76" s="62"/>
      <c r="H76" s="62"/>
      <c r="I76" s="62"/>
      <c r="J76" s="62"/>
      <c r="K76" s="62"/>
      <c r="L76" s="62"/>
      <c r="M76" s="62"/>
      <c r="O76" s="803" t="s">
        <v>2863</v>
      </c>
      <c r="P76" s="1575" t="s">
        <v>3978</v>
      </c>
      <c r="Q76" s="232"/>
    </row>
    <row r="77" spans="1:31" ht="12" customHeight="1">
      <c r="B77" s="55" t="s">
        <v>2866</v>
      </c>
      <c r="C77" s="62" t="s">
        <v>1871</v>
      </c>
      <c r="D77" s="62"/>
      <c r="E77" s="62"/>
      <c r="F77" s="62"/>
      <c r="G77" s="62"/>
      <c r="H77" s="62"/>
      <c r="I77" s="62"/>
      <c r="J77" s="62"/>
      <c r="K77" s="62"/>
      <c r="L77" s="38"/>
      <c r="M77" s="38"/>
      <c r="O77" s="803" t="s">
        <v>2866</v>
      </c>
      <c r="P77" s="1575" t="s">
        <v>3976</v>
      </c>
      <c r="Q77" s="232"/>
    </row>
    <row r="78" spans="1:31" ht="12" customHeight="1">
      <c r="A78" s="182"/>
      <c r="B78" s="44"/>
      <c r="D78" s="47" t="s">
        <v>790</v>
      </c>
      <c r="E78" s="50"/>
      <c r="F78" s="50"/>
      <c r="G78" s="50"/>
      <c r="H78" s="50"/>
      <c r="I78" s="50"/>
      <c r="K78" s="47" t="s">
        <v>791</v>
      </c>
      <c r="M78" s="1593" t="s">
        <v>4036</v>
      </c>
      <c r="N78" s="1594"/>
      <c r="O78" s="1594"/>
      <c r="P78" s="1595"/>
      <c r="Q78" s="232"/>
    </row>
    <row r="79" spans="1:31" ht="22.9" customHeight="1">
      <c r="A79" s="194"/>
      <c r="B79" s="180"/>
      <c r="C79" s="201" t="s">
        <v>2590</v>
      </c>
      <c r="D79" s="1096" t="s">
        <v>638</v>
      </c>
      <c r="E79" s="1596"/>
      <c r="F79" s="1596"/>
      <c r="G79" s="1596"/>
      <c r="H79" s="1596"/>
      <c r="I79" s="1596"/>
      <c r="J79" s="1596"/>
      <c r="K79" s="1596"/>
      <c r="L79" s="1596"/>
      <c r="M79" s="1596"/>
      <c r="N79" s="1596"/>
      <c r="O79" s="201" t="s">
        <v>2590</v>
      </c>
      <c r="P79" s="1575" t="s">
        <v>3976</v>
      </c>
      <c r="Q79" s="232"/>
    </row>
    <row r="80" spans="1:31" ht="12" customHeight="1">
      <c r="A80" s="194"/>
      <c r="B80" s="180"/>
      <c r="C80" s="79" t="s">
        <v>2591</v>
      </c>
      <c r="D80" s="62" t="s">
        <v>171</v>
      </c>
      <c r="E80" s="62"/>
      <c r="F80" s="62"/>
      <c r="G80" s="62"/>
      <c r="H80" s="62"/>
      <c r="I80" s="62"/>
      <c r="J80" s="62"/>
      <c r="K80" s="62"/>
      <c r="L80" s="62"/>
      <c r="M80" s="62"/>
      <c r="O80" s="79" t="s">
        <v>2591</v>
      </c>
      <c r="P80" s="1575" t="s">
        <v>3978</v>
      </c>
      <c r="Q80" s="232"/>
    </row>
    <row r="81" spans="1:32" s="182" customFormat="1" ht="24.75" customHeight="1">
      <c r="A81" s="194"/>
      <c r="B81" s="711"/>
      <c r="C81" s="201" t="s">
        <v>2592</v>
      </c>
      <c r="D81" s="1125" t="s">
        <v>3945</v>
      </c>
      <c r="E81" s="1125"/>
      <c r="F81" s="1125"/>
      <c r="G81" s="1125"/>
      <c r="H81" s="1125"/>
      <c r="I81" s="1125"/>
      <c r="J81" s="1125"/>
      <c r="K81" s="1125"/>
      <c r="L81" s="1125"/>
      <c r="M81" s="1125"/>
      <c r="N81" s="1125"/>
      <c r="O81" s="201" t="s">
        <v>2592</v>
      </c>
      <c r="P81" s="1597" t="s">
        <v>3978</v>
      </c>
      <c r="Q81" s="354"/>
      <c r="AE81" s="806"/>
      <c r="AF81" s="806"/>
    </row>
    <row r="82" spans="1:32" ht="12" customHeight="1">
      <c r="B82" s="55" t="s">
        <v>1145</v>
      </c>
      <c r="C82" s="62" t="s">
        <v>173</v>
      </c>
      <c r="D82" s="62"/>
      <c r="E82" s="62"/>
      <c r="F82" s="62"/>
      <c r="G82" s="62"/>
      <c r="H82" s="62"/>
      <c r="I82" s="62"/>
      <c r="J82" s="62"/>
      <c r="K82" s="62"/>
      <c r="L82" s="62"/>
      <c r="M82" s="62"/>
      <c r="O82" s="803" t="s">
        <v>1145</v>
      </c>
      <c r="P82" s="1575" t="s">
        <v>3978</v>
      </c>
      <c r="Q82" s="232"/>
    </row>
    <row r="83" spans="1:32" ht="12" customHeight="1">
      <c r="B83" s="55" t="s">
        <v>3005</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5" t="s">
        <v>3978</v>
      </c>
      <c r="Q84" s="232"/>
    </row>
    <row r="85" spans="1:32" ht="12" customHeight="1">
      <c r="B85" s="55"/>
      <c r="C85" s="79" t="s">
        <v>2591</v>
      </c>
      <c r="D85" s="62" t="s">
        <v>2011</v>
      </c>
      <c r="E85" s="62"/>
      <c r="F85" s="62"/>
      <c r="G85" s="62"/>
      <c r="H85" s="62"/>
      <c r="I85" s="62"/>
      <c r="J85" s="62"/>
      <c r="K85" s="62"/>
      <c r="L85" s="38"/>
      <c r="M85" s="38"/>
      <c r="O85" s="79" t="s">
        <v>2591</v>
      </c>
      <c r="P85" s="1575" t="s">
        <v>3978</v>
      </c>
      <c r="Q85" s="232"/>
    </row>
    <row r="86" spans="1:32" ht="12" customHeight="1">
      <c r="B86" s="55"/>
      <c r="C86" s="79" t="s">
        <v>2592</v>
      </c>
      <c r="D86" s="62" t="s">
        <v>2012</v>
      </c>
      <c r="E86" s="62"/>
      <c r="F86" s="62"/>
      <c r="G86" s="62"/>
      <c r="H86" s="62"/>
      <c r="I86" s="62"/>
      <c r="J86" s="62"/>
      <c r="K86" s="62"/>
      <c r="L86" s="38"/>
      <c r="M86" s="38"/>
      <c r="O86" s="79" t="s">
        <v>2592</v>
      </c>
      <c r="P86" s="1575" t="s">
        <v>3978</v>
      </c>
      <c r="Q86" s="232"/>
    </row>
    <row r="87" spans="1:32" ht="11.25" customHeight="1">
      <c r="B87" s="191" t="s">
        <v>2738</v>
      </c>
      <c r="D87" s="191"/>
      <c r="E87" s="191"/>
      <c r="F87" s="191"/>
      <c r="G87" s="191"/>
      <c r="H87" s="48"/>
      <c r="I87" s="180"/>
      <c r="J87" s="180"/>
      <c r="K87" s="180"/>
      <c r="L87" s="851"/>
      <c r="M87" s="851"/>
      <c r="N87" s="851"/>
      <c r="O87" s="851"/>
      <c r="P87" s="851"/>
      <c r="Q87" s="60"/>
    </row>
    <row r="88" spans="1:32" ht="13.15" customHeight="1">
      <c r="A88" s="1579" t="s">
        <v>4067</v>
      </c>
      <c r="B88" s="1580"/>
      <c r="C88" s="1580"/>
      <c r="D88" s="1580"/>
      <c r="E88" s="1580"/>
      <c r="F88" s="1580"/>
      <c r="G88" s="1580"/>
      <c r="H88" s="1580"/>
      <c r="I88" s="1580"/>
      <c r="J88" s="1580"/>
      <c r="K88" s="1580"/>
      <c r="L88" s="1580"/>
      <c r="M88" s="1580"/>
      <c r="N88" s="1580"/>
      <c r="O88" s="1580"/>
      <c r="P88" s="1580"/>
      <c r="Q88" s="1581"/>
      <c r="U88" s="186"/>
      <c r="V88" s="186"/>
      <c r="W88" s="186"/>
      <c r="X88" s="186"/>
      <c r="Y88" s="186"/>
      <c r="Z88" s="186"/>
      <c r="AA88" s="186"/>
      <c r="AB88" s="186"/>
      <c r="AC88" s="186"/>
      <c r="AD88" s="186"/>
      <c r="AE88" s="805"/>
    </row>
    <row r="89" spans="1:32" ht="11.25" customHeight="1">
      <c r="B89" s="187" t="s">
        <v>2739</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3795</v>
      </c>
      <c r="C92" s="48"/>
      <c r="D92" s="855"/>
      <c r="E92" s="855"/>
      <c r="F92" s="855"/>
      <c r="G92" s="855"/>
      <c r="H92" s="855"/>
      <c r="I92" s="855"/>
      <c r="J92" s="855"/>
      <c r="K92" s="855"/>
      <c r="L92" s="855"/>
      <c r="M92" s="855"/>
      <c r="O92" s="181" t="s">
        <v>2740</v>
      </c>
      <c r="P92" s="1116"/>
      <c r="Q92" s="1117"/>
    </row>
    <row r="93" spans="1:32" ht="6.6" customHeight="1"/>
    <row r="94" spans="1:32" ht="12" customHeight="1">
      <c r="B94" s="55" t="s">
        <v>2863</v>
      </c>
      <c r="C94" s="62" t="s">
        <v>3937</v>
      </c>
      <c r="D94" s="183"/>
      <c r="E94" s="183"/>
      <c r="F94" s="183"/>
      <c r="G94" s="183"/>
      <c r="H94" s="183"/>
      <c r="I94" s="50"/>
      <c r="J94" s="50"/>
      <c r="K94" s="50"/>
      <c r="L94" s="803" t="s">
        <v>2863</v>
      </c>
      <c r="M94" s="1585" t="s">
        <v>4037</v>
      </c>
      <c r="N94" s="1586"/>
      <c r="O94" s="1586"/>
      <c r="P94" s="1587"/>
      <c r="Q94" s="232"/>
    </row>
    <row r="95" spans="1:32" ht="12" customHeight="1">
      <c r="B95" s="55" t="s">
        <v>2866</v>
      </c>
      <c r="C95" s="62" t="s">
        <v>2141</v>
      </c>
      <c r="D95" s="183"/>
      <c r="E95" s="183"/>
      <c r="F95" s="183"/>
      <c r="G95" s="183"/>
      <c r="H95" s="183"/>
      <c r="I95" s="50"/>
      <c r="J95" s="50"/>
      <c r="K95" s="183"/>
      <c r="L95" s="183"/>
      <c r="M95" s="850"/>
      <c r="O95" s="803" t="s">
        <v>2866</v>
      </c>
      <c r="P95" s="1575" t="s">
        <v>3978</v>
      </c>
      <c r="Q95" s="352"/>
    </row>
    <row r="96" spans="1:32" ht="12" customHeight="1">
      <c r="B96" s="55" t="s">
        <v>1145</v>
      </c>
      <c r="C96" s="62" t="s">
        <v>186</v>
      </c>
      <c r="D96" s="183"/>
      <c r="E96" s="183"/>
      <c r="F96" s="183"/>
      <c r="G96" s="183"/>
      <c r="H96" s="183"/>
      <c r="I96" s="50"/>
      <c r="J96" s="50"/>
      <c r="K96" s="183"/>
      <c r="L96" s="850"/>
      <c r="M96" s="850"/>
      <c r="O96" s="803" t="s">
        <v>1145</v>
      </c>
      <c r="P96" s="1575" t="s">
        <v>3976</v>
      </c>
      <c r="Q96" s="232"/>
    </row>
    <row r="97" spans="2:17" ht="12" customHeight="1">
      <c r="B97" s="55"/>
      <c r="C97" s="78" t="s">
        <v>2590</v>
      </c>
      <c r="D97" s="62" t="s">
        <v>3938</v>
      </c>
      <c r="E97" s="183"/>
      <c r="F97" s="183"/>
      <c r="G97" s="183"/>
      <c r="H97" s="183"/>
      <c r="I97" s="50"/>
      <c r="J97" s="50"/>
      <c r="K97" s="183"/>
      <c r="L97" s="79" t="s">
        <v>2590</v>
      </c>
      <c r="M97" s="1585" t="s">
        <v>4037</v>
      </c>
      <c r="N97" s="1586"/>
      <c r="O97" s="1586"/>
      <c r="P97" s="1587"/>
      <c r="Q97" s="352"/>
    </row>
    <row r="98" spans="2:17" ht="12" customHeight="1">
      <c r="B98" s="189"/>
      <c r="C98" s="79" t="s">
        <v>2591</v>
      </c>
      <c r="D98" s="44" t="s">
        <v>3645</v>
      </c>
      <c r="E98" s="50"/>
      <c r="F98" s="50"/>
      <c r="G98" s="50"/>
      <c r="H98" s="62"/>
      <c r="I98" s="50"/>
      <c r="J98" s="50"/>
      <c r="K98" s="183"/>
      <c r="L98" s="850"/>
      <c r="M98" s="850"/>
      <c r="O98" s="803" t="s">
        <v>2591</v>
      </c>
      <c r="P98" s="1592" t="s">
        <v>4068</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598" t="s">
        <v>4039</v>
      </c>
      <c r="E100" s="1599"/>
      <c r="F100" s="1599"/>
      <c r="G100" s="1599"/>
      <c r="H100" s="1599"/>
      <c r="I100" s="1599"/>
      <c r="J100" s="1599"/>
      <c r="K100" s="1599"/>
      <c r="L100" s="1599"/>
      <c r="M100" s="1599"/>
      <c r="N100" s="1599"/>
      <c r="O100" s="1600"/>
      <c r="P100" s="855"/>
      <c r="Q100" s="851"/>
    </row>
    <row r="101" spans="2:17" ht="12" customHeight="1">
      <c r="B101" s="55" t="s">
        <v>3005</v>
      </c>
      <c r="C101" s="62" t="s">
        <v>1815</v>
      </c>
      <c r="D101" s="183"/>
      <c r="E101" s="183"/>
      <c r="F101" s="183"/>
      <c r="G101" s="183"/>
      <c r="H101" s="183"/>
      <c r="I101" s="50"/>
      <c r="J101" s="50"/>
      <c r="K101" s="183"/>
      <c r="L101" s="850"/>
      <c r="M101" s="850"/>
      <c r="N101" s="850"/>
      <c r="O101" s="803" t="s">
        <v>3005</v>
      </c>
    </row>
    <row r="102" spans="2:17" ht="12" customHeight="1">
      <c r="B102" s="55"/>
      <c r="C102" s="79" t="s">
        <v>2590</v>
      </c>
      <c r="D102" s="62" t="s">
        <v>184</v>
      </c>
      <c r="E102" s="183"/>
      <c r="F102" s="183"/>
      <c r="G102" s="183"/>
      <c r="H102" s="183"/>
      <c r="I102" s="50"/>
      <c r="J102" s="50"/>
      <c r="K102" s="183"/>
      <c r="L102" s="850"/>
      <c r="M102" s="850"/>
      <c r="O102" s="79" t="s">
        <v>2590</v>
      </c>
      <c r="P102" s="1575" t="s">
        <v>3978</v>
      </c>
      <c r="Q102" s="232"/>
    </row>
    <row r="103" spans="2:17" ht="12" customHeight="1">
      <c r="B103" s="55"/>
      <c r="C103" s="79" t="s">
        <v>2591</v>
      </c>
      <c r="D103" s="62" t="s">
        <v>1816</v>
      </c>
      <c r="E103" s="183"/>
      <c r="F103" s="183"/>
      <c r="G103" s="183"/>
      <c r="H103" s="50"/>
      <c r="I103" s="50"/>
      <c r="J103" s="50"/>
      <c r="K103" s="183"/>
      <c r="L103" s="850"/>
      <c r="M103" s="850"/>
      <c r="O103" s="79" t="s">
        <v>2591</v>
      </c>
      <c r="P103" s="1592" t="s">
        <v>3978</v>
      </c>
      <c r="Q103" s="352"/>
    </row>
    <row r="104" spans="2:17" ht="12" customHeight="1">
      <c r="B104" s="55"/>
      <c r="C104" s="79"/>
      <c r="D104" s="62" t="s">
        <v>3765</v>
      </c>
      <c r="E104" s="728" t="s">
        <v>3420</v>
      </c>
      <c r="F104" s="62" t="s">
        <v>3766</v>
      </c>
      <c r="G104" s="50"/>
      <c r="H104" s="62"/>
      <c r="I104" s="50"/>
      <c r="J104" s="50"/>
      <c r="K104" s="183"/>
      <c r="L104" s="850"/>
      <c r="M104" s="850"/>
      <c r="O104" s="728" t="s">
        <v>3420</v>
      </c>
      <c r="P104" s="1601"/>
      <c r="Q104" s="448"/>
    </row>
    <row r="105" spans="2:17" ht="12" customHeight="1">
      <c r="B105" s="55"/>
      <c r="C105" s="79"/>
      <c r="E105" s="728" t="s">
        <v>3421</v>
      </c>
      <c r="F105" s="62" t="s">
        <v>3767</v>
      </c>
      <c r="G105" s="50"/>
      <c r="H105" s="62"/>
      <c r="I105" s="50"/>
      <c r="J105" s="50"/>
      <c r="K105" s="183"/>
      <c r="L105" s="850"/>
      <c r="M105" s="850"/>
      <c r="O105" s="728" t="s">
        <v>3421</v>
      </c>
      <c r="P105" s="1592"/>
      <c r="Q105" s="352"/>
    </row>
    <row r="106" spans="2:17" ht="12" customHeight="1">
      <c r="B106" s="55"/>
      <c r="C106" s="79"/>
      <c r="E106" s="728" t="s">
        <v>3422</v>
      </c>
      <c r="F106" s="62" t="s">
        <v>3768</v>
      </c>
      <c r="G106" s="50"/>
      <c r="H106" s="62"/>
      <c r="I106" s="50"/>
      <c r="J106" s="50"/>
      <c r="K106" s="183"/>
      <c r="L106" s="850"/>
      <c r="M106" s="850"/>
      <c r="O106" s="728" t="s">
        <v>3422</v>
      </c>
      <c r="P106" s="1592"/>
      <c r="Q106" s="352"/>
    </row>
    <row r="107" spans="2:17" ht="12" customHeight="1">
      <c r="B107" s="55"/>
      <c r="C107" s="79" t="s">
        <v>2592</v>
      </c>
      <c r="D107" s="62" t="s">
        <v>1817</v>
      </c>
      <c r="E107" s="183"/>
      <c r="F107" s="183"/>
      <c r="G107" s="183"/>
      <c r="H107" s="62"/>
      <c r="I107" s="50"/>
      <c r="J107" s="50"/>
      <c r="K107" s="183"/>
      <c r="L107" s="850"/>
      <c r="M107" s="850"/>
      <c r="O107" s="79" t="s">
        <v>2592</v>
      </c>
      <c r="P107" s="1575" t="s">
        <v>3978</v>
      </c>
      <c r="Q107" s="232"/>
    </row>
    <row r="108" spans="2:17" ht="12" customHeight="1">
      <c r="B108" s="55"/>
      <c r="C108" s="79"/>
      <c r="D108" s="62" t="s">
        <v>3765</v>
      </c>
      <c r="E108" s="728" t="s">
        <v>3420</v>
      </c>
      <c r="F108" s="62" t="s">
        <v>3769</v>
      </c>
      <c r="G108" s="50"/>
      <c r="H108" s="62"/>
      <c r="I108" s="50"/>
      <c r="J108" s="50"/>
      <c r="K108" s="183"/>
      <c r="L108" s="850"/>
      <c r="O108" s="728" t="s">
        <v>3420</v>
      </c>
      <c r="P108" s="1601"/>
      <c r="Q108" s="353"/>
    </row>
    <row r="109" spans="2:17" ht="12" customHeight="1">
      <c r="B109" s="55"/>
      <c r="C109" s="79"/>
      <c r="E109" s="728" t="s">
        <v>3421</v>
      </c>
      <c r="F109" s="62" t="s">
        <v>3770</v>
      </c>
      <c r="G109" s="50"/>
      <c r="H109" s="62"/>
      <c r="I109" s="50"/>
      <c r="J109" s="50"/>
      <c r="K109" s="183"/>
      <c r="L109" s="850"/>
      <c r="O109" s="728" t="s">
        <v>3421</v>
      </c>
      <c r="P109" s="1592"/>
      <c r="Q109" s="352"/>
    </row>
    <row r="110" spans="2:17" ht="12" customHeight="1">
      <c r="B110" s="55"/>
      <c r="C110" s="79"/>
      <c r="E110" s="728" t="s">
        <v>3422</v>
      </c>
      <c r="F110" s="62" t="s">
        <v>3768</v>
      </c>
      <c r="G110" s="50"/>
      <c r="H110" s="62"/>
      <c r="I110" s="50"/>
      <c r="J110" s="50"/>
      <c r="K110" s="183"/>
      <c r="L110" s="850"/>
      <c r="O110" s="728" t="s">
        <v>3422</v>
      </c>
      <c r="P110" s="1592"/>
      <c r="Q110" s="352"/>
    </row>
    <row r="111" spans="2:17" ht="12" customHeight="1">
      <c r="B111" s="44"/>
      <c r="C111" s="79" t="s">
        <v>3332</v>
      </c>
      <c r="D111" s="62" t="s">
        <v>3771</v>
      </c>
      <c r="E111" s="183"/>
      <c r="F111" s="183"/>
      <c r="G111" s="183"/>
      <c r="H111" s="183"/>
      <c r="I111" s="50"/>
      <c r="J111" s="50"/>
      <c r="K111" s="183"/>
      <c r="L111" s="850"/>
      <c r="M111" s="850"/>
      <c r="O111" s="79" t="s">
        <v>3332</v>
      </c>
      <c r="P111" s="1575" t="s">
        <v>3978</v>
      </c>
      <c r="Q111" s="232"/>
    </row>
    <row r="112" spans="2:17" ht="12" customHeight="1">
      <c r="B112" s="55" t="s">
        <v>2588</v>
      </c>
      <c r="C112" s="196" t="s">
        <v>3397</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3398</v>
      </c>
      <c r="E113" s="183"/>
      <c r="F113" s="1575" t="s">
        <v>3978</v>
      </c>
      <c r="G113" s="232"/>
      <c r="H113" s="79" t="s">
        <v>3332</v>
      </c>
      <c r="I113" s="62" t="s">
        <v>2156</v>
      </c>
      <c r="J113" s="1575" t="s">
        <v>3978</v>
      </c>
      <c r="K113" s="232"/>
      <c r="L113" s="803" t="s">
        <v>107</v>
      </c>
      <c r="M113" s="62" t="s">
        <v>2157</v>
      </c>
      <c r="O113" s="1575" t="s">
        <v>3978</v>
      </c>
      <c r="P113" s="232"/>
    </row>
    <row r="114" spans="1:31" ht="12" customHeight="1">
      <c r="B114" s="44"/>
      <c r="C114" s="79" t="s">
        <v>2591</v>
      </c>
      <c r="D114" s="62" t="s">
        <v>3503</v>
      </c>
      <c r="E114" s="183"/>
      <c r="F114" s="1575" t="s">
        <v>3978</v>
      </c>
      <c r="G114" s="232"/>
      <c r="H114" s="79" t="s">
        <v>2153</v>
      </c>
      <c r="I114" s="62" t="s">
        <v>3773</v>
      </c>
      <c r="J114" s="1602" t="s">
        <v>3978</v>
      </c>
      <c r="K114" s="663"/>
      <c r="L114" s="803" t="s">
        <v>743</v>
      </c>
      <c r="M114" s="65" t="s">
        <v>3774</v>
      </c>
      <c r="O114" s="1602" t="s">
        <v>3978</v>
      </c>
      <c r="P114" s="663"/>
    </row>
    <row r="115" spans="1:31" ht="12" customHeight="1">
      <c r="B115" s="44"/>
      <c r="C115" s="79" t="s">
        <v>2592</v>
      </c>
      <c r="D115" s="62" t="s">
        <v>3772</v>
      </c>
      <c r="E115" s="183"/>
      <c r="F115" s="1575" t="s">
        <v>3978</v>
      </c>
      <c r="G115" s="232"/>
      <c r="H115" s="79" t="s">
        <v>2154</v>
      </c>
      <c r="I115" s="62" t="s">
        <v>2155</v>
      </c>
      <c r="J115" s="1602" t="s">
        <v>3978</v>
      </c>
      <c r="K115" s="663"/>
      <c r="L115" s="803" t="s">
        <v>744</v>
      </c>
      <c r="M115" s="65" t="s">
        <v>3775</v>
      </c>
      <c r="O115" s="1602" t="s">
        <v>3978</v>
      </c>
      <c r="P115" s="663"/>
    </row>
    <row r="116" spans="1:31" ht="12" customHeight="1">
      <c r="B116" s="44"/>
      <c r="C116" s="803" t="s">
        <v>745</v>
      </c>
      <c r="D116" s="62" t="s">
        <v>3776</v>
      </c>
      <c r="E116" s="183"/>
      <c r="F116" s="183"/>
      <c r="G116" s="183"/>
      <c r="H116" s="183"/>
      <c r="J116" s="1585" t="s">
        <v>3978</v>
      </c>
      <c r="K116" s="1586"/>
      <c r="L116" s="1586"/>
      <c r="M116" s="1586"/>
      <c r="N116" s="1586"/>
      <c r="O116" s="1586"/>
      <c r="P116" s="1587"/>
      <c r="Q116" s="232"/>
    </row>
    <row r="117" spans="1:31" ht="12" customHeight="1">
      <c r="B117" s="55" t="s">
        <v>2589</v>
      </c>
      <c r="C117" s="62" t="s">
        <v>1851</v>
      </c>
      <c r="D117" s="183"/>
      <c r="E117" s="183"/>
      <c r="F117" s="183"/>
      <c r="G117" s="183"/>
      <c r="H117" s="183"/>
      <c r="I117" s="50"/>
      <c r="J117" s="50"/>
      <c r="K117" s="183"/>
      <c r="L117" s="183"/>
      <c r="M117" s="850"/>
      <c r="O117" s="803" t="s">
        <v>2589</v>
      </c>
      <c r="P117" s="1575" t="s">
        <v>1469</v>
      </c>
      <c r="Q117" s="232"/>
    </row>
    <row r="118" spans="1:31" ht="12" customHeight="1">
      <c r="A118" s="194"/>
      <c r="B118" s="50"/>
      <c r="C118" s="79" t="s">
        <v>2590</v>
      </c>
      <c r="D118" s="62" t="s">
        <v>995</v>
      </c>
      <c r="E118" s="183"/>
      <c r="F118" s="183"/>
      <c r="G118" s="183"/>
      <c r="H118" s="183"/>
      <c r="O118" s="79" t="s">
        <v>2590</v>
      </c>
      <c r="P118" s="1575"/>
      <c r="Q118" s="232"/>
    </row>
    <row r="119" spans="1:31" ht="12" customHeight="1">
      <c r="A119" s="194"/>
      <c r="B119" s="180"/>
      <c r="C119" s="79" t="s">
        <v>2591</v>
      </c>
      <c r="D119" s="62" t="s">
        <v>681</v>
      </c>
      <c r="E119" s="62"/>
      <c r="F119" s="62"/>
      <c r="G119" s="62"/>
      <c r="H119" s="62"/>
      <c r="I119" s="50"/>
      <c r="J119" s="50"/>
      <c r="K119" s="62"/>
      <c r="L119" s="62"/>
      <c r="M119" s="62"/>
      <c r="O119" s="79" t="s">
        <v>2591</v>
      </c>
      <c r="P119" s="1575"/>
      <c r="Q119" s="232"/>
    </row>
    <row r="120" spans="1:31" ht="12" customHeight="1">
      <c r="A120" s="194"/>
      <c r="B120" s="180"/>
      <c r="C120" s="79" t="s">
        <v>2592</v>
      </c>
      <c r="D120" s="62" t="s">
        <v>951</v>
      </c>
      <c r="E120" s="62"/>
      <c r="F120" s="62"/>
      <c r="G120" s="62"/>
      <c r="H120" s="62"/>
      <c r="I120" s="50"/>
      <c r="J120" s="50"/>
      <c r="K120" s="62"/>
      <c r="L120" s="62"/>
      <c r="M120" s="62"/>
      <c r="O120" s="79" t="s">
        <v>2592</v>
      </c>
      <c r="P120" s="1575"/>
      <c r="Q120" s="232"/>
    </row>
    <row r="121" spans="1:31" ht="12" customHeight="1">
      <c r="B121" s="55" t="s">
        <v>2826</v>
      </c>
      <c r="C121" s="62" t="s">
        <v>2607</v>
      </c>
      <c r="D121" s="183"/>
      <c r="E121" s="183"/>
      <c r="F121" s="183"/>
      <c r="G121" s="183"/>
      <c r="H121" s="183"/>
      <c r="I121" s="50"/>
      <c r="J121" s="50"/>
      <c r="K121" s="183"/>
      <c r="L121" s="183"/>
      <c r="M121" s="850"/>
      <c r="O121" s="803" t="s">
        <v>2826</v>
      </c>
      <c r="P121" s="1575" t="s">
        <v>1469</v>
      </c>
      <c r="Q121" s="232"/>
    </row>
    <row r="122" spans="1:31" ht="4.9000000000000004" customHeight="1"/>
    <row r="123" spans="1:31" ht="11.25" customHeight="1">
      <c r="B123" s="191" t="s">
        <v>2738</v>
      </c>
      <c r="D123" s="191"/>
      <c r="E123" s="191"/>
      <c r="F123" s="191"/>
      <c r="G123" s="191"/>
      <c r="H123" s="48"/>
      <c r="I123" s="180"/>
      <c r="J123" s="180"/>
      <c r="K123" s="180"/>
      <c r="L123" s="851"/>
      <c r="M123" s="851"/>
      <c r="N123" s="851"/>
      <c r="O123" s="851"/>
      <c r="P123" s="851"/>
      <c r="Q123" s="60"/>
    </row>
    <row r="124" spans="1:31" ht="12" customHeight="1">
      <c r="A124" s="1579" t="s">
        <v>4038</v>
      </c>
      <c r="B124" s="1580"/>
      <c r="C124" s="1580"/>
      <c r="D124" s="1580"/>
      <c r="E124" s="1580"/>
      <c r="F124" s="1580"/>
      <c r="G124" s="1580"/>
      <c r="H124" s="1580"/>
      <c r="I124" s="1580"/>
      <c r="J124" s="1580"/>
      <c r="K124" s="1580"/>
      <c r="L124" s="1580"/>
      <c r="M124" s="1580"/>
      <c r="N124" s="1580"/>
      <c r="O124" s="1580"/>
      <c r="P124" s="1580"/>
      <c r="Q124" s="1581"/>
      <c r="R124" s="736" t="s">
        <v>1806</v>
      </c>
      <c r="S124" s="737"/>
      <c r="U124" s="186"/>
      <c r="V124" s="186"/>
      <c r="W124" s="186"/>
      <c r="X124" s="186"/>
      <c r="Y124" s="186"/>
      <c r="Z124" s="186"/>
      <c r="AA124" s="186"/>
      <c r="AB124" s="186"/>
      <c r="AC124" s="186"/>
      <c r="AD124" s="186"/>
      <c r="AE124" s="805"/>
    </row>
    <row r="125" spans="1:31" ht="11.25" customHeight="1">
      <c r="B125" s="187" t="s">
        <v>2739</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3796</v>
      </c>
      <c r="C128" s="856"/>
      <c r="D128" s="855"/>
      <c r="E128" s="855"/>
      <c r="F128" s="855"/>
      <c r="G128" s="855"/>
      <c r="H128" s="855"/>
      <c r="I128" s="855"/>
      <c r="J128" s="855"/>
      <c r="K128" s="855"/>
      <c r="O128" s="181" t="s">
        <v>2740</v>
      </c>
      <c r="P128" s="1116"/>
      <c r="Q128" s="1117"/>
    </row>
    <row r="129" spans="1:31" ht="10.9" customHeight="1">
      <c r="B129" s="55" t="s">
        <v>2863</v>
      </c>
      <c r="C129" s="62" t="s">
        <v>3777</v>
      </c>
      <c r="D129" s="62"/>
      <c r="E129" s="62"/>
      <c r="F129" s="62"/>
      <c r="G129" s="62"/>
      <c r="H129" s="62"/>
      <c r="N129" s="62"/>
      <c r="O129" s="803" t="s">
        <v>2863</v>
      </c>
      <c r="P129" s="1575" t="s">
        <v>3976</v>
      </c>
      <c r="Q129" s="232"/>
    </row>
    <row r="130" spans="1:31" ht="12" customHeight="1">
      <c r="A130" s="189"/>
      <c r="B130" s="55" t="s">
        <v>2866</v>
      </c>
      <c r="C130" s="190" t="s">
        <v>185</v>
      </c>
      <c r="D130" s="190"/>
      <c r="E130" s="190"/>
      <c r="F130" s="190"/>
      <c r="G130" s="190"/>
      <c r="H130" s="190"/>
      <c r="M130" s="803" t="s">
        <v>2866</v>
      </c>
      <c r="N130" s="1603" t="s">
        <v>4020</v>
      </c>
      <c r="O130" s="1604"/>
      <c r="P130" s="1147"/>
      <c r="Q130" s="1148"/>
    </row>
    <row r="131" spans="1:31" ht="12" customHeight="1">
      <c r="A131" s="189"/>
      <c r="B131" s="55" t="s">
        <v>1145</v>
      </c>
      <c r="C131" s="190" t="s">
        <v>952</v>
      </c>
      <c r="D131" s="190"/>
      <c r="E131" s="190"/>
      <c r="F131" s="190"/>
      <c r="G131" s="190"/>
      <c r="H131" s="190"/>
      <c r="J131" s="803" t="s">
        <v>1145</v>
      </c>
      <c r="K131" s="1605" t="s">
        <v>3990</v>
      </c>
      <c r="L131" s="1606"/>
      <c r="M131" s="1606"/>
      <c r="N131" s="1606"/>
      <c r="O131" s="1606"/>
      <c r="P131" s="1607"/>
      <c r="Q131" s="232"/>
    </row>
    <row r="132" spans="1:31" ht="12" customHeight="1">
      <c r="B132" s="191" t="s">
        <v>2738</v>
      </c>
      <c r="D132" s="191"/>
      <c r="E132" s="191"/>
      <c r="F132" s="191"/>
      <c r="G132" s="191"/>
      <c r="H132" s="48"/>
      <c r="I132" s="180"/>
      <c r="J132" s="180"/>
      <c r="K132" s="180"/>
      <c r="L132" s="851"/>
      <c r="M132" s="851"/>
      <c r="N132" s="851"/>
      <c r="O132" s="851"/>
      <c r="P132" s="851"/>
      <c r="Q132" s="60"/>
    </row>
    <row r="133" spans="1:31" ht="11.45" customHeight="1">
      <c r="A133" s="1579" t="s">
        <v>4069</v>
      </c>
      <c r="B133" s="1580"/>
      <c r="C133" s="1580"/>
      <c r="D133" s="1580"/>
      <c r="E133" s="1580"/>
      <c r="F133" s="1580"/>
      <c r="G133" s="1580"/>
      <c r="H133" s="1580"/>
      <c r="I133" s="1580"/>
      <c r="J133" s="1580"/>
      <c r="K133" s="1580"/>
      <c r="L133" s="1580"/>
      <c r="M133" s="1580"/>
      <c r="N133" s="1580"/>
      <c r="O133" s="1580"/>
      <c r="P133" s="1580"/>
      <c r="Q133" s="1581"/>
      <c r="U133" s="186"/>
      <c r="V133" s="186"/>
      <c r="W133" s="186"/>
      <c r="X133" s="186"/>
      <c r="Y133" s="186"/>
      <c r="Z133" s="186"/>
      <c r="AA133" s="186"/>
      <c r="AB133" s="186"/>
      <c r="AC133" s="186"/>
      <c r="AD133" s="186"/>
      <c r="AE133" s="805"/>
    </row>
    <row r="134" spans="1:31" ht="12" customHeight="1">
      <c r="B134" s="187" t="s">
        <v>2739</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3797</v>
      </c>
      <c r="C137" s="856"/>
      <c r="D137" s="855"/>
      <c r="E137" s="855"/>
      <c r="F137" s="855"/>
      <c r="G137" s="855"/>
      <c r="H137" s="855"/>
      <c r="I137" s="855"/>
      <c r="J137" s="855"/>
      <c r="K137" s="855"/>
      <c r="L137" s="855"/>
      <c r="M137" s="855"/>
      <c r="O137" s="181" t="s">
        <v>2740</v>
      </c>
      <c r="P137" s="1116"/>
      <c r="Q137" s="1117"/>
    </row>
    <row r="138" spans="1:31" ht="12" customHeight="1">
      <c r="B138" s="192" t="s">
        <v>2863</v>
      </c>
      <c r="C138" s="190" t="s">
        <v>104</v>
      </c>
      <c r="D138" s="190"/>
      <c r="E138" s="190"/>
      <c r="F138" s="190"/>
      <c r="G138" s="190"/>
      <c r="H138" s="190"/>
      <c r="I138" s="190"/>
      <c r="J138" s="190"/>
      <c r="K138" s="190"/>
      <c r="L138" s="197"/>
      <c r="M138" s="197"/>
      <c r="N138" s="197"/>
      <c r="O138" s="219" t="s">
        <v>2863</v>
      </c>
      <c r="P138" s="1575" t="s">
        <v>3976</v>
      </c>
      <c r="Q138" s="232"/>
    </row>
    <row r="139" spans="1:31" ht="22.15" customHeight="1">
      <c r="B139" s="192" t="s">
        <v>2866</v>
      </c>
      <c r="C139" s="1125" t="s">
        <v>3519</v>
      </c>
      <c r="D139" s="1125"/>
      <c r="E139" s="1125"/>
      <c r="F139" s="1125"/>
      <c r="G139" s="1125"/>
      <c r="H139" s="1125"/>
      <c r="I139" s="1125"/>
      <c r="J139" s="1125"/>
      <c r="K139" s="1125"/>
      <c r="L139" s="1125"/>
      <c r="M139" s="1125"/>
      <c r="N139" s="1125"/>
      <c r="O139" s="219" t="s">
        <v>2866</v>
      </c>
      <c r="P139" s="1575"/>
      <c r="Q139" s="232"/>
    </row>
    <row r="140" spans="1:31" ht="21.75" customHeight="1">
      <c r="B140" s="192" t="s">
        <v>1145</v>
      </c>
      <c r="C140" s="1125" t="s">
        <v>3779</v>
      </c>
      <c r="D140" s="1125"/>
      <c r="E140" s="1125"/>
      <c r="F140" s="1125"/>
      <c r="G140" s="1125"/>
      <c r="H140" s="1125"/>
      <c r="I140" s="1125"/>
      <c r="J140" s="1125"/>
      <c r="K140" s="1125"/>
      <c r="L140" s="1125"/>
      <c r="M140" s="1125"/>
      <c r="N140" s="1125"/>
      <c r="O140" s="219" t="s">
        <v>1145</v>
      </c>
      <c r="P140" s="1575"/>
      <c r="Q140" s="232"/>
    </row>
    <row r="141" spans="1:31" ht="12" customHeight="1">
      <c r="B141" s="191" t="s">
        <v>2738</v>
      </c>
      <c r="D141" s="191"/>
      <c r="E141" s="191"/>
      <c r="F141" s="191"/>
      <c r="G141" s="191"/>
      <c r="H141" s="48"/>
      <c r="I141" s="180"/>
      <c r="J141" s="180"/>
      <c r="K141" s="180"/>
      <c r="L141" s="851"/>
      <c r="M141" s="851"/>
      <c r="N141" s="851"/>
      <c r="O141" s="851"/>
      <c r="P141" s="851"/>
      <c r="Q141" s="60"/>
    </row>
    <row r="142" spans="1:31" ht="11.45" customHeight="1">
      <c r="A142" s="1579" t="s">
        <v>4070</v>
      </c>
      <c r="B142" s="1580"/>
      <c r="C142" s="1580"/>
      <c r="D142" s="1580"/>
      <c r="E142" s="1580"/>
      <c r="F142" s="1580"/>
      <c r="G142" s="1580"/>
      <c r="H142" s="1580"/>
      <c r="I142" s="1580"/>
      <c r="J142" s="1580"/>
      <c r="K142" s="1580"/>
      <c r="L142" s="1580"/>
      <c r="M142" s="1580"/>
      <c r="N142" s="1580"/>
      <c r="O142" s="1580"/>
      <c r="P142" s="1580"/>
      <c r="Q142" s="1581"/>
      <c r="U142" s="186"/>
      <c r="V142" s="186"/>
      <c r="W142" s="186"/>
      <c r="X142" s="186"/>
      <c r="Y142" s="186"/>
      <c r="Z142" s="186"/>
      <c r="AA142" s="186"/>
      <c r="AB142" s="186"/>
      <c r="AC142" s="186"/>
      <c r="AD142" s="186"/>
      <c r="AE142" s="805"/>
    </row>
    <row r="143" spans="1:31" ht="12" customHeight="1">
      <c r="B143" s="187" t="s">
        <v>2739</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3798</v>
      </c>
      <c r="C146" s="1167"/>
      <c r="D146" s="1167"/>
      <c r="O146" s="181" t="s">
        <v>2740</v>
      </c>
      <c r="P146" s="1116"/>
      <c r="Q146" s="1117"/>
    </row>
    <row r="147" spans="1:32" ht="12" customHeight="1">
      <c r="B147" s="192" t="s">
        <v>2863</v>
      </c>
      <c r="C147" s="197" t="s">
        <v>653</v>
      </c>
      <c r="D147" s="197"/>
      <c r="E147" s="197"/>
      <c r="F147" s="197"/>
      <c r="G147" s="197"/>
      <c r="H147" s="197"/>
      <c r="I147" s="197"/>
      <c r="J147" s="197"/>
      <c r="K147" s="197"/>
      <c r="L147" s="197"/>
      <c r="M147" s="197"/>
      <c r="O147" s="219" t="s">
        <v>2863</v>
      </c>
      <c r="P147" s="1575" t="s">
        <v>3976</v>
      </c>
      <c r="Q147" s="232"/>
    </row>
    <row r="148" spans="1:32" ht="12" customHeight="1">
      <c r="B148" s="192" t="s">
        <v>2866</v>
      </c>
      <c r="C148" s="197" t="s">
        <v>3780</v>
      </c>
      <c r="D148" s="197"/>
      <c r="E148" s="197"/>
      <c r="F148" s="197"/>
      <c r="G148" s="197"/>
      <c r="H148" s="197"/>
      <c r="I148" s="197"/>
      <c r="J148" s="197"/>
      <c r="K148" s="197"/>
      <c r="L148" s="197"/>
      <c r="M148" s="197"/>
      <c r="O148" s="219" t="s">
        <v>2866</v>
      </c>
      <c r="P148" s="1575" t="s">
        <v>3976</v>
      </c>
      <c r="Q148" s="232"/>
    </row>
    <row r="149" spans="1:32" ht="12" customHeight="1">
      <c r="B149" s="192" t="s">
        <v>1145</v>
      </c>
      <c r="C149" s="197" t="s">
        <v>3781</v>
      </c>
      <c r="D149" s="197"/>
      <c r="E149" s="197"/>
      <c r="F149" s="197"/>
      <c r="G149" s="197"/>
      <c r="H149" s="197"/>
      <c r="I149" s="197"/>
      <c r="J149" s="197"/>
      <c r="K149" s="197"/>
      <c r="L149" s="197"/>
      <c r="M149" s="197"/>
      <c r="O149" s="219" t="s">
        <v>1145</v>
      </c>
      <c r="P149" s="1575" t="s">
        <v>3976</v>
      </c>
      <c r="Q149" s="232"/>
    </row>
    <row r="150" spans="1:32" ht="12" customHeight="1">
      <c r="B150" s="192"/>
      <c r="C150" s="197" t="s">
        <v>3765</v>
      </c>
      <c r="D150" s="197"/>
      <c r="E150" s="728" t="s">
        <v>2590</v>
      </c>
      <c r="F150" s="197" t="s">
        <v>3782</v>
      </c>
      <c r="G150" s="197"/>
      <c r="H150" s="197"/>
      <c r="I150" s="197"/>
      <c r="J150" s="197"/>
      <c r="K150" s="197"/>
      <c r="L150" s="197"/>
      <c r="M150" s="197"/>
      <c r="O150" s="728" t="s">
        <v>2590</v>
      </c>
      <c r="P150" s="1575" t="s">
        <v>3976</v>
      </c>
      <c r="Q150" s="232"/>
    </row>
    <row r="151" spans="1:32" ht="12" customHeight="1">
      <c r="B151" s="192"/>
      <c r="C151" s="197"/>
      <c r="D151" s="197"/>
      <c r="E151" s="728" t="s">
        <v>2591</v>
      </c>
      <c r="F151" s="197" t="s">
        <v>3783</v>
      </c>
      <c r="G151" s="197"/>
      <c r="H151" s="197"/>
      <c r="I151" s="197"/>
      <c r="J151" s="197"/>
      <c r="K151" s="197"/>
      <c r="L151" s="197"/>
      <c r="M151" s="197"/>
      <c r="O151" s="728" t="s">
        <v>2591</v>
      </c>
      <c r="P151" s="1575" t="s">
        <v>3976</v>
      </c>
      <c r="Q151" s="232"/>
    </row>
    <row r="152" spans="1:32" s="182" customFormat="1" ht="21.75" customHeight="1">
      <c r="B152" s="192"/>
      <c r="C152" s="197"/>
      <c r="D152" s="197"/>
      <c r="E152" s="219" t="s">
        <v>2592</v>
      </c>
      <c r="F152" s="1125" t="s">
        <v>3784</v>
      </c>
      <c r="G152" s="1125"/>
      <c r="H152" s="1125"/>
      <c r="I152" s="1125"/>
      <c r="J152" s="1125"/>
      <c r="K152" s="1125"/>
      <c r="L152" s="1125"/>
      <c r="M152" s="1125"/>
      <c r="N152" s="1125"/>
      <c r="O152" s="219" t="s">
        <v>2592</v>
      </c>
      <c r="P152" s="1597" t="s">
        <v>3976</v>
      </c>
      <c r="Q152" s="354"/>
      <c r="AE152" s="806"/>
      <c r="AF152" s="806"/>
    </row>
    <row r="153" spans="1:32" ht="12" customHeight="1">
      <c r="B153" s="192"/>
      <c r="C153" s="197"/>
      <c r="D153" s="197"/>
      <c r="E153" s="728" t="s">
        <v>3332</v>
      </c>
      <c r="F153" s="197" t="s">
        <v>3785</v>
      </c>
      <c r="G153" s="197"/>
      <c r="H153" s="197"/>
      <c r="I153" s="197"/>
      <c r="J153" s="197"/>
      <c r="K153" s="197"/>
      <c r="L153" s="197"/>
      <c r="M153" s="197"/>
      <c r="O153" s="728" t="s">
        <v>3332</v>
      </c>
      <c r="P153" s="1575" t="s">
        <v>3976</v>
      </c>
      <c r="Q153" s="232"/>
    </row>
    <row r="154" spans="1:32" s="182" customFormat="1" ht="21.75" customHeight="1">
      <c r="B154" s="192"/>
      <c r="C154" s="197"/>
      <c r="D154" s="197"/>
      <c r="E154" s="219" t="s">
        <v>2153</v>
      </c>
      <c r="F154" s="1125" t="s">
        <v>3786</v>
      </c>
      <c r="G154" s="1125"/>
      <c r="H154" s="1125"/>
      <c r="I154" s="1125"/>
      <c r="J154" s="1125"/>
      <c r="K154" s="1125"/>
      <c r="L154" s="1125"/>
      <c r="M154" s="1125"/>
      <c r="N154" s="1125"/>
      <c r="O154" s="219" t="s">
        <v>2153</v>
      </c>
      <c r="P154" s="1597" t="s">
        <v>3978</v>
      </c>
      <c r="Q154" s="354"/>
      <c r="AE154" s="806"/>
      <c r="AF154" s="806"/>
    </row>
    <row r="155" spans="1:32" ht="21.75" customHeight="1">
      <c r="B155" s="192" t="s">
        <v>3005</v>
      </c>
      <c r="C155" s="1125" t="s">
        <v>3787</v>
      </c>
      <c r="D155" s="1125"/>
      <c r="E155" s="1125"/>
      <c r="F155" s="1125"/>
      <c r="G155" s="1125"/>
      <c r="H155" s="1125"/>
      <c r="I155" s="1125"/>
      <c r="J155" s="1125"/>
      <c r="K155" s="1125"/>
      <c r="L155" s="1125"/>
      <c r="M155" s="1125"/>
      <c r="N155" s="1125"/>
      <c r="O155" s="219" t="s">
        <v>3005</v>
      </c>
      <c r="P155" s="1575" t="s">
        <v>3976</v>
      </c>
      <c r="Q155" s="232"/>
    </row>
    <row r="156" spans="1:32" ht="12" customHeight="1">
      <c r="B156" s="192" t="s">
        <v>2588</v>
      </c>
      <c r="C156" s="197" t="s">
        <v>3353</v>
      </c>
      <c r="D156" s="197"/>
      <c r="E156" s="197"/>
      <c r="F156" s="197"/>
      <c r="G156" s="197"/>
      <c r="H156" s="197"/>
      <c r="I156" s="197"/>
      <c r="J156" s="197"/>
      <c r="K156" s="197"/>
      <c r="L156" s="197"/>
      <c r="M156" s="197"/>
      <c r="O156" s="219" t="s">
        <v>2588</v>
      </c>
      <c r="P156" s="1575" t="s">
        <v>3976</v>
      </c>
      <c r="Q156" s="232"/>
    </row>
    <row r="157" spans="1:32" ht="12" customHeight="1">
      <c r="B157" s="191" t="s">
        <v>2738</v>
      </c>
      <c r="D157" s="191"/>
      <c r="E157" s="191"/>
      <c r="F157" s="191"/>
      <c r="G157" s="191"/>
      <c r="H157" s="48"/>
      <c r="I157" s="180"/>
      <c r="J157" s="180"/>
      <c r="K157" s="180"/>
      <c r="L157" s="851"/>
      <c r="M157" s="851"/>
      <c r="N157" s="851"/>
      <c r="O157" s="851"/>
      <c r="P157" s="851"/>
      <c r="Q157" s="60"/>
    </row>
    <row r="158" spans="1:32" ht="11.45" customHeight="1">
      <c r="A158" s="1579" t="s">
        <v>4040</v>
      </c>
      <c r="B158" s="1580"/>
      <c r="C158" s="1580"/>
      <c r="D158" s="1580"/>
      <c r="E158" s="1580"/>
      <c r="F158" s="1580"/>
      <c r="G158" s="1580"/>
      <c r="H158" s="1580"/>
      <c r="I158" s="1580"/>
      <c r="J158" s="1580"/>
      <c r="K158" s="1580"/>
      <c r="L158" s="1580"/>
      <c r="M158" s="1580"/>
      <c r="N158" s="1580"/>
      <c r="O158" s="1580"/>
      <c r="P158" s="1580"/>
      <c r="Q158" s="1581"/>
      <c r="U158" s="186"/>
      <c r="V158" s="186"/>
      <c r="W158" s="186"/>
      <c r="X158" s="186"/>
      <c r="Y158" s="186"/>
      <c r="Z158" s="186"/>
      <c r="AA158" s="186"/>
      <c r="AB158" s="186"/>
      <c r="AC158" s="186"/>
      <c r="AD158" s="186"/>
      <c r="AE158" s="805"/>
    </row>
    <row r="159" spans="1:32" ht="12" customHeight="1">
      <c r="B159" s="187" t="s">
        <v>2739</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3799</v>
      </c>
      <c r="C162" s="856"/>
      <c r="D162" s="855"/>
      <c r="E162" s="198"/>
      <c r="F162" s="198"/>
      <c r="G162" s="855"/>
      <c r="J162" s="1145"/>
      <c r="K162" s="1145"/>
      <c r="L162" s="1145"/>
      <c r="M162" s="1145"/>
      <c r="N162" s="1145"/>
      <c r="O162" s="181" t="s">
        <v>2740</v>
      </c>
      <c r="P162" s="1116"/>
      <c r="Q162" s="1117"/>
    </row>
    <row r="163" spans="1:31" ht="12" customHeight="1">
      <c r="A163" s="189"/>
      <c r="B163" s="55" t="s">
        <v>2863</v>
      </c>
      <c r="C163" s="1125" t="s">
        <v>105</v>
      </c>
      <c r="D163" s="1125"/>
      <c r="E163" s="1125"/>
      <c r="F163" s="1125"/>
      <c r="G163" s="1125"/>
      <c r="H163" s="79" t="s">
        <v>2590</v>
      </c>
      <c r="I163" s="62" t="s">
        <v>187</v>
      </c>
      <c r="J163" s="1585" t="s">
        <v>2711</v>
      </c>
      <c r="K163" s="1586"/>
      <c r="L163" s="1586"/>
      <c r="M163" s="1586"/>
      <c r="N163" s="1587"/>
      <c r="O163" s="79" t="s">
        <v>2590</v>
      </c>
      <c r="P163" s="1575" t="s">
        <v>3978</v>
      </c>
      <c r="Q163" s="232"/>
    </row>
    <row r="164" spans="1:31" ht="12" customHeight="1">
      <c r="A164" s="189"/>
      <c r="B164" s="180"/>
      <c r="C164" s="143"/>
      <c r="D164" s="143"/>
      <c r="E164" s="143"/>
      <c r="F164" s="143"/>
      <c r="H164" s="79" t="s">
        <v>2591</v>
      </c>
      <c r="I164" s="62" t="s">
        <v>2204</v>
      </c>
      <c r="J164" s="1585" t="s">
        <v>4021</v>
      </c>
      <c r="K164" s="1586"/>
      <c r="L164" s="1586"/>
      <c r="M164" s="1586"/>
      <c r="N164" s="1587"/>
      <c r="O164" s="79" t="s">
        <v>2591</v>
      </c>
      <c r="P164" s="1575" t="s">
        <v>3976</v>
      </c>
      <c r="Q164" s="232"/>
    </row>
    <row r="165" spans="1:31" ht="12" customHeight="1">
      <c r="B165" s="191" t="s">
        <v>2738</v>
      </c>
      <c r="D165" s="191"/>
      <c r="E165" s="191"/>
      <c r="F165" s="191"/>
      <c r="G165" s="191"/>
      <c r="J165" s="180"/>
      <c r="K165" s="180"/>
      <c r="L165" s="851"/>
      <c r="M165" s="851"/>
      <c r="N165" s="851"/>
      <c r="O165" s="851"/>
      <c r="P165" s="851"/>
      <c r="Q165" s="60"/>
    </row>
    <row r="166" spans="1:31" ht="11.45" customHeight="1">
      <c r="A166" s="1579" t="s">
        <v>4041</v>
      </c>
      <c r="B166" s="1580"/>
      <c r="C166" s="1580"/>
      <c r="D166" s="1580"/>
      <c r="E166" s="1580"/>
      <c r="F166" s="1580"/>
      <c r="G166" s="1580"/>
      <c r="H166" s="1580"/>
      <c r="I166" s="1580"/>
      <c r="J166" s="1580"/>
      <c r="K166" s="1580"/>
      <c r="L166" s="1580"/>
      <c r="M166" s="1580"/>
      <c r="N166" s="1580"/>
      <c r="O166" s="1580"/>
      <c r="P166" s="1580"/>
      <c r="Q166" s="1581"/>
      <c r="U166" s="186"/>
      <c r="V166" s="186"/>
      <c r="W166" s="186"/>
      <c r="X166" s="186"/>
      <c r="Y166" s="186"/>
      <c r="Z166" s="186"/>
      <c r="AA166" s="186"/>
      <c r="AB166" s="186"/>
      <c r="AC166" s="186"/>
      <c r="AD166" s="186"/>
      <c r="AE166" s="805"/>
    </row>
    <row r="167" spans="1:31" ht="12" customHeight="1">
      <c r="B167" s="187" t="s">
        <v>2739</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3800</v>
      </c>
      <c r="C170" s="5"/>
      <c r="D170" s="115"/>
      <c r="E170" s="115"/>
      <c r="F170" s="115"/>
      <c r="G170" s="855"/>
      <c r="H170" s="855"/>
      <c r="I170" s="855"/>
      <c r="J170" s="855"/>
      <c r="K170" s="855"/>
      <c r="L170" s="855"/>
      <c r="M170" s="855"/>
      <c r="O170" s="181" t="s">
        <v>2740</v>
      </c>
      <c r="P170" s="1116"/>
      <c r="Q170" s="1117"/>
    </row>
    <row r="171" spans="1:31" ht="4.1500000000000004" customHeight="1"/>
    <row r="172" spans="1:31" ht="11.45" customHeight="1">
      <c r="B172" s="192" t="s">
        <v>2863</v>
      </c>
      <c r="C172" s="635" t="s">
        <v>2590</v>
      </c>
      <c r="D172" s="634" t="s">
        <v>746</v>
      </c>
      <c r="E172" s="634"/>
      <c r="F172" s="634"/>
      <c r="G172" s="634"/>
      <c r="H172" s="634"/>
      <c r="I172" s="634"/>
      <c r="J172" s="634"/>
      <c r="K172" s="634"/>
      <c r="L172" s="634"/>
      <c r="M172" s="634"/>
      <c r="N172" s="634"/>
      <c r="O172" s="219" t="s">
        <v>2081</v>
      </c>
      <c r="P172" s="1575" t="s">
        <v>3978</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5" t="s">
        <v>3978</v>
      </c>
      <c r="Q173" s="232"/>
    </row>
    <row r="174" spans="1:31" ht="11.45" customHeight="1">
      <c r="A174" s="189"/>
      <c r="B174" s="192" t="s">
        <v>2866</v>
      </c>
      <c r="C174" s="1125" t="s">
        <v>2721</v>
      </c>
      <c r="D174" s="1125"/>
      <c r="E174" s="1125"/>
      <c r="F174" s="1125"/>
      <c r="G174" s="1125"/>
      <c r="H174" s="79" t="s">
        <v>2590</v>
      </c>
      <c r="I174" s="62" t="s">
        <v>894</v>
      </c>
      <c r="J174" s="1585" t="s">
        <v>3994</v>
      </c>
      <c r="K174" s="1586"/>
      <c r="L174" s="1586"/>
      <c r="M174" s="1586"/>
      <c r="N174" s="1587"/>
      <c r="O174" s="79" t="s">
        <v>2030</v>
      </c>
      <c r="P174" s="1575" t="s">
        <v>3976</v>
      </c>
      <c r="Q174" s="232"/>
    </row>
    <row r="175" spans="1:31" ht="11.45" customHeight="1">
      <c r="A175" s="189"/>
      <c r="B175" s="861"/>
      <c r="C175" s="1125"/>
      <c r="D175" s="1125"/>
      <c r="E175" s="1125"/>
      <c r="F175" s="1125"/>
      <c r="G175" s="1125"/>
      <c r="H175" s="79" t="s">
        <v>2591</v>
      </c>
      <c r="I175" s="62" t="s">
        <v>125</v>
      </c>
      <c r="J175" s="1585" t="s">
        <v>3994</v>
      </c>
      <c r="K175" s="1586"/>
      <c r="L175" s="1586"/>
      <c r="M175" s="1586"/>
      <c r="N175" s="1587"/>
      <c r="O175" s="79" t="s">
        <v>2591</v>
      </c>
      <c r="P175" s="1575" t="s">
        <v>3976</v>
      </c>
      <c r="Q175" s="232"/>
    </row>
    <row r="176" spans="1:31" ht="11.25" customHeight="1">
      <c r="B176" s="191" t="s">
        <v>2738</v>
      </c>
      <c r="D176" s="191"/>
      <c r="E176" s="191"/>
      <c r="F176" s="191"/>
      <c r="G176" s="191"/>
      <c r="H176" s="48"/>
      <c r="I176" s="180"/>
      <c r="J176" s="180"/>
      <c r="K176" s="180"/>
      <c r="L176" s="851"/>
      <c r="M176" s="851"/>
      <c r="N176" s="851"/>
      <c r="O176" s="851"/>
      <c r="P176" s="851"/>
      <c r="Q176" s="60"/>
    </row>
    <row r="177" spans="1:32" ht="11.45" customHeight="1">
      <c r="A177" s="1579" t="s">
        <v>4071</v>
      </c>
      <c r="B177" s="1580"/>
      <c r="C177" s="1580"/>
      <c r="D177" s="1580"/>
      <c r="E177" s="1580"/>
      <c r="F177" s="1580"/>
      <c r="G177" s="1580"/>
      <c r="H177" s="1580"/>
      <c r="I177" s="1580"/>
      <c r="J177" s="1580"/>
      <c r="K177" s="1580"/>
      <c r="L177" s="1580"/>
      <c r="M177" s="1580"/>
      <c r="N177" s="1580"/>
      <c r="O177" s="1580"/>
      <c r="P177" s="1580"/>
      <c r="Q177" s="1581"/>
      <c r="U177" s="186"/>
      <c r="V177" s="186"/>
      <c r="W177" s="186"/>
      <c r="X177" s="186"/>
      <c r="Y177" s="186"/>
      <c r="Z177" s="186"/>
      <c r="AA177" s="186"/>
      <c r="AB177" s="186"/>
      <c r="AC177" s="186"/>
      <c r="AD177" s="186"/>
      <c r="AE177" s="805"/>
    </row>
    <row r="178" spans="1:32" ht="11.25" customHeight="1">
      <c r="B178" s="187" t="s">
        <v>2739</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3801</v>
      </c>
      <c r="C181" s="5"/>
      <c r="D181" s="115"/>
      <c r="E181" s="115"/>
      <c r="F181" s="115"/>
      <c r="G181" s="115"/>
      <c r="H181" s="855"/>
      <c r="I181" s="855"/>
      <c r="J181" s="855"/>
      <c r="K181" s="855"/>
      <c r="L181" s="855"/>
      <c r="M181" s="855"/>
      <c r="O181" s="181" t="s">
        <v>2740</v>
      </c>
      <c r="P181" s="1116"/>
      <c r="Q181" s="1117"/>
    </row>
    <row r="182" spans="1:32" ht="10.9" customHeight="1">
      <c r="B182" s="195" t="s">
        <v>175</v>
      </c>
    </row>
    <row r="183" spans="1:32" ht="11.45" customHeight="1">
      <c r="B183" s="55" t="s">
        <v>2863</v>
      </c>
      <c r="C183" s="62" t="s">
        <v>179</v>
      </c>
      <c r="D183" s="50"/>
      <c r="E183" s="62"/>
      <c r="F183" s="62"/>
      <c r="G183" s="62"/>
      <c r="H183" s="62"/>
      <c r="I183" s="50"/>
      <c r="J183" s="50"/>
      <c r="K183" s="50"/>
      <c r="L183" s="197"/>
      <c r="M183" s="197"/>
      <c r="O183" s="219" t="s">
        <v>2863</v>
      </c>
      <c r="P183" s="1575" t="s">
        <v>3976</v>
      </c>
      <c r="Q183" s="232"/>
    </row>
    <row r="184" spans="1:32" ht="11.45" customHeight="1">
      <c r="B184" s="55" t="s">
        <v>2866</v>
      </c>
      <c r="C184" s="62" t="s">
        <v>176</v>
      </c>
      <c r="D184" s="62"/>
      <c r="E184" s="62"/>
      <c r="F184" s="62"/>
      <c r="G184" s="62"/>
      <c r="H184" s="62"/>
      <c r="I184" s="50"/>
      <c r="J184" s="50"/>
      <c r="K184" s="50"/>
      <c r="L184" s="190"/>
      <c r="M184" s="190"/>
      <c r="O184" s="219" t="s">
        <v>2866</v>
      </c>
      <c r="P184" s="1575" t="s">
        <v>3976</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5" t="s">
        <v>3976</v>
      </c>
      <c r="Q185" s="232"/>
      <c r="AE185" s="807"/>
      <c r="AF185" s="807"/>
    </row>
    <row r="186" spans="1:32" s="199" customFormat="1" ht="11.45" customHeight="1">
      <c r="B186" s="55" t="s">
        <v>3005</v>
      </c>
      <c r="C186" s="62" t="s">
        <v>178</v>
      </c>
      <c r="D186" s="62"/>
      <c r="E186" s="62"/>
      <c r="F186" s="62"/>
      <c r="G186" s="62"/>
      <c r="H186" s="62"/>
      <c r="I186" s="126"/>
      <c r="J186" s="126"/>
      <c r="K186" s="126"/>
      <c r="L186" s="126"/>
      <c r="M186" s="126"/>
      <c r="O186" s="803" t="s">
        <v>3005</v>
      </c>
      <c r="P186" s="1575" t="s">
        <v>3976</v>
      </c>
      <c r="Q186" s="232"/>
      <c r="AE186" s="807"/>
      <c r="AF186" s="807"/>
    </row>
    <row r="187" spans="1:32" ht="11.25" customHeight="1">
      <c r="B187" s="191" t="s">
        <v>2738</v>
      </c>
      <c r="D187" s="191"/>
      <c r="E187" s="191"/>
      <c r="F187" s="191"/>
      <c r="G187" s="191"/>
      <c r="H187" s="48"/>
      <c r="I187" s="180"/>
      <c r="J187" s="180"/>
      <c r="K187" s="180"/>
      <c r="L187" s="851"/>
      <c r="M187" s="851"/>
      <c r="N187" s="851"/>
      <c r="O187" s="851"/>
      <c r="P187" s="851"/>
      <c r="Q187" s="60"/>
    </row>
    <row r="188" spans="1:32" ht="13.15" customHeight="1">
      <c r="A188" s="1579" t="s">
        <v>4089</v>
      </c>
      <c r="B188" s="1580"/>
      <c r="C188" s="1580"/>
      <c r="D188" s="1580"/>
      <c r="E188" s="1580"/>
      <c r="F188" s="1580"/>
      <c r="G188" s="1580"/>
      <c r="H188" s="1580"/>
      <c r="I188" s="1580"/>
      <c r="J188" s="1580"/>
      <c r="K188" s="1580"/>
      <c r="L188" s="1580"/>
      <c r="M188" s="1580"/>
      <c r="N188" s="1580"/>
      <c r="O188" s="1580"/>
      <c r="P188" s="1580"/>
      <c r="Q188" s="1581"/>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2739</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3802</v>
      </c>
      <c r="C193" s="154"/>
      <c r="D193" s="855"/>
      <c r="E193" s="855"/>
      <c r="F193" s="855"/>
      <c r="G193" s="855"/>
      <c r="H193" s="855"/>
      <c r="I193" s="855"/>
      <c r="J193" s="855"/>
      <c r="K193" s="855"/>
      <c r="L193" s="855"/>
      <c r="M193" s="855"/>
      <c r="O193" s="181" t="s">
        <v>2740</v>
      </c>
      <c r="P193" s="1116"/>
      <c r="Q193" s="1117"/>
    </row>
    <row r="194" spans="1:32" s="31" customFormat="1" ht="11.45" customHeight="1">
      <c r="B194" s="195" t="s">
        <v>1716</v>
      </c>
      <c r="N194" s="166"/>
      <c r="P194" s="1575"/>
      <c r="Q194" s="232"/>
      <c r="AE194" s="160"/>
      <c r="AF194" s="160"/>
    </row>
    <row r="195" spans="1:32" ht="12" customHeight="1">
      <c r="B195" s="55" t="s">
        <v>2863</v>
      </c>
      <c r="C195" s="115" t="s">
        <v>1950</v>
      </c>
      <c r="D195" s="50"/>
      <c r="E195" s="50"/>
      <c r="F195" s="50"/>
      <c r="G195" s="50"/>
      <c r="H195" s="50"/>
      <c r="I195" s="50"/>
      <c r="J195" s="50"/>
      <c r="K195" s="50"/>
      <c r="L195" s="50"/>
      <c r="M195" s="50"/>
    </row>
    <row r="196" spans="1:32" ht="11.45" customHeight="1">
      <c r="B196" s="55"/>
      <c r="C196" s="79" t="s">
        <v>2590</v>
      </c>
      <c r="D196" s="62" t="s">
        <v>2810</v>
      </c>
      <c r="E196" s="62"/>
      <c r="F196" s="62"/>
      <c r="G196" s="62"/>
      <c r="H196" s="62"/>
      <c r="I196" s="50"/>
      <c r="J196" s="50"/>
      <c r="K196" s="50"/>
      <c r="L196" s="79" t="s">
        <v>2081</v>
      </c>
      <c r="M196" s="1585" t="s">
        <v>768</v>
      </c>
      <c r="N196" s="1586"/>
      <c r="O196" s="1587"/>
      <c r="P196" s="1575" t="s">
        <v>4034</v>
      </c>
      <c r="Q196" s="232"/>
    </row>
    <row r="197" spans="1:32" ht="11.45" customHeight="1">
      <c r="B197" s="55"/>
      <c r="C197" s="79" t="s">
        <v>2591</v>
      </c>
      <c r="D197" s="38" t="s">
        <v>180</v>
      </c>
      <c r="E197" s="38"/>
      <c r="F197" s="38"/>
      <c r="G197" s="38"/>
      <c r="H197" s="38"/>
      <c r="I197" s="50"/>
      <c r="J197" s="50"/>
      <c r="K197" s="50"/>
      <c r="L197" s="79" t="s">
        <v>2082</v>
      </c>
      <c r="M197" s="1585" t="s">
        <v>4042</v>
      </c>
      <c r="N197" s="1586"/>
      <c r="O197" s="1587"/>
      <c r="P197" s="1575" t="s">
        <v>4034</v>
      </c>
      <c r="Q197" s="232"/>
    </row>
    <row r="198" spans="1:32" ht="11.45" customHeight="1">
      <c r="B198" s="55"/>
      <c r="C198" s="79" t="s">
        <v>2592</v>
      </c>
      <c r="D198" s="38" t="s">
        <v>796</v>
      </c>
      <c r="E198" s="38"/>
      <c r="F198" s="38"/>
      <c r="G198" s="38"/>
      <c r="H198" s="38"/>
      <c r="I198" s="50"/>
      <c r="J198" s="50"/>
      <c r="K198" s="50"/>
      <c r="L198" s="79" t="s">
        <v>2083</v>
      </c>
      <c r="M198" s="1608" t="s">
        <v>4043</v>
      </c>
      <c r="N198" s="1609"/>
      <c r="O198" s="1610"/>
      <c r="P198" s="1575" t="s">
        <v>4034</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2866</v>
      </c>
      <c r="C200" s="296" t="s">
        <v>3521</v>
      </c>
      <c r="D200" s="62"/>
      <c r="E200" s="62"/>
      <c r="F200" s="62"/>
      <c r="G200" s="62"/>
      <c r="H200" s="62"/>
      <c r="I200" s="62"/>
      <c r="J200" s="62"/>
      <c r="K200" s="50"/>
      <c r="L200" s="50"/>
      <c r="M200" s="50"/>
      <c r="N200" s="50"/>
      <c r="O200" s="803" t="s">
        <v>2866</v>
      </c>
      <c r="P200" s="1575" t="s">
        <v>4034</v>
      </c>
      <c r="Q200" s="232"/>
    </row>
    <row r="201" spans="1:32" ht="10.9" customHeight="1">
      <c r="B201" s="55"/>
      <c r="C201" s="62" t="s">
        <v>3520</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1" t="s">
        <v>4044</v>
      </c>
      <c r="E203" s="1612"/>
      <c r="F203" s="1612"/>
      <c r="G203" s="1612"/>
      <c r="H203" s="1613"/>
      <c r="I203" s="447"/>
      <c r="J203" s="292"/>
      <c r="K203" s="79" t="s">
        <v>2592</v>
      </c>
      <c r="L203" s="1611"/>
      <c r="M203" s="1612"/>
      <c r="N203" s="1612"/>
      <c r="O203" s="1613"/>
      <c r="P203" s="355"/>
      <c r="Q203" s="292"/>
      <c r="AE203" s="64"/>
      <c r="AF203" s="64"/>
    </row>
    <row r="204" spans="1:32" s="51" customFormat="1" ht="11.45" customHeight="1">
      <c r="A204" s="126"/>
      <c r="B204" s="61"/>
      <c r="C204" s="79" t="s">
        <v>2591</v>
      </c>
      <c r="D204" s="1614" t="s">
        <v>4045</v>
      </c>
      <c r="E204" s="1615"/>
      <c r="F204" s="1615"/>
      <c r="G204" s="1615"/>
      <c r="H204" s="1616"/>
      <c r="I204" s="652"/>
      <c r="J204" s="293"/>
      <c r="K204" s="79" t="s">
        <v>3332</v>
      </c>
      <c r="L204" s="1614"/>
      <c r="M204" s="1615"/>
      <c r="N204" s="1615"/>
      <c r="O204" s="1616"/>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5" t="s">
        <v>4034</v>
      </c>
      <c r="Q206" s="232"/>
    </row>
    <row r="207" spans="1:32" ht="11.45" customHeight="1">
      <c r="B207" s="55"/>
      <c r="C207" s="79" t="s">
        <v>2590</v>
      </c>
      <c r="D207" s="62" t="s">
        <v>188</v>
      </c>
      <c r="E207" s="62"/>
      <c r="F207" s="62"/>
      <c r="G207" s="62"/>
      <c r="H207" s="62"/>
      <c r="I207" s="50"/>
      <c r="J207" s="40"/>
      <c r="K207" s="50"/>
      <c r="L207" s="40"/>
      <c r="M207" s="40"/>
      <c r="O207" s="79" t="s">
        <v>2590</v>
      </c>
      <c r="P207" s="1575" t="s">
        <v>3976</v>
      </c>
      <c r="Q207" s="232"/>
    </row>
    <row r="208" spans="1:32" ht="11.45" customHeight="1">
      <c r="C208" s="79" t="s">
        <v>2591</v>
      </c>
      <c r="D208" s="38" t="s">
        <v>2490</v>
      </c>
      <c r="E208" s="38"/>
      <c r="F208" s="38"/>
      <c r="G208" s="38"/>
      <c r="H208" s="38"/>
      <c r="I208" s="50"/>
      <c r="J208" s="40"/>
      <c r="K208" s="50"/>
      <c r="L208" s="40"/>
      <c r="M208" s="40"/>
      <c r="O208" s="79" t="s">
        <v>2591</v>
      </c>
      <c r="P208" s="1575" t="s">
        <v>3976</v>
      </c>
      <c r="Q208" s="232"/>
    </row>
    <row r="209" spans="1:31" ht="11.45" customHeight="1">
      <c r="C209" s="79" t="s">
        <v>2592</v>
      </c>
      <c r="D209" s="38" t="s">
        <v>2107</v>
      </c>
      <c r="E209" s="38"/>
      <c r="F209" s="38"/>
      <c r="G209" s="38"/>
      <c r="H209" s="38"/>
      <c r="I209" s="50"/>
      <c r="J209" s="40"/>
      <c r="K209" s="50"/>
      <c r="L209" s="40"/>
      <c r="M209" s="40"/>
      <c r="O209" s="79" t="s">
        <v>2592</v>
      </c>
      <c r="P209" s="1575" t="s">
        <v>3976</v>
      </c>
      <c r="Q209" s="232"/>
    </row>
    <row r="210" spans="1:31" ht="11.45" customHeight="1">
      <c r="B210" s="55"/>
      <c r="C210" s="79" t="s">
        <v>3332</v>
      </c>
      <c r="D210" s="38" t="s">
        <v>189</v>
      </c>
      <c r="E210" s="38"/>
      <c r="F210" s="38"/>
      <c r="G210" s="38"/>
      <c r="H210" s="38"/>
      <c r="I210" s="50"/>
      <c r="J210" s="40"/>
      <c r="K210" s="50"/>
      <c r="L210" s="40"/>
      <c r="M210" s="40"/>
      <c r="O210" s="79" t="s">
        <v>3332</v>
      </c>
      <c r="P210" s="1575" t="s">
        <v>3976</v>
      </c>
      <c r="Q210" s="232"/>
    </row>
    <row r="211" spans="1:31" ht="11.45" customHeight="1">
      <c r="B211" s="55"/>
      <c r="C211" s="79" t="s">
        <v>2153</v>
      </c>
      <c r="D211" s="62" t="s">
        <v>1256</v>
      </c>
      <c r="E211" s="62"/>
      <c r="F211" s="62"/>
      <c r="G211" s="62"/>
      <c r="H211" s="62"/>
      <c r="I211" s="50"/>
      <c r="J211" s="40"/>
      <c r="K211" s="50"/>
      <c r="L211" s="40"/>
      <c r="M211" s="40"/>
      <c r="O211" s="79" t="s">
        <v>1257</v>
      </c>
      <c r="P211" s="1575" t="s">
        <v>3976</v>
      </c>
      <c r="Q211" s="232"/>
    </row>
    <row r="212" spans="1:31" ht="11.45" customHeight="1">
      <c r="B212" s="55"/>
      <c r="C212" s="79"/>
      <c r="D212" s="62" t="s">
        <v>2084</v>
      </c>
      <c r="E212" s="62"/>
      <c r="F212" s="62"/>
      <c r="G212" s="62"/>
      <c r="H212" s="62"/>
      <c r="I212" s="50"/>
      <c r="J212" s="40"/>
      <c r="K212" s="50"/>
      <c r="L212" s="40"/>
      <c r="M212" s="40"/>
      <c r="O212" s="79" t="s">
        <v>1258</v>
      </c>
      <c r="P212" s="1575" t="s">
        <v>3978</v>
      </c>
      <c r="Q212" s="232"/>
    </row>
    <row r="213" spans="1:31" ht="3" customHeight="1">
      <c r="B213" s="55"/>
      <c r="C213" s="79"/>
      <c r="D213" s="62"/>
      <c r="E213" s="62"/>
      <c r="F213" s="62"/>
      <c r="G213" s="62"/>
      <c r="H213" s="62"/>
      <c r="I213" s="50"/>
      <c r="J213" s="40"/>
      <c r="K213" s="50"/>
      <c r="L213" s="40"/>
      <c r="M213" s="40"/>
    </row>
    <row r="214" spans="1:31" ht="12" customHeight="1">
      <c r="B214" s="55" t="s">
        <v>3005</v>
      </c>
      <c r="C214" s="296" t="s">
        <v>3871</v>
      </c>
      <c r="D214" s="62"/>
      <c r="E214" s="62"/>
      <c r="F214" s="62"/>
      <c r="G214" s="62"/>
      <c r="H214" s="62"/>
      <c r="I214" s="62"/>
      <c r="J214" s="62"/>
      <c r="K214" s="50"/>
      <c r="L214" s="62"/>
      <c r="M214" s="62"/>
      <c r="O214" s="803" t="s">
        <v>3005</v>
      </c>
      <c r="P214" s="1575"/>
      <c r="Q214" s="232"/>
    </row>
    <row r="215" spans="1:31" ht="11.45" customHeight="1">
      <c r="B215" s="55"/>
      <c r="C215" s="79" t="s">
        <v>2590</v>
      </c>
      <c r="D215" s="47" t="s">
        <v>1807</v>
      </c>
      <c r="E215" s="50"/>
      <c r="F215" s="50"/>
      <c r="G215" s="47"/>
      <c r="H215" s="38"/>
      <c r="I215" s="50"/>
      <c r="J215" s="38"/>
      <c r="K215" s="50"/>
      <c r="L215" s="38"/>
      <c r="M215" s="38"/>
      <c r="O215" s="79" t="s">
        <v>2590</v>
      </c>
      <c r="P215" s="1575"/>
      <c r="Q215" s="232"/>
    </row>
    <row r="216" spans="1:31" ht="11.45" customHeight="1">
      <c r="B216" s="55"/>
      <c r="C216" s="79" t="s">
        <v>2591</v>
      </c>
      <c r="D216" s="47" t="s">
        <v>181</v>
      </c>
      <c r="E216" s="50"/>
      <c r="F216" s="50"/>
      <c r="G216" s="38"/>
      <c r="H216" s="38"/>
      <c r="I216" s="50"/>
      <c r="J216" s="38"/>
      <c r="K216" s="50"/>
      <c r="L216" s="38"/>
      <c r="M216" s="38"/>
      <c r="O216" s="79" t="s">
        <v>2591</v>
      </c>
      <c r="P216" s="1575"/>
      <c r="Q216" s="232"/>
    </row>
    <row r="217" spans="1:31" ht="11.45" customHeight="1">
      <c r="B217" s="55"/>
      <c r="C217" s="79" t="s">
        <v>2592</v>
      </c>
      <c r="D217" s="38" t="s">
        <v>2468</v>
      </c>
      <c r="E217" s="50"/>
      <c r="F217" s="50"/>
      <c r="G217" s="38"/>
      <c r="H217" s="38"/>
      <c r="I217" s="50"/>
      <c r="J217" s="38"/>
      <c r="K217" s="50"/>
      <c r="L217" s="38"/>
      <c r="M217" s="38"/>
      <c r="O217" s="79" t="s">
        <v>3341</v>
      </c>
      <c r="P217" s="1575"/>
      <c r="Q217" s="232"/>
    </row>
    <row r="218" spans="1:31" ht="11.45" customHeight="1">
      <c r="B218" s="44"/>
      <c r="C218" s="50"/>
      <c r="D218" s="38" t="s">
        <v>1852</v>
      </c>
      <c r="E218" s="50"/>
      <c r="F218" s="50"/>
      <c r="G218" s="38"/>
      <c r="H218" s="38"/>
      <c r="I218" s="50"/>
      <c r="J218" s="38"/>
      <c r="K218" s="50"/>
      <c r="L218" s="38"/>
      <c r="M218" s="38"/>
      <c r="O218" s="79" t="s">
        <v>3342</v>
      </c>
      <c r="P218" s="1575"/>
      <c r="Q218" s="232"/>
    </row>
    <row r="219" spans="1:31" ht="11.25" customHeight="1">
      <c r="B219" s="191" t="s">
        <v>2738</v>
      </c>
      <c r="D219" s="191"/>
      <c r="E219" s="191"/>
      <c r="F219" s="191"/>
      <c r="G219" s="191"/>
      <c r="H219" s="48"/>
      <c r="I219" s="180"/>
      <c r="J219" s="180"/>
      <c r="K219" s="180"/>
      <c r="L219" s="851"/>
      <c r="M219" s="851"/>
      <c r="N219" s="851"/>
      <c r="O219" s="851"/>
      <c r="P219" s="851"/>
      <c r="Q219" s="60"/>
    </row>
    <row r="220" spans="1:31" ht="11.45" customHeight="1">
      <c r="A220" s="1579" t="s">
        <v>4074</v>
      </c>
      <c r="B220" s="1580"/>
      <c r="C220" s="1580"/>
      <c r="D220" s="1580"/>
      <c r="E220" s="1580"/>
      <c r="F220" s="1580"/>
      <c r="G220" s="1580"/>
      <c r="H220" s="1580"/>
      <c r="I220" s="1580"/>
      <c r="J220" s="1580"/>
      <c r="K220" s="1580"/>
      <c r="L220" s="1580"/>
      <c r="M220" s="1580"/>
      <c r="N220" s="1580"/>
      <c r="O220" s="1580"/>
      <c r="P220" s="1580"/>
      <c r="Q220" s="1581"/>
      <c r="R220" s="736" t="s">
        <v>1806</v>
      </c>
      <c r="S220" s="737"/>
      <c r="U220" s="186"/>
      <c r="V220" s="186"/>
      <c r="W220" s="186"/>
      <c r="X220" s="186"/>
      <c r="Y220" s="186"/>
      <c r="Z220" s="186"/>
      <c r="AA220" s="186"/>
      <c r="AB220" s="186"/>
      <c r="AC220" s="186"/>
      <c r="AD220" s="186"/>
      <c r="AE220" s="805"/>
    </row>
    <row r="221" spans="1:31" ht="11.25" customHeight="1">
      <c r="B221" s="187" t="s">
        <v>2739</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3803</v>
      </c>
      <c r="C224" s="5"/>
      <c r="D224" s="115"/>
      <c r="E224" s="115"/>
      <c r="F224" s="115"/>
      <c r="G224" s="115"/>
      <c r="H224" s="855"/>
      <c r="I224" s="855"/>
      <c r="J224" s="855"/>
      <c r="K224" s="855"/>
      <c r="L224" s="855"/>
      <c r="M224" s="855"/>
      <c r="O224" s="181" t="s">
        <v>2740</v>
      </c>
      <c r="P224" s="1116"/>
      <c r="Q224" s="1117"/>
    </row>
    <row r="225" spans="1:32" ht="4.9000000000000004" customHeight="1"/>
    <row r="226" spans="1:32" ht="11.45" customHeight="1">
      <c r="B226" s="55" t="s">
        <v>2863</v>
      </c>
      <c r="C226" s="62" t="s">
        <v>1823</v>
      </c>
      <c r="D226" s="50"/>
      <c r="E226" s="62"/>
      <c r="F226" s="62"/>
      <c r="G226" s="62"/>
      <c r="H226" s="62"/>
      <c r="I226" s="50"/>
      <c r="J226" s="50"/>
      <c r="K226" s="50"/>
      <c r="L226" s="803" t="s">
        <v>2863</v>
      </c>
      <c r="M226" s="1585" t="s">
        <v>2626</v>
      </c>
      <c r="N226" s="1586"/>
      <c r="O226" s="1587"/>
      <c r="P226" s="1149" t="s">
        <v>2626</v>
      </c>
      <c r="Q226" s="1150"/>
    </row>
    <row r="227" spans="1:32" ht="11.45" customHeight="1">
      <c r="B227" s="55" t="s">
        <v>2866</v>
      </c>
      <c r="C227" s="62" t="s">
        <v>1795</v>
      </c>
      <c r="D227" s="62"/>
      <c r="E227" s="62"/>
      <c r="F227" s="62"/>
      <c r="G227" s="62"/>
      <c r="H227" s="62"/>
      <c r="I227" s="50"/>
      <c r="J227" s="50"/>
      <c r="K227" s="50"/>
      <c r="L227" s="803" t="s">
        <v>2866</v>
      </c>
      <c r="M227" s="1617"/>
      <c r="N227" s="1618"/>
      <c r="O227" s="1619"/>
      <c r="P227" s="1130"/>
      <c r="Q227" s="1131"/>
    </row>
    <row r="228" spans="1:32" s="199" customFormat="1" ht="11.45" customHeight="1">
      <c r="B228" s="55" t="s">
        <v>1145</v>
      </c>
      <c r="C228" s="62" t="s">
        <v>2824</v>
      </c>
      <c r="D228" s="62"/>
      <c r="E228" s="62"/>
      <c r="F228" s="62"/>
      <c r="G228" s="62"/>
      <c r="H228" s="62"/>
      <c r="I228" s="126"/>
      <c r="J228" s="126"/>
      <c r="K228" s="126"/>
      <c r="L228" s="803" t="s">
        <v>1145</v>
      </c>
      <c r="M228" s="1585"/>
      <c r="N228" s="1586"/>
      <c r="O228" s="1587"/>
      <c r="P228" s="1149"/>
      <c r="Q228" s="1150"/>
      <c r="AE228" s="807"/>
      <c r="AF228" s="807"/>
    </row>
    <row r="229" spans="1:32" s="199" customFormat="1" ht="11.45" customHeight="1">
      <c r="B229" s="55" t="s">
        <v>3005</v>
      </c>
      <c r="C229" s="62" t="s">
        <v>3569</v>
      </c>
      <c r="D229" s="62"/>
      <c r="E229" s="62"/>
      <c r="F229" s="62"/>
      <c r="G229" s="62"/>
      <c r="H229" s="62"/>
      <c r="I229" s="126"/>
      <c r="J229" s="126"/>
      <c r="K229" s="126"/>
      <c r="L229" s="126"/>
      <c r="M229" s="126"/>
      <c r="O229" s="803" t="s">
        <v>3005</v>
      </c>
      <c r="P229" s="1575"/>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575"/>
      <c r="Q230" s="232"/>
      <c r="AE230" s="807"/>
      <c r="AF230" s="807"/>
    </row>
    <row r="231" spans="1:32" ht="11.25" customHeight="1">
      <c r="B231" s="191" t="s">
        <v>2738</v>
      </c>
      <c r="D231" s="191"/>
      <c r="E231" s="191"/>
      <c r="F231" s="191"/>
      <c r="G231" s="191"/>
      <c r="H231" s="48"/>
      <c r="I231" s="180"/>
      <c r="J231" s="180"/>
      <c r="K231" s="180"/>
      <c r="L231" s="851"/>
      <c r="M231" s="851"/>
      <c r="N231" s="851"/>
      <c r="O231" s="851"/>
      <c r="P231" s="851"/>
      <c r="Q231" s="60"/>
    </row>
    <row r="232" spans="1:32" ht="13.15" customHeight="1">
      <c r="A232" s="1579" t="s">
        <v>4046</v>
      </c>
      <c r="B232" s="1580"/>
      <c r="C232" s="1580"/>
      <c r="D232" s="1580"/>
      <c r="E232" s="1580"/>
      <c r="F232" s="1580"/>
      <c r="G232" s="1580"/>
      <c r="H232" s="1580"/>
      <c r="I232" s="1580"/>
      <c r="J232" s="1580"/>
      <c r="K232" s="1580"/>
      <c r="L232" s="1580"/>
      <c r="M232" s="1580"/>
      <c r="N232" s="1580"/>
      <c r="O232" s="1580"/>
      <c r="P232" s="1580"/>
      <c r="Q232" s="1581"/>
      <c r="R232" s="736" t="s">
        <v>1806</v>
      </c>
      <c r="S232" s="737"/>
      <c r="U232" s="186"/>
      <c r="V232" s="186"/>
      <c r="W232" s="186"/>
      <c r="X232" s="186"/>
      <c r="Y232" s="186"/>
      <c r="Z232" s="186"/>
      <c r="AA232" s="186"/>
      <c r="AB232" s="186"/>
      <c r="AC232" s="186"/>
      <c r="AD232" s="186"/>
      <c r="AE232" s="805"/>
    </row>
    <row r="233" spans="1:32" ht="10.9" customHeight="1">
      <c r="B233" s="187" t="s">
        <v>2739</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3804</v>
      </c>
      <c r="C236" s="5"/>
      <c r="D236" s="115"/>
      <c r="E236" s="115"/>
      <c r="F236" s="115"/>
      <c r="G236" s="115"/>
      <c r="H236" s="855"/>
      <c r="I236" s="855"/>
      <c r="J236" s="855"/>
      <c r="K236" s="855"/>
      <c r="L236" s="855"/>
      <c r="M236" s="855"/>
      <c r="O236" s="181" t="s">
        <v>2740</v>
      </c>
      <c r="P236" s="1116"/>
      <c r="Q236" s="1117"/>
    </row>
    <row r="237" spans="1:32" ht="3" customHeight="1"/>
    <row r="238" spans="1:32" s="661" customFormat="1" ht="11.25" customHeight="1">
      <c r="B238" s="192" t="s">
        <v>2863</v>
      </c>
      <c r="C238" s="1125" t="s">
        <v>3847</v>
      </c>
      <c r="D238" s="1125"/>
      <c r="E238" s="1125"/>
      <c r="F238" s="1125"/>
      <c r="G238" s="1125"/>
      <c r="H238" s="1125"/>
      <c r="I238" s="1125"/>
      <c r="J238" s="1125"/>
      <c r="K238" s="1125"/>
      <c r="L238" s="1125"/>
      <c r="M238" s="1125"/>
      <c r="N238" s="1125"/>
      <c r="O238" s="219" t="s">
        <v>2863</v>
      </c>
      <c r="P238" s="1597" t="s">
        <v>3976</v>
      </c>
      <c r="Q238" s="354"/>
      <c r="AE238" s="808"/>
      <c r="AF238" s="808"/>
    </row>
    <row r="239" spans="1:32" s="199" customFormat="1" ht="11.45" customHeight="1">
      <c r="B239" s="55" t="s">
        <v>2866</v>
      </c>
      <c r="C239" s="62" t="s">
        <v>1977</v>
      </c>
      <c r="D239" s="62"/>
      <c r="E239" s="62"/>
      <c r="F239" s="62"/>
      <c r="G239" s="62"/>
      <c r="H239" s="62"/>
      <c r="I239" s="62"/>
      <c r="J239" s="62"/>
      <c r="K239" s="62"/>
      <c r="L239" s="62"/>
      <c r="M239" s="62"/>
      <c r="O239" s="803" t="s">
        <v>2866</v>
      </c>
      <c r="P239" s="1575" t="s">
        <v>3976</v>
      </c>
      <c r="Q239" s="232"/>
      <c r="AE239" s="807"/>
      <c r="AF239" s="807"/>
    </row>
    <row r="240" spans="1:32" ht="11.25" customHeight="1">
      <c r="B240" s="191" t="s">
        <v>2738</v>
      </c>
      <c r="D240" s="191"/>
      <c r="E240" s="191"/>
      <c r="F240" s="191"/>
      <c r="G240" s="191"/>
      <c r="H240" s="48"/>
      <c r="I240" s="180"/>
      <c r="J240" s="180"/>
      <c r="K240" s="180"/>
      <c r="L240" s="851"/>
      <c r="M240" s="851"/>
      <c r="N240" s="851"/>
      <c r="O240" s="851"/>
      <c r="P240" s="851"/>
      <c r="Q240" s="60"/>
    </row>
    <row r="241" spans="1:32" ht="13.15" customHeight="1">
      <c r="A241" s="1579" t="s">
        <v>4047</v>
      </c>
      <c r="B241" s="1580"/>
      <c r="C241" s="1580"/>
      <c r="D241" s="1580"/>
      <c r="E241" s="1580"/>
      <c r="F241" s="1580"/>
      <c r="G241" s="1580"/>
      <c r="H241" s="1580"/>
      <c r="I241" s="1580"/>
      <c r="J241" s="1580"/>
      <c r="K241" s="1580"/>
      <c r="L241" s="1580"/>
      <c r="M241" s="1580"/>
      <c r="N241" s="1580"/>
      <c r="O241" s="1580"/>
      <c r="P241" s="1580"/>
      <c r="Q241" s="1581"/>
      <c r="R241" s="736" t="s">
        <v>1806</v>
      </c>
      <c r="S241" s="737"/>
      <c r="U241" s="186"/>
      <c r="V241" s="186"/>
      <c r="W241" s="186"/>
      <c r="X241" s="186"/>
      <c r="Y241" s="186"/>
      <c r="Z241" s="186"/>
      <c r="AA241" s="186"/>
      <c r="AB241" s="186"/>
      <c r="AC241" s="186"/>
      <c r="AD241" s="186"/>
      <c r="AE241" s="805"/>
    </row>
    <row r="242" spans="1:32" ht="11.25" customHeight="1">
      <c r="B242" s="187" t="s">
        <v>2739</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3805</v>
      </c>
      <c r="C245" s="856"/>
      <c r="D245" s="855"/>
      <c r="E245" s="855"/>
      <c r="F245" s="855"/>
      <c r="G245" s="855"/>
      <c r="H245" s="855"/>
      <c r="I245" s="855"/>
      <c r="J245" s="855"/>
      <c r="K245" s="855"/>
      <c r="L245" s="855"/>
      <c r="M245" s="855"/>
      <c r="O245" s="181" t="s">
        <v>2740</v>
      </c>
      <c r="P245" s="1116"/>
      <c r="Q245" s="1117"/>
    </row>
    <row r="246" spans="1:32" ht="3" customHeight="1"/>
    <row r="247" spans="1:32" s="661" customFormat="1" ht="24" customHeight="1">
      <c r="B247" s="192" t="s">
        <v>2863</v>
      </c>
      <c r="C247" s="1121" t="s">
        <v>3891</v>
      </c>
      <c r="D247" s="1006"/>
      <c r="E247" s="1006"/>
      <c r="F247" s="1006"/>
      <c r="G247" s="1006"/>
      <c r="H247" s="1006"/>
      <c r="I247" s="1006"/>
      <c r="J247" s="1006"/>
      <c r="K247" s="1006"/>
      <c r="L247" s="1006"/>
      <c r="M247" s="1006"/>
      <c r="N247" s="1006"/>
      <c r="O247" s="219" t="s">
        <v>2863</v>
      </c>
      <c r="P247" s="1575" t="s">
        <v>4034</v>
      </c>
      <c r="Q247" s="232"/>
      <c r="AE247" s="808"/>
      <c r="AF247" s="808"/>
    </row>
    <row r="248" spans="1:32" s="661" customFormat="1" ht="24" customHeight="1">
      <c r="B248" s="192" t="s">
        <v>2866</v>
      </c>
      <c r="C248" s="1121" t="s">
        <v>3892</v>
      </c>
      <c r="D248" s="1006"/>
      <c r="E248" s="1006"/>
      <c r="F248" s="1006"/>
      <c r="G248" s="1006"/>
      <c r="H248" s="1006"/>
      <c r="I248" s="1006"/>
      <c r="J248" s="1006"/>
      <c r="K248" s="1006"/>
      <c r="L248" s="1006"/>
      <c r="M248" s="1006"/>
      <c r="N248" s="1006"/>
      <c r="O248" s="219" t="s">
        <v>2866</v>
      </c>
      <c r="P248" s="1575" t="s">
        <v>4034</v>
      </c>
      <c r="Q248" s="232"/>
      <c r="AE248" s="808"/>
      <c r="AF248" s="808"/>
    </row>
    <row r="249" spans="1:32" ht="11.25" customHeight="1">
      <c r="B249" s="191" t="s">
        <v>2738</v>
      </c>
      <c r="D249" s="191"/>
      <c r="E249" s="191"/>
      <c r="F249" s="191"/>
      <c r="G249" s="191"/>
      <c r="H249" s="48"/>
      <c r="I249" s="180"/>
      <c r="J249" s="180"/>
      <c r="K249" s="180"/>
      <c r="L249" s="851"/>
      <c r="M249" s="851"/>
      <c r="N249" s="851"/>
      <c r="O249" s="851"/>
      <c r="P249" s="851"/>
      <c r="Q249" s="60"/>
    </row>
    <row r="250" spans="1:32" ht="13.15" customHeight="1">
      <c r="A250" s="1579" t="s">
        <v>4048</v>
      </c>
      <c r="B250" s="1580"/>
      <c r="C250" s="1580"/>
      <c r="D250" s="1580"/>
      <c r="E250" s="1580"/>
      <c r="F250" s="1580"/>
      <c r="G250" s="1580"/>
      <c r="H250" s="1580"/>
      <c r="I250" s="1580"/>
      <c r="J250" s="1580"/>
      <c r="K250" s="1580"/>
      <c r="L250" s="1580"/>
      <c r="M250" s="1580"/>
      <c r="N250" s="1580"/>
      <c r="O250" s="1580"/>
      <c r="P250" s="1580"/>
      <c r="Q250" s="1581"/>
      <c r="R250" s="736" t="s">
        <v>1806</v>
      </c>
      <c r="S250" s="737"/>
      <c r="U250" s="186"/>
      <c r="V250" s="186"/>
      <c r="W250" s="186"/>
      <c r="X250" s="186"/>
      <c r="Y250" s="186"/>
      <c r="Z250" s="186"/>
      <c r="AA250" s="186"/>
      <c r="AB250" s="186"/>
      <c r="AC250" s="186"/>
      <c r="AD250" s="186"/>
      <c r="AE250" s="805"/>
    </row>
    <row r="251" spans="1:32" ht="11.25" customHeight="1">
      <c r="B251" s="187" t="s">
        <v>2739</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3806</v>
      </c>
      <c r="C254" s="200"/>
      <c r="D254" s="857"/>
      <c r="E254" s="855"/>
      <c r="F254" s="855"/>
      <c r="G254" s="855"/>
      <c r="H254" s="855"/>
      <c r="I254" s="855"/>
      <c r="J254" s="855"/>
      <c r="K254" s="855"/>
      <c r="L254" s="855"/>
      <c r="M254" s="855"/>
      <c r="O254" s="181" t="s">
        <v>2740</v>
      </c>
      <c r="P254" s="1116"/>
      <c r="Q254" s="1117"/>
    </row>
    <row r="255" spans="1:32" s="199" customFormat="1" ht="46.5" customHeight="1">
      <c r="B255" s="192" t="s">
        <v>2863</v>
      </c>
      <c r="C255" s="1121" t="s">
        <v>3834</v>
      </c>
      <c r="D255" s="1121"/>
      <c r="E255" s="1121"/>
      <c r="F255" s="1121"/>
      <c r="G255" s="1121"/>
      <c r="H255" s="1121"/>
      <c r="I255" s="1121"/>
      <c r="J255" s="1121"/>
      <c r="K255" s="1121"/>
      <c r="L255" s="1121"/>
      <c r="M255" s="1121"/>
      <c r="N255" s="1121"/>
      <c r="O255" s="219" t="s">
        <v>2863</v>
      </c>
      <c r="P255" s="1597" t="s">
        <v>3976</v>
      </c>
      <c r="Q255" s="232"/>
      <c r="AE255" s="807"/>
      <c r="AF255" s="807"/>
    </row>
    <row r="256" spans="1:32" s="126" customFormat="1">
      <c r="B256" s="55" t="s">
        <v>2866</v>
      </c>
      <c r="C256" s="1096" t="s">
        <v>3835</v>
      </c>
      <c r="D256" s="1096"/>
      <c r="E256" s="1096"/>
      <c r="F256" s="1096"/>
      <c r="G256" s="1096"/>
      <c r="H256" s="1096"/>
      <c r="I256" s="1096"/>
      <c r="J256" s="1096"/>
      <c r="K256" s="1096"/>
      <c r="L256" s="1096"/>
      <c r="M256" s="1096"/>
      <c r="N256" s="1096"/>
      <c r="O256" s="803" t="s">
        <v>2866</v>
      </c>
      <c r="P256" s="1575" t="s">
        <v>3976</v>
      </c>
      <c r="Q256" s="232"/>
      <c r="AE256" s="809"/>
      <c r="AF256" s="809"/>
    </row>
    <row r="257" spans="1:256" s="661" customFormat="1" ht="22.9" customHeight="1">
      <c r="B257" s="192" t="s">
        <v>1145</v>
      </c>
      <c r="C257" s="1121" t="s">
        <v>2708</v>
      </c>
      <c r="D257" s="1006"/>
      <c r="E257" s="1006"/>
      <c r="F257" s="1006"/>
      <c r="G257" s="1006"/>
      <c r="H257" s="1006"/>
      <c r="I257" s="1006"/>
      <c r="J257" s="1006"/>
      <c r="K257" s="1006"/>
      <c r="L257" s="1006"/>
      <c r="M257" s="1006"/>
      <c r="N257" s="1006"/>
      <c r="O257" s="219" t="s">
        <v>1145</v>
      </c>
      <c r="P257" s="1597" t="s">
        <v>3976</v>
      </c>
      <c r="Q257" s="354"/>
      <c r="AE257" s="808"/>
      <c r="AF257" s="808"/>
    </row>
    <row r="258" spans="1:256" s="199" customFormat="1" ht="12" customHeight="1">
      <c r="B258" s="55" t="s">
        <v>3005</v>
      </c>
      <c r="C258" s="38" t="s">
        <v>2709</v>
      </c>
      <c r="D258" s="732"/>
      <c r="E258" s="732"/>
      <c r="F258" s="732"/>
      <c r="G258" s="732"/>
      <c r="H258" s="732"/>
      <c r="I258" s="732"/>
      <c r="J258" s="732"/>
      <c r="K258" s="732"/>
      <c r="L258" s="732"/>
      <c r="M258" s="732"/>
      <c r="N258" s="731"/>
      <c r="O258" s="803" t="s">
        <v>3005</v>
      </c>
      <c r="P258" s="1575" t="s">
        <v>3976</v>
      </c>
      <c r="Q258" s="232"/>
      <c r="AE258" s="807"/>
      <c r="AF258" s="807"/>
    </row>
    <row r="259" spans="1:256" s="661" customFormat="1" ht="24.75" customHeight="1">
      <c r="B259" s="192" t="s">
        <v>2588</v>
      </c>
      <c r="C259" s="1121" t="s">
        <v>3848</v>
      </c>
      <c r="D259" s="1006"/>
      <c r="E259" s="1006"/>
      <c r="F259" s="1006"/>
      <c r="G259" s="1006"/>
      <c r="H259" s="1006"/>
      <c r="I259" s="1006"/>
      <c r="J259" s="1006"/>
      <c r="K259" s="1006"/>
      <c r="L259" s="1006"/>
      <c r="M259" s="1006"/>
      <c r="N259" s="1006"/>
      <c r="O259" s="219" t="s">
        <v>2588</v>
      </c>
      <c r="P259" s="1597" t="s">
        <v>3976</v>
      </c>
      <c r="Q259" s="354"/>
      <c r="AE259" s="808"/>
      <c r="AF259" s="808"/>
    </row>
    <row r="260" spans="1:256" ht="11.25" customHeight="1">
      <c r="B260" s="191" t="s">
        <v>2738</v>
      </c>
      <c r="D260" s="191"/>
      <c r="E260" s="191"/>
      <c r="F260" s="191"/>
      <c r="G260" s="191"/>
      <c r="H260" s="48"/>
      <c r="I260" s="180"/>
      <c r="J260" s="180"/>
      <c r="K260" s="180"/>
      <c r="L260" s="851"/>
      <c r="M260" s="851"/>
      <c r="N260" s="851"/>
      <c r="O260" s="851"/>
      <c r="P260" s="851"/>
      <c r="Q260" s="60"/>
    </row>
    <row r="261" spans="1:256" ht="11.45" customHeight="1">
      <c r="A261" s="1579" t="s">
        <v>4049</v>
      </c>
      <c r="B261" s="1580"/>
      <c r="C261" s="1580"/>
      <c r="D261" s="1580"/>
      <c r="E261" s="1580"/>
      <c r="F261" s="1580"/>
      <c r="G261" s="1580"/>
      <c r="H261" s="1580"/>
      <c r="I261" s="1580"/>
      <c r="J261" s="1580"/>
      <c r="K261" s="1580"/>
      <c r="L261" s="1580"/>
      <c r="M261" s="1580"/>
      <c r="N261" s="1580"/>
      <c r="O261" s="1580"/>
      <c r="P261" s="1580"/>
      <c r="Q261" s="1581"/>
      <c r="R261" s="736" t="s">
        <v>1806</v>
      </c>
      <c r="S261" s="737"/>
      <c r="U261" s="186"/>
      <c r="V261" s="186"/>
      <c r="W261" s="186"/>
      <c r="X261" s="186"/>
      <c r="Y261" s="186"/>
      <c r="Z261" s="186"/>
      <c r="AA261" s="186"/>
      <c r="AB261" s="186"/>
      <c r="AC261" s="186"/>
      <c r="AD261" s="186"/>
      <c r="AE261" s="805"/>
    </row>
    <row r="262" spans="1:256" ht="11.25" customHeight="1">
      <c r="B262" s="187" t="s">
        <v>2739</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3807</v>
      </c>
      <c r="C264" s="11"/>
      <c r="D264" s="11"/>
      <c r="E264" s="11"/>
      <c r="F264" s="11"/>
      <c r="G264" s="11"/>
      <c r="H264" s="855"/>
      <c r="I264" s="855"/>
      <c r="J264" s="855"/>
      <c r="K264" s="855"/>
      <c r="L264" s="855"/>
      <c r="M264" s="855"/>
      <c r="O264" s="181" t="s">
        <v>2740</v>
      </c>
      <c r="P264" s="1118"/>
      <c r="Q264" s="1119"/>
    </row>
    <row r="265" spans="1:256" ht="11.45" customHeight="1">
      <c r="B265" s="195" t="s">
        <v>3165</v>
      </c>
      <c r="P265" s="1575" t="s">
        <v>3978</v>
      </c>
      <c r="Q265" s="232"/>
    </row>
    <row r="266" spans="1:256" ht="12" customHeight="1">
      <c r="B266" s="197" t="s">
        <v>3113</v>
      </c>
      <c r="C266" s="197"/>
      <c r="D266" s="197"/>
      <c r="E266" s="197"/>
      <c r="F266" s="197"/>
      <c r="G266" s="197"/>
      <c r="H266" s="197"/>
      <c r="I266" s="197"/>
      <c r="J266" s="197"/>
      <c r="K266" s="197"/>
      <c r="L266" s="197"/>
      <c r="P266" s="1575" t="s">
        <v>3976</v>
      </c>
      <c r="Q266" s="232"/>
    </row>
    <row r="267" spans="1:256" ht="11.45" customHeight="1">
      <c r="B267" s="192" t="s">
        <v>2863</v>
      </c>
      <c r="C267" s="259" t="s">
        <v>633</v>
      </c>
      <c r="D267" s="38"/>
      <c r="E267" s="38"/>
      <c r="F267" s="38"/>
      <c r="G267" s="38"/>
      <c r="H267" s="38"/>
      <c r="I267" s="38"/>
      <c r="J267" s="38"/>
      <c r="K267" s="38"/>
      <c r="L267" s="38"/>
      <c r="M267" s="38"/>
      <c r="N267" s="219"/>
    </row>
    <row r="268" spans="1:256" ht="33.6" customHeight="1">
      <c r="A268" s="194"/>
      <c r="C268" s="1121" t="s">
        <v>3939</v>
      </c>
      <c r="D268" s="1121"/>
      <c r="E268" s="1121"/>
      <c r="F268" s="1121"/>
      <c r="G268" s="1121"/>
      <c r="H268" s="1121"/>
      <c r="I268" s="1121"/>
      <c r="J268" s="1121"/>
      <c r="K268" s="1121"/>
      <c r="L268" s="1121"/>
      <c r="M268" s="1121"/>
      <c r="N268" s="1121"/>
      <c r="O268" s="219" t="s">
        <v>2863</v>
      </c>
      <c r="P268" s="1597" t="s">
        <v>3978</v>
      </c>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2866</v>
      </c>
      <c r="C270" s="1161" t="s">
        <v>634</v>
      </c>
      <c r="D270" s="1161"/>
      <c r="E270" s="1161"/>
      <c r="F270" s="1161"/>
      <c r="G270" s="1161"/>
      <c r="H270" s="1161"/>
      <c r="I270" s="1161"/>
      <c r="J270" s="1161"/>
      <c r="K270" s="1161"/>
      <c r="L270" s="1161"/>
      <c r="M270" s="1161"/>
      <c r="O270" s="219" t="s">
        <v>2866</v>
      </c>
      <c r="P270" s="851"/>
      <c r="Q270" s="60"/>
    </row>
    <row r="271" spans="1:256" ht="23.25" customHeight="1">
      <c r="A271" s="194"/>
      <c r="C271" s="294" t="s">
        <v>2590</v>
      </c>
      <c r="D271" s="295" t="s">
        <v>1647</v>
      </c>
      <c r="E271" s="182"/>
      <c r="F271" s="182"/>
      <c r="G271" s="1620" t="s">
        <v>2027</v>
      </c>
      <c r="H271" s="1621"/>
      <c r="I271" s="1621"/>
      <c r="J271" s="1621"/>
      <c r="K271" s="1621"/>
      <c r="L271" s="1621"/>
      <c r="M271" s="1621"/>
      <c r="N271" s="1622"/>
      <c r="O271" s="298" t="s">
        <v>2590</v>
      </c>
      <c r="P271" s="1597" t="s">
        <v>3976</v>
      </c>
      <c r="Q271" s="354"/>
    </row>
    <row r="272" spans="1:256" ht="23.25" customHeight="1">
      <c r="A272" s="194"/>
      <c r="C272" s="294" t="s">
        <v>2591</v>
      </c>
      <c r="D272" s="1110" t="s">
        <v>1648</v>
      </c>
      <c r="E272" s="1111"/>
      <c r="F272" s="1112"/>
      <c r="G272" s="1579" t="s">
        <v>3788</v>
      </c>
      <c r="H272" s="1446"/>
      <c r="I272" s="1446"/>
      <c r="J272" s="1446"/>
      <c r="K272" s="1446"/>
      <c r="L272" s="1446"/>
      <c r="M272" s="1446"/>
      <c r="N272" s="1447"/>
      <c r="O272" s="298" t="s">
        <v>2591</v>
      </c>
      <c r="P272" s="1597" t="s">
        <v>3976</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3836</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23" t="s">
        <v>4051</v>
      </c>
      <c r="E275" s="1624"/>
      <c r="F275" s="1624"/>
      <c r="G275" s="1624"/>
      <c r="H275" s="1624"/>
      <c r="I275" s="1624"/>
      <c r="J275" s="1624"/>
      <c r="K275" s="1624"/>
      <c r="L275" s="1624"/>
      <c r="M275" s="1624"/>
      <c r="N275" s="1625"/>
      <c r="O275" s="298" t="s">
        <v>2590</v>
      </c>
      <c r="P275" s="1597"/>
      <c r="Q275" s="354"/>
      <c r="AE275" s="806"/>
      <c r="AF275" s="806"/>
    </row>
    <row r="276" spans="1:256" s="182" customFormat="1" ht="11.25" customHeight="1">
      <c r="A276" s="194"/>
      <c r="C276" s="294" t="s">
        <v>2591</v>
      </c>
      <c r="D276" s="1623"/>
      <c r="E276" s="1624"/>
      <c r="F276" s="1624"/>
      <c r="G276" s="1624"/>
      <c r="H276" s="1624"/>
      <c r="I276" s="1624"/>
      <c r="J276" s="1624"/>
      <c r="K276" s="1624"/>
      <c r="L276" s="1624"/>
      <c r="M276" s="1624"/>
      <c r="N276" s="1625"/>
      <c r="O276" s="298" t="s">
        <v>2591</v>
      </c>
      <c r="P276" s="1597"/>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2738</v>
      </c>
      <c r="D278" s="191"/>
      <c r="E278" s="191"/>
      <c r="F278" s="191"/>
      <c r="G278" s="191"/>
      <c r="H278" s="48"/>
      <c r="I278" s="180"/>
      <c r="J278" s="180"/>
      <c r="K278" s="180"/>
      <c r="L278" s="851"/>
      <c r="M278" s="851"/>
      <c r="N278" s="851"/>
      <c r="O278" s="851"/>
      <c r="P278" s="851"/>
      <c r="Q278" s="60"/>
    </row>
    <row r="279" spans="1:256" ht="11.45" customHeight="1">
      <c r="A279" s="1579" t="s">
        <v>4050</v>
      </c>
      <c r="B279" s="1580"/>
      <c r="C279" s="1580"/>
      <c r="D279" s="1580"/>
      <c r="E279" s="1580"/>
      <c r="F279" s="1580"/>
      <c r="G279" s="1580"/>
      <c r="H279" s="1580"/>
      <c r="I279" s="1580"/>
      <c r="J279" s="1580"/>
      <c r="K279" s="1580"/>
      <c r="L279" s="1580"/>
      <c r="M279" s="1580"/>
      <c r="N279" s="1580"/>
      <c r="O279" s="1580"/>
      <c r="P279" s="1580"/>
      <c r="Q279" s="1581"/>
      <c r="R279" s="804" t="s">
        <v>1806</v>
      </c>
      <c r="S279" s="168"/>
      <c r="U279" s="186"/>
      <c r="V279" s="186"/>
      <c r="W279" s="186"/>
      <c r="X279" s="186"/>
      <c r="Y279" s="186"/>
      <c r="Z279" s="186"/>
      <c r="AA279" s="186"/>
      <c r="AB279" s="186"/>
      <c r="AC279" s="186"/>
      <c r="AD279" s="186"/>
      <c r="AE279" s="805"/>
    </row>
    <row r="280" spans="1:256" ht="11.25" customHeight="1">
      <c r="B280" s="187" t="s">
        <v>2739</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3808</v>
      </c>
      <c r="C283" s="856"/>
      <c r="D283" s="855"/>
      <c r="E283" s="855"/>
      <c r="F283" s="855"/>
      <c r="G283" s="855"/>
      <c r="H283" s="855"/>
      <c r="O283" s="181" t="s">
        <v>2740</v>
      </c>
      <c r="P283" s="1116"/>
      <c r="Q283" s="1117"/>
    </row>
    <row r="284" spans="1:256" ht="3" customHeight="1"/>
    <row r="285" spans="1:256" ht="11.45" customHeight="1">
      <c r="B285" s="195" t="s">
        <v>3285</v>
      </c>
      <c r="P285" s="1575" t="s">
        <v>3978</v>
      </c>
      <c r="Q285" s="232"/>
    </row>
    <row r="286" spans="1:256" ht="11.45" customHeight="1">
      <c r="B286" s="195" t="s">
        <v>3286</v>
      </c>
      <c r="P286" s="1575"/>
      <c r="Q286" s="232"/>
    </row>
    <row r="287" spans="1:256" ht="11.45" customHeight="1">
      <c r="B287" s="195" t="s">
        <v>850</v>
      </c>
      <c r="L287" s="1626"/>
      <c r="M287" s="1627"/>
      <c r="N287" s="1627"/>
      <c r="O287" s="1628"/>
    </row>
    <row r="288" spans="1:256" ht="11.45" customHeight="1">
      <c r="B288" s="653" t="s">
        <v>3287</v>
      </c>
      <c r="L288" s="1113"/>
      <c r="M288" s="1114"/>
      <c r="N288" s="1114"/>
      <c r="O288" s="1115"/>
    </row>
    <row r="289" spans="1:31" ht="11.25" customHeight="1">
      <c r="B289" s="191" t="s">
        <v>2738</v>
      </c>
      <c r="D289" s="191"/>
      <c r="E289" s="191"/>
      <c r="F289" s="191"/>
      <c r="G289" s="191"/>
      <c r="H289" s="48"/>
      <c r="I289" s="180"/>
      <c r="J289" s="180"/>
      <c r="K289" s="180"/>
      <c r="L289" s="851"/>
      <c r="M289" s="851"/>
      <c r="N289" s="851"/>
      <c r="O289" s="851"/>
      <c r="P289" s="851"/>
      <c r="Q289" s="60"/>
    </row>
    <row r="290" spans="1:31" ht="13.15" customHeight="1">
      <c r="A290" s="1579" t="s">
        <v>4090</v>
      </c>
      <c r="B290" s="1580"/>
      <c r="C290" s="1580"/>
      <c r="D290" s="1580"/>
      <c r="E290" s="1580"/>
      <c r="F290" s="1580"/>
      <c r="G290" s="1580"/>
      <c r="H290" s="1580"/>
      <c r="I290" s="1580"/>
      <c r="J290" s="1580"/>
      <c r="K290" s="1580"/>
      <c r="L290" s="1580"/>
      <c r="M290" s="1580"/>
      <c r="N290" s="1580"/>
      <c r="O290" s="1580"/>
      <c r="P290" s="1580"/>
      <c r="Q290" s="1581"/>
      <c r="R290" s="736" t="s">
        <v>1806</v>
      </c>
      <c r="S290" s="737"/>
      <c r="U290" s="186"/>
      <c r="V290" s="186"/>
      <c r="W290" s="186"/>
      <c r="X290" s="186"/>
      <c r="Y290" s="186"/>
      <c r="Z290" s="186"/>
      <c r="AA290" s="186"/>
      <c r="AB290" s="186"/>
      <c r="AC290" s="186"/>
      <c r="AD290" s="186"/>
      <c r="AE290" s="805"/>
    </row>
    <row r="291" spans="1:31" ht="11.25" customHeight="1">
      <c r="B291" s="187" t="s">
        <v>2739</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3809</v>
      </c>
      <c r="C294" s="5"/>
      <c r="D294" s="115"/>
      <c r="E294" s="855"/>
      <c r="F294" s="855"/>
      <c r="G294" s="855"/>
      <c r="H294" s="855"/>
      <c r="I294" s="855"/>
      <c r="J294" s="855"/>
      <c r="K294" s="855"/>
      <c r="L294" s="855"/>
      <c r="M294" s="855"/>
      <c r="O294" s="181" t="s">
        <v>2740</v>
      </c>
      <c r="P294" s="1116"/>
      <c r="Q294" s="1117"/>
    </row>
    <row r="295" spans="1:31" ht="3" customHeight="1"/>
    <row r="296" spans="1:31" ht="22.15" customHeight="1">
      <c r="B296" s="192" t="s">
        <v>2863</v>
      </c>
      <c r="C296" s="1125" t="s">
        <v>3837</v>
      </c>
      <c r="D296" s="1125"/>
      <c r="E296" s="1125"/>
      <c r="F296" s="1125"/>
      <c r="G296" s="1125"/>
      <c r="H296" s="1125"/>
      <c r="I296" s="1125"/>
      <c r="J296" s="1125"/>
      <c r="K296" s="1125"/>
      <c r="L296" s="1125"/>
      <c r="M296" s="1125"/>
      <c r="N296" s="1125"/>
      <c r="O296" s="219" t="s">
        <v>2863</v>
      </c>
      <c r="P296" s="1575" t="s">
        <v>3976</v>
      </c>
      <c r="Q296" s="232"/>
    </row>
    <row r="297" spans="1:31" ht="11.45" customHeight="1">
      <c r="B297" s="192" t="s">
        <v>2866</v>
      </c>
      <c r="C297" s="1125" t="s">
        <v>3893</v>
      </c>
      <c r="D297" s="1125"/>
      <c r="E297" s="1125"/>
      <c r="F297" s="1125"/>
      <c r="G297" s="1125"/>
      <c r="H297" s="1125"/>
      <c r="I297" s="1125"/>
      <c r="J297" s="1125"/>
      <c r="K297" s="1125"/>
      <c r="L297" s="1125"/>
      <c r="M297" s="1125"/>
      <c r="N297" s="1125"/>
      <c r="O297" s="219" t="s">
        <v>2866</v>
      </c>
      <c r="P297" s="1575" t="s">
        <v>3976</v>
      </c>
      <c r="Q297" s="232"/>
    </row>
    <row r="298" spans="1:31" ht="11.45" customHeight="1">
      <c r="B298" s="192" t="s">
        <v>1145</v>
      </c>
      <c r="C298" s="197" t="s">
        <v>3838</v>
      </c>
      <c r="D298" s="197"/>
      <c r="E298" s="197"/>
      <c r="F298" s="197"/>
      <c r="G298" s="197"/>
      <c r="H298" s="197"/>
      <c r="I298" s="197"/>
      <c r="J298" s="197"/>
      <c r="K298" s="197"/>
      <c r="L298" s="197"/>
      <c r="M298" s="197"/>
      <c r="O298" s="219" t="s">
        <v>1145</v>
      </c>
      <c r="P298" s="1575" t="s">
        <v>3976</v>
      </c>
      <c r="Q298" s="232"/>
    </row>
    <row r="299" spans="1:31" ht="22.15" customHeight="1">
      <c r="B299" s="192" t="s">
        <v>3005</v>
      </c>
      <c r="C299" s="1125" t="s">
        <v>3872</v>
      </c>
      <c r="D299" s="1125"/>
      <c r="E299" s="1125"/>
      <c r="F299" s="1125"/>
      <c r="G299" s="1125"/>
      <c r="H299" s="1125"/>
      <c r="I299" s="1125"/>
      <c r="J299" s="1125"/>
      <c r="K299" s="1125"/>
      <c r="L299" s="1125"/>
      <c r="M299" s="1125"/>
      <c r="N299" s="1125"/>
      <c r="O299" s="219" t="s">
        <v>3005</v>
      </c>
      <c r="P299" s="1575" t="s">
        <v>3976</v>
      </c>
      <c r="Q299" s="232"/>
    </row>
    <row r="300" spans="1:31" ht="11.25" customHeight="1">
      <c r="B300" s="191" t="s">
        <v>2738</v>
      </c>
      <c r="D300" s="191"/>
      <c r="E300" s="191"/>
      <c r="F300" s="191"/>
      <c r="G300" s="191"/>
      <c r="H300" s="48"/>
      <c r="I300" s="180"/>
      <c r="J300" s="180"/>
      <c r="K300" s="180"/>
      <c r="L300" s="851"/>
      <c r="M300" s="851"/>
      <c r="N300" s="851"/>
      <c r="O300" s="851"/>
      <c r="P300" s="851"/>
      <c r="Q300" s="60"/>
    </row>
    <row r="301" spans="1:31" ht="11.45" customHeight="1">
      <c r="A301" s="1579" t="s">
        <v>4052</v>
      </c>
      <c r="B301" s="1580"/>
      <c r="C301" s="1580"/>
      <c r="D301" s="1580"/>
      <c r="E301" s="1580"/>
      <c r="F301" s="1580"/>
      <c r="G301" s="1580"/>
      <c r="H301" s="1580"/>
      <c r="I301" s="1580"/>
      <c r="J301" s="1580"/>
      <c r="K301" s="1580"/>
      <c r="L301" s="1580"/>
      <c r="M301" s="1580"/>
      <c r="N301" s="1580"/>
      <c r="O301" s="1580"/>
      <c r="P301" s="1580"/>
      <c r="Q301" s="1581"/>
      <c r="U301" s="186"/>
      <c r="V301" s="186"/>
      <c r="W301" s="186"/>
      <c r="X301" s="186"/>
      <c r="Y301" s="186"/>
      <c r="Z301" s="186"/>
      <c r="AA301" s="186"/>
      <c r="AB301" s="186"/>
      <c r="AC301" s="186"/>
      <c r="AD301" s="186"/>
      <c r="AE301" s="805"/>
    </row>
    <row r="302" spans="1:31" ht="11.25" customHeight="1">
      <c r="B302" s="187" t="s">
        <v>2739</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3879</v>
      </c>
      <c r="C305" s="5"/>
      <c r="D305" s="5"/>
      <c r="E305" s="5"/>
      <c r="F305" s="5"/>
      <c r="G305" s="5"/>
      <c r="H305" s="855"/>
      <c r="I305" s="855"/>
      <c r="J305" s="855"/>
      <c r="K305" s="855"/>
      <c r="L305" s="855"/>
      <c r="M305" s="855"/>
      <c r="O305" s="181" t="s">
        <v>2740</v>
      </c>
      <c r="P305" s="1116"/>
      <c r="Q305" s="1117"/>
    </row>
    <row r="306" spans="1:32" ht="12" customHeight="1">
      <c r="B306" s="55" t="s">
        <v>2863</v>
      </c>
      <c r="C306" s="161" t="s">
        <v>3874</v>
      </c>
      <c r="D306" s="861"/>
      <c r="E306" s="861"/>
      <c r="F306" s="861"/>
      <c r="G306" s="861"/>
      <c r="H306" s="861"/>
      <c r="I306" s="50"/>
      <c r="J306" s="803" t="s">
        <v>2863</v>
      </c>
      <c r="K306" s="1605" t="s">
        <v>4072</v>
      </c>
      <c r="L306" s="1606"/>
      <c r="M306" s="1606"/>
      <c r="N306" s="1606"/>
      <c r="O306" s="1606"/>
      <c r="P306" s="1607"/>
      <c r="Q306" s="232"/>
    </row>
    <row r="307" spans="1:32" ht="22.5" customHeight="1">
      <c r="B307" s="192" t="s">
        <v>2866</v>
      </c>
      <c r="C307" s="1096" t="s">
        <v>3873</v>
      </c>
      <c r="D307" s="1096"/>
      <c r="E307" s="1096"/>
      <c r="F307" s="1096"/>
      <c r="G307" s="1096"/>
      <c r="H307" s="1096"/>
      <c r="I307" s="1096"/>
      <c r="J307" s="1096"/>
      <c r="K307" s="1096"/>
      <c r="L307" s="1096"/>
      <c r="M307" s="1096"/>
      <c r="N307" s="1096"/>
      <c r="O307" s="219" t="s">
        <v>2866</v>
      </c>
      <c r="P307" s="1597" t="s">
        <v>3976</v>
      </c>
      <c r="Q307" s="232"/>
    </row>
    <row r="308" spans="1:32" ht="11.45" customHeight="1">
      <c r="B308" s="55" t="s">
        <v>1145</v>
      </c>
      <c r="C308" s="62" t="s">
        <v>3875</v>
      </c>
      <c r="D308" s="62"/>
      <c r="E308" s="62"/>
      <c r="F308" s="62"/>
      <c r="G308" s="62"/>
      <c r="H308" s="62"/>
      <c r="I308" s="62"/>
      <c r="J308" s="62"/>
      <c r="K308" s="62"/>
      <c r="L308" s="38"/>
      <c r="M308" s="38"/>
      <c r="O308" s="803" t="s">
        <v>1145</v>
      </c>
      <c r="P308" s="1575" t="s">
        <v>3976</v>
      </c>
      <c r="Q308" s="232"/>
    </row>
    <row r="309" spans="1:32" ht="11.45" customHeight="1">
      <c r="B309" s="55" t="s">
        <v>3005</v>
      </c>
      <c r="C309" s="62" t="s">
        <v>3876</v>
      </c>
      <c r="D309" s="62"/>
      <c r="E309" s="62"/>
      <c r="F309" s="62"/>
      <c r="G309" s="62"/>
      <c r="H309" s="62"/>
      <c r="I309" s="62"/>
      <c r="J309" s="62"/>
      <c r="K309" s="62"/>
      <c r="L309" s="62"/>
      <c r="M309" s="62"/>
      <c r="O309" s="803" t="s">
        <v>3005</v>
      </c>
      <c r="P309" s="1575" t="s">
        <v>3976</v>
      </c>
      <c r="Q309" s="232"/>
    </row>
    <row r="310" spans="1:32" s="182" customFormat="1" ht="11.45" customHeight="1">
      <c r="B310" s="192" t="s">
        <v>2588</v>
      </c>
      <c r="C310" s="1125" t="s">
        <v>3881</v>
      </c>
      <c r="D310" s="1125"/>
      <c r="E310" s="1125"/>
      <c r="F310" s="1125"/>
      <c r="G310" s="1125"/>
      <c r="H310" s="1125"/>
      <c r="I310" s="1125"/>
      <c r="J310" s="1125"/>
      <c r="K310" s="1125"/>
      <c r="L310" s="1125"/>
      <c r="M310" s="1125"/>
      <c r="N310" s="1125"/>
      <c r="O310" s="219" t="s">
        <v>2588</v>
      </c>
      <c r="P310" s="1597" t="s">
        <v>3976</v>
      </c>
      <c r="Q310" s="354"/>
      <c r="AE310" s="806"/>
      <c r="AF310" s="806"/>
    </row>
    <row r="311" spans="1:32" s="182" customFormat="1" ht="11.45" customHeight="1">
      <c r="B311" s="192" t="s">
        <v>2589</v>
      </c>
      <c r="C311" s="1125" t="s">
        <v>3894</v>
      </c>
      <c r="D311" s="1125"/>
      <c r="E311" s="1125"/>
      <c r="F311" s="1125"/>
      <c r="G311" s="1125"/>
      <c r="H311" s="1125"/>
      <c r="I311" s="1125"/>
      <c r="J311" s="1125"/>
      <c r="K311" s="1125"/>
      <c r="L311" s="1125"/>
      <c r="M311" s="1125"/>
      <c r="N311" s="1125"/>
      <c r="O311" s="219" t="s">
        <v>2589</v>
      </c>
      <c r="P311" s="1597" t="s">
        <v>3976</v>
      </c>
      <c r="Q311" s="354"/>
      <c r="AE311" s="806"/>
      <c r="AF311" s="806"/>
    </row>
    <row r="312" spans="1:32" ht="11.45" customHeight="1">
      <c r="B312" s="55" t="s">
        <v>2826</v>
      </c>
      <c r="C312" s="62" t="s">
        <v>3877</v>
      </c>
      <c r="D312" s="62"/>
      <c r="E312" s="62"/>
      <c r="F312" s="62"/>
      <c r="G312" s="62"/>
      <c r="H312" s="62"/>
      <c r="I312" s="62"/>
      <c r="J312" s="62"/>
      <c r="K312" s="62"/>
      <c r="L312" s="62"/>
      <c r="M312" s="62"/>
      <c r="O312" s="803" t="s">
        <v>2826</v>
      </c>
      <c r="P312" s="1575" t="s">
        <v>3976</v>
      </c>
      <c r="Q312" s="232"/>
    </row>
    <row r="313" spans="1:32" ht="11.25" customHeight="1">
      <c r="B313" s="191" t="s">
        <v>2738</v>
      </c>
      <c r="D313" s="191"/>
      <c r="E313" s="191"/>
      <c r="F313" s="191"/>
      <c r="G313" s="191"/>
      <c r="H313" s="48"/>
      <c r="I313" s="180"/>
      <c r="J313" s="180"/>
      <c r="K313" s="180"/>
      <c r="L313" s="851"/>
      <c r="M313" s="851"/>
      <c r="N313" s="851"/>
      <c r="O313" s="851"/>
      <c r="P313" s="851"/>
      <c r="Q313" s="60"/>
    </row>
    <row r="314" spans="1:32" ht="11.45" customHeight="1">
      <c r="A314" s="1579" t="s">
        <v>4073</v>
      </c>
      <c r="B314" s="1580"/>
      <c r="C314" s="1580"/>
      <c r="D314" s="1580"/>
      <c r="E314" s="1580"/>
      <c r="F314" s="1580"/>
      <c r="G314" s="1580"/>
      <c r="H314" s="1580"/>
      <c r="I314" s="1580"/>
      <c r="J314" s="1580"/>
      <c r="K314" s="1580"/>
      <c r="L314" s="1580"/>
      <c r="M314" s="1580"/>
      <c r="N314" s="1580"/>
      <c r="O314" s="1580"/>
      <c r="P314" s="1580"/>
      <c r="Q314" s="1581"/>
      <c r="U314" s="186"/>
      <c r="V314" s="186"/>
      <c r="W314" s="186"/>
      <c r="X314" s="186"/>
      <c r="Y314" s="186"/>
      <c r="Z314" s="186"/>
      <c r="AA314" s="186"/>
      <c r="AB314" s="186"/>
      <c r="AC314" s="186"/>
      <c r="AD314" s="186"/>
      <c r="AE314" s="805"/>
    </row>
    <row r="315" spans="1:32" ht="11.25" customHeight="1">
      <c r="B315" s="187" t="s">
        <v>2739</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3934</v>
      </c>
      <c r="C318" s="5"/>
      <c r="D318" s="5"/>
      <c r="E318" s="5"/>
      <c r="F318" s="5"/>
      <c r="G318" s="5"/>
      <c r="H318" s="855"/>
      <c r="I318" s="855"/>
      <c r="J318" s="855"/>
      <c r="O318" s="181" t="s">
        <v>2740</v>
      </c>
      <c r="P318" s="1116"/>
      <c r="Q318" s="1117"/>
    </row>
    <row r="319" spans="1:32" ht="13.9" customHeight="1">
      <c r="A319" s="856"/>
      <c r="B319" s="149" t="s">
        <v>3815</v>
      </c>
      <c r="C319" s="5"/>
      <c r="D319" s="5"/>
      <c r="E319" s="5"/>
      <c r="F319" s="5"/>
      <c r="G319" s="5"/>
      <c r="H319" s="855"/>
      <c r="I319" s="855"/>
      <c r="J319" s="855"/>
    </row>
    <row r="320" spans="1:32" ht="11.45" customHeight="1">
      <c r="B320" s="55" t="s">
        <v>2863</v>
      </c>
      <c r="C320" s="653" t="s">
        <v>3818</v>
      </c>
      <c r="D320" s="65"/>
      <c r="E320" s="861"/>
      <c r="F320" s="861"/>
      <c r="G320" s="861"/>
      <c r="H320" s="861"/>
      <c r="I320" s="50"/>
      <c r="O320" s="803" t="s">
        <v>2863</v>
      </c>
    </row>
    <row r="321" spans="2:32" s="182" customFormat="1" ht="21.75" customHeight="1">
      <c r="B321" s="192"/>
      <c r="C321" s="201" t="s">
        <v>2590</v>
      </c>
      <c r="D321" s="1171" t="s">
        <v>3816</v>
      </c>
      <c r="E321" s="1171"/>
      <c r="F321" s="1171"/>
      <c r="G321" s="1171"/>
      <c r="H321" s="1171"/>
      <c r="I321" s="1171"/>
      <c r="J321" s="1171"/>
      <c r="K321" s="1171"/>
      <c r="L321" s="1171"/>
      <c r="M321" s="1171"/>
      <c r="N321" s="1171"/>
      <c r="O321" s="201" t="s">
        <v>2590</v>
      </c>
      <c r="P321" s="1597"/>
      <c r="Q321" s="354"/>
      <c r="AE321" s="806"/>
      <c r="AF321" s="806"/>
    </row>
    <row r="322" spans="2:32" s="182" customFormat="1" ht="21.75" customHeight="1">
      <c r="C322" s="201" t="s">
        <v>2591</v>
      </c>
      <c r="D322" s="1121" t="s">
        <v>3817</v>
      </c>
      <c r="E322" s="1121"/>
      <c r="F322" s="1121"/>
      <c r="G322" s="1121"/>
      <c r="H322" s="1121"/>
      <c r="I322" s="1121"/>
      <c r="J322" s="1121"/>
      <c r="K322" s="1121"/>
      <c r="L322" s="1121"/>
      <c r="M322" s="1121"/>
      <c r="N322" s="1121"/>
      <c r="O322" s="201" t="s">
        <v>2591</v>
      </c>
      <c r="P322" s="1597"/>
      <c r="Q322" s="354"/>
      <c r="AE322" s="806"/>
      <c r="AF322" s="806"/>
    </row>
    <row r="323" spans="2:32" s="182" customFormat="1" ht="21.75" customHeight="1">
      <c r="B323" s="192"/>
      <c r="C323" s="201" t="s">
        <v>2592</v>
      </c>
      <c r="D323" s="1121" t="s">
        <v>3820</v>
      </c>
      <c r="E323" s="1121"/>
      <c r="F323" s="1121"/>
      <c r="G323" s="1121"/>
      <c r="H323" s="1121"/>
      <c r="I323" s="1121"/>
      <c r="J323" s="1121"/>
      <c r="K323" s="1121"/>
      <c r="L323" s="1121"/>
      <c r="M323" s="1121"/>
      <c r="N323" s="1121"/>
      <c r="O323" s="201" t="s">
        <v>2592</v>
      </c>
      <c r="P323" s="1597"/>
      <c r="Q323" s="354"/>
      <c r="AE323" s="806"/>
      <c r="AF323" s="806"/>
    </row>
    <row r="324" spans="2:32" s="182" customFormat="1" ht="22.15" customHeight="1">
      <c r="B324" s="192"/>
      <c r="C324" s="201" t="s">
        <v>3332</v>
      </c>
      <c r="D324" s="1121" t="s">
        <v>3821</v>
      </c>
      <c r="E324" s="1121"/>
      <c r="F324" s="1121"/>
      <c r="G324" s="1121"/>
      <c r="H324" s="1121"/>
      <c r="I324" s="1121"/>
      <c r="J324" s="1121"/>
      <c r="K324" s="1121"/>
      <c r="L324" s="1121"/>
      <c r="M324" s="1121"/>
      <c r="N324" s="1121"/>
      <c r="O324" s="201" t="s">
        <v>3332</v>
      </c>
      <c r="P324" s="1597"/>
      <c r="Q324" s="354"/>
      <c r="AE324" s="806"/>
      <c r="AF324" s="806"/>
    </row>
    <row r="325" spans="2:32" s="182" customFormat="1" ht="21.75" customHeight="1">
      <c r="B325" s="192"/>
      <c r="C325" s="201" t="s">
        <v>2153</v>
      </c>
      <c r="D325" s="1121" t="s">
        <v>3822</v>
      </c>
      <c r="E325" s="1121"/>
      <c r="F325" s="1121"/>
      <c r="G325" s="1121"/>
      <c r="H325" s="1121"/>
      <c r="I325" s="1121"/>
      <c r="J325" s="1121"/>
      <c r="K325" s="1121"/>
      <c r="L325" s="1121"/>
      <c r="M325" s="1121"/>
      <c r="N325" s="1121"/>
      <c r="O325" s="201" t="s">
        <v>2153</v>
      </c>
      <c r="P325" s="1597"/>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2866</v>
      </c>
      <c r="C327" s="296" t="s">
        <v>3819</v>
      </c>
      <c r="D327" s="183"/>
      <c r="E327" s="183"/>
      <c r="F327" s="183"/>
      <c r="G327" s="183"/>
      <c r="H327" s="183"/>
      <c r="I327" s="183"/>
      <c r="J327" s="183"/>
      <c r="K327" s="183"/>
      <c r="L327" s="183"/>
      <c r="M327" s="183"/>
      <c r="N327" s="183"/>
      <c r="O327" s="803" t="s">
        <v>2866</v>
      </c>
      <c r="P327" s="727"/>
      <c r="Q327" s="727"/>
    </row>
    <row r="328" spans="2:32" ht="11.25" customHeight="1">
      <c r="B328" s="55"/>
      <c r="C328" s="79" t="s">
        <v>2590</v>
      </c>
      <c r="D328" s="699" t="s">
        <v>3823</v>
      </c>
      <c r="E328" s="699"/>
      <c r="F328" s="699"/>
      <c r="G328" s="699"/>
      <c r="H328" s="699"/>
      <c r="I328" s="699"/>
      <c r="J328" s="699"/>
      <c r="K328" s="699"/>
      <c r="L328" s="699"/>
      <c r="M328" s="699"/>
      <c r="N328" s="729"/>
      <c r="P328" s="79" t="s">
        <v>2590</v>
      </c>
      <c r="Q328" s="232"/>
    </row>
    <row r="329" spans="2:32" ht="11.25" customHeight="1">
      <c r="B329" s="55"/>
      <c r="C329" s="79" t="s">
        <v>2591</v>
      </c>
      <c r="D329" s="184" t="s">
        <v>3824</v>
      </c>
      <c r="E329" s="184"/>
      <c r="F329" s="184"/>
      <c r="G329" s="184"/>
      <c r="H329" s="184"/>
      <c r="I329" s="44"/>
      <c r="J329" s="729"/>
      <c r="K329" s="729"/>
      <c r="L329" s="729"/>
      <c r="M329" s="729"/>
      <c r="N329" s="729"/>
      <c r="P329" s="79" t="s">
        <v>2591</v>
      </c>
      <c r="Q329" s="232"/>
    </row>
    <row r="330" spans="2:32" ht="11.25" customHeight="1">
      <c r="B330" s="55"/>
      <c r="C330" s="79" t="s">
        <v>2592</v>
      </c>
      <c r="D330" s="62" t="s">
        <v>3825</v>
      </c>
      <c r="E330" s="62"/>
      <c r="F330" s="62"/>
      <c r="G330" s="62"/>
      <c r="H330" s="62"/>
      <c r="I330" s="62"/>
      <c r="J330" s="62"/>
      <c r="K330" s="62"/>
      <c r="L330" s="38"/>
      <c r="M330" s="38"/>
      <c r="N330" s="729"/>
      <c r="P330" s="79" t="s">
        <v>2592</v>
      </c>
      <c r="Q330" s="232"/>
    </row>
    <row r="331" spans="2:32" ht="11.25" customHeight="1">
      <c r="B331" s="55"/>
      <c r="C331" s="79" t="s">
        <v>3332</v>
      </c>
      <c r="D331" s="62" t="s">
        <v>3826</v>
      </c>
      <c r="E331" s="62"/>
      <c r="F331" s="62"/>
      <c r="G331" s="62"/>
      <c r="H331" s="62"/>
      <c r="I331" s="62"/>
      <c r="J331" s="62"/>
      <c r="K331" s="62"/>
      <c r="L331" s="62"/>
      <c r="M331" s="62"/>
      <c r="N331" s="62"/>
      <c r="P331" s="79" t="s">
        <v>3332</v>
      </c>
      <c r="Q331" s="232"/>
    </row>
    <row r="332" spans="2:32" ht="11.25" customHeight="1">
      <c r="B332" s="55"/>
      <c r="C332" s="79" t="s">
        <v>2153</v>
      </c>
      <c r="D332" s="62" t="s">
        <v>3827</v>
      </c>
      <c r="E332" s="62"/>
      <c r="F332" s="62"/>
      <c r="G332" s="62"/>
      <c r="H332" s="62"/>
      <c r="I332" s="62"/>
      <c r="J332" s="62"/>
      <c r="K332" s="62"/>
      <c r="L332" s="62"/>
      <c r="M332" s="62"/>
      <c r="N332" s="62"/>
      <c r="P332" s="79" t="s">
        <v>2153</v>
      </c>
      <c r="Q332" s="232"/>
    </row>
    <row r="333" spans="2:32" ht="11.25" customHeight="1">
      <c r="B333" s="192"/>
      <c r="C333" s="803" t="s">
        <v>2154</v>
      </c>
      <c r="D333" s="190" t="s">
        <v>3828</v>
      </c>
      <c r="E333" s="190"/>
      <c r="F333" s="190"/>
      <c r="G333" s="190"/>
      <c r="H333" s="190"/>
      <c r="I333" s="190"/>
      <c r="J333" s="190"/>
      <c r="K333" s="190"/>
      <c r="L333" s="190"/>
      <c r="M333" s="190"/>
      <c r="N333" s="190"/>
      <c r="P333" s="803" t="s">
        <v>2154</v>
      </c>
      <c r="Q333" s="232"/>
    </row>
    <row r="334" spans="2:32" ht="11.25" customHeight="1">
      <c r="B334" s="192"/>
      <c r="C334" s="803" t="s">
        <v>107</v>
      </c>
      <c r="D334" s="62" t="s">
        <v>3829</v>
      </c>
      <c r="E334" s="62"/>
      <c r="F334" s="62"/>
      <c r="G334" s="62"/>
      <c r="H334" s="62"/>
      <c r="I334" s="62"/>
      <c r="J334" s="62"/>
      <c r="K334" s="62"/>
      <c r="L334" s="62"/>
      <c r="M334" s="62"/>
      <c r="N334" s="62"/>
      <c r="P334" s="803" t="s">
        <v>107</v>
      </c>
      <c r="Q334" s="232"/>
    </row>
    <row r="335" spans="2:32" ht="11.25" customHeight="1">
      <c r="B335" s="55"/>
      <c r="C335" s="803" t="s">
        <v>743</v>
      </c>
      <c r="D335" s="699" t="s">
        <v>3830</v>
      </c>
      <c r="E335" s="699"/>
      <c r="F335" s="699"/>
      <c r="G335" s="699"/>
      <c r="H335" s="699"/>
      <c r="I335" s="699"/>
      <c r="J335" s="699"/>
      <c r="K335" s="699"/>
      <c r="L335" s="699"/>
      <c r="M335" s="699"/>
      <c r="N335" s="729"/>
      <c r="P335" s="803" t="s">
        <v>743</v>
      </c>
      <c r="Q335" s="232"/>
    </row>
    <row r="336" spans="2:32" ht="11.25" customHeight="1">
      <c r="B336" s="191" t="s">
        <v>2738</v>
      </c>
      <c r="D336" s="191"/>
      <c r="E336" s="191"/>
      <c r="F336" s="191"/>
      <c r="G336" s="191"/>
      <c r="H336" s="48"/>
      <c r="I336" s="180"/>
      <c r="J336" s="180"/>
      <c r="K336" s="180"/>
      <c r="L336" s="851"/>
      <c r="M336" s="851"/>
      <c r="N336" s="851"/>
      <c r="O336" s="851"/>
      <c r="P336" s="851"/>
      <c r="Q336" s="60"/>
    </row>
    <row r="337" spans="1:31" ht="11.45" customHeight="1">
      <c r="A337" s="1579" t="s">
        <v>4046</v>
      </c>
      <c r="B337" s="1580"/>
      <c r="C337" s="1580"/>
      <c r="D337" s="1580"/>
      <c r="E337" s="1580"/>
      <c r="F337" s="1580"/>
      <c r="G337" s="1580"/>
      <c r="H337" s="1580"/>
      <c r="I337" s="1580"/>
      <c r="J337" s="1580"/>
      <c r="K337" s="1580"/>
      <c r="L337" s="1580"/>
      <c r="M337" s="1580"/>
      <c r="N337" s="1580"/>
      <c r="O337" s="1580"/>
      <c r="P337" s="1580"/>
      <c r="Q337" s="1581"/>
      <c r="U337" s="186"/>
      <c r="V337" s="186"/>
      <c r="W337" s="186"/>
      <c r="X337" s="186"/>
      <c r="Y337" s="186"/>
      <c r="Z337" s="186"/>
      <c r="AA337" s="186"/>
      <c r="AB337" s="186"/>
      <c r="AC337" s="186"/>
      <c r="AD337" s="186"/>
      <c r="AE337" s="805"/>
    </row>
    <row r="338" spans="1:31" ht="11.25" customHeight="1">
      <c r="B338" s="187" t="s">
        <v>2739</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3895</v>
      </c>
      <c r="C341" s="5"/>
      <c r="D341" s="5"/>
      <c r="E341" s="5"/>
      <c r="F341" s="5"/>
      <c r="G341" s="5"/>
      <c r="H341" s="855"/>
      <c r="I341" s="855"/>
      <c r="J341" s="855"/>
      <c r="O341" s="181" t="s">
        <v>2740</v>
      </c>
      <c r="P341" s="1116"/>
      <c r="Q341" s="1117"/>
    </row>
    <row r="342" spans="1:31" ht="11.45" customHeight="1">
      <c r="B342" s="55" t="s">
        <v>2863</v>
      </c>
      <c r="C342" s="161" t="s">
        <v>1543</v>
      </c>
      <c r="E342" s="1585"/>
      <c r="F342" s="1586"/>
      <c r="G342" s="1586"/>
      <c r="H342" s="1586"/>
      <c r="I342" s="1587"/>
      <c r="J342" s="1168" t="s">
        <v>3833</v>
      </c>
      <c r="K342" s="1169"/>
      <c r="L342" s="1170"/>
      <c r="M342" s="1585"/>
      <c r="N342" s="1586"/>
      <c r="O342" s="1586"/>
      <c r="P342" s="1586"/>
      <c r="Q342" s="1587"/>
    </row>
    <row r="343" spans="1:31" ht="11.45" customHeight="1">
      <c r="B343" s="55" t="s">
        <v>2866</v>
      </c>
      <c r="C343" s="62" t="s">
        <v>2593</v>
      </c>
      <c r="D343" s="62"/>
      <c r="E343" s="62"/>
      <c r="F343" s="62"/>
      <c r="G343" s="62"/>
      <c r="H343" s="62"/>
      <c r="I343" s="62"/>
      <c r="J343" s="62"/>
      <c r="K343" s="62"/>
      <c r="L343" s="38"/>
      <c r="M343" s="38"/>
      <c r="O343" s="803" t="s">
        <v>2866</v>
      </c>
      <c r="P343" s="1575"/>
      <c r="Q343" s="232"/>
    </row>
    <row r="344" spans="1:31" ht="11.45" customHeight="1">
      <c r="B344" s="55" t="s">
        <v>1145</v>
      </c>
      <c r="C344" s="62" t="s">
        <v>2008</v>
      </c>
      <c r="D344" s="62"/>
      <c r="E344" s="62"/>
      <c r="F344" s="62"/>
      <c r="G344" s="62"/>
      <c r="H344" s="62"/>
      <c r="I344" s="62"/>
      <c r="J344" s="62"/>
      <c r="K344" s="62"/>
      <c r="L344" s="62"/>
      <c r="M344" s="62"/>
      <c r="O344" s="803" t="s">
        <v>1145</v>
      </c>
      <c r="P344" s="1575"/>
      <c r="Q344" s="232"/>
    </row>
    <row r="345" spans="1:31" ht="11.45" customHeight="1">
      <c r="B345" s="55" t="s">
        <v>3005</v>
      </c>
      <c r="C345" s="62" t="s">
        <v>3878</v>
      </c>
      <c r="D345" s="62"/>
      <c r="E345" s="62"/>
      <c r="F345" s="62"/>
      <c r="G345" s="62"/>
      <c r="H345" s="62"/>
      <c r="I345" s="62"/>
      <c r="J345" s="62"/>
      <c r="K345" s="62"/>
      <c r="L345" s="62"/>
      <c r="M345" s="62"/>
      <c r="O345" s="803" t="s">
        <v>3005</v>
      </c>
      <c r="P345" s="1575"/>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575"/>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597"/>
      <c r="Q347" s="232"/>
    </row>
    <row r="348" spans="1:31" ht="11.45" customHeight="1">
      <c r="B348" s="55" t="s">
        <v>2826</v>
      </c>
      <c r="C348" s="38" t="s">
        <v>792</v>
      </c>
      <c r="D348" s="203"/>
      <c r="E348" s="203"/>
      <c r="F348" s="203"/>
      <c r="G348" s="203"/>
      <c r="H348" s="203"/>
      <c r="I348" s="203"/>
      <c r="J348" s="203"/>
      <c r="K348" s="203"/>
      <c r="L348" s="203"/>
      <c r="M348" s="203"/>
      <c r="O348" s="803" t="s">
        <v>2826</v>
      </c>
      <c r="P348" s="1575"/>
      <c r="Q348" s="232"/>
    </row>
    <row r="349" spans="1:31" ht="11.25" customHeight="1">
      <c r="B349" s="191" t="s">
        <v>2738</v>
      </c>
      <c r="D349" s="191"/>
      <c r="E349" s="191"/>
      <c r="F349" s="191"/>
      <c r="G349" s="191"/>
      <c r="H349" s="48"/>
      <c r="I349" s="180"/>
      <c r="J349" s="180"/>
      <c r="K349" s="180"/>
      <c r="L349" s="851"/>
      <c r="M349" s="851"/>
      <c r="N349" s="851"/>
      <c r="O349" s="851"/>
      <c r="P349" s="851"/>
      <c r="Q349" s="60"/>
    </row>
    <row r="350" spans="1:31" ht="11.45" customHeight="1">
      <c r="A350" s="1579" t="s">
        <v>4046</v>
      </c>
      <c r="B350" s="1580"/>
      <c r="C350" s="1580"/>
      <c r="D350" s="1580"/>
      <c r="E350" s="1580"/>
      <c r="F350" s="1580"/>
      <c r="G350" s="1580"/>
      <c r="H350" s="1580"/>
      <c r="I350" s="1580"/>
      <c r="J350" s="1580"/>
      <c r="K350" s="1580"/>
      <c r="L350" s="1580"/>
      <c r="M350" s="1580"/>
      <c r="N350" s="1580"/>
      <c r="O350" s="1580"/>
      <c r="P350" s="1580"/>
      <c r="Q350" s="1581"/>
      <c r="U350" s="186"/>
      <c r="V350" s="186"/>
      <c r="W350" s="186"/>
      <c r="X350" s="186"/>
      <c r="Y350" s="186"/>
      <c r="Z350" s="186"/>
      <c r="AA350" s="186"/>
      <c r="AB350" s="186"/>
      <c r="AC350" s="186"/>
      <c r="AD350" s="186"/>
      <c r="AE350" s="805"/>
    </row>
    <row r="351" spans="1:31" ht="11.25" customHeight="1">
      <c r="B351" s="187" t="s">
        <v>2739</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3831</v>
      </c>
      <c r="C354" s="5"/>
      <c r="D354" s="115"/>
      <c r="E354" s="855"/>
      <c r="F354" s="855"/>
      <c r="G354" s="855"/>
      <c r="H354" s="855"/>
      <c r="I354" s="855"/>
      <c r="J354" s="855"/>
      <c r="K354" s="855"/>
      <c r="L354" s="855"/>
      <c r="M354" s="855"/>
      <c r="O354" s="181" t="s">
        <v>2740</v>
      </c>
      <c r="P354" s="1116"/>
      <c r="Q354" s="1117"/>
    </row>
    <row r="355" spans="1:32" s="2" customFormat="1" ht="23.45" customHeight="1">
      <c r="B355" s="192" t="s">
        <v>2863</v>
      </c>
      <c r="C355" s="1125" t="s">
        <v>183</v>
      </c>
      <c r="D355" s="1125"/>
      <c r="E355" s="1125"/>
      <c r="F355" s="1125"/>
      <c r="G355" s="1125"/>
      <c r="H355" s="1125"/>
      <c r="I355" s="1125"/>
      <c r="J355" s="1125"/>
      <c r="K355" s="1125"/>
      <c r="L355" s="1125"/>
      <c r="M355" s="219" t="s">
        <v>2863</v>
      </c>
      <c r="N355" s="1629" t="s">
        <v>4053</v>
      </c>
      <c r="O355" s="1630"/>
      <c r="P355" s="1172" t="s">
        <v>2626</v>
      </c>
      <c r="Q355" s="1173"/>
      <c r="AE355" s="6"/>
      <c r="AF355" s="6"/>
    </row>
    <row r="356" spans="1:32" s="2" customFormat="1" ht="12" customHeight="1">
      <c r="B356" s="55" t="s">
        <v>2866</v>
      </c>
      <c r="C356" s="158" t="s">
        <v>1</v>
      </c>
      <c r="D356" s="203"/>
      <c r="E356" s="203"/>
      <c r="G356" s="803" t="s">
        <v>2866</v>
      </c>
      <c r="H356" s="1631" t="s">
        <v>4091</v>
      </c>
      <c r="I356" s="1632"/>
      <c r="J356" s="1632"/>
      <c r="K356" s="1632"/>
      <c r="L356" s="1632"/>
      <c r="M356" s="1632"/>
      <c r="N356" s="1632"/>
      <c r="O356" s="1632"/>
      <c r="P356" s="1633"/>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5" t="s">
        <v>3976</v>
      </c>
      <c r="Q357" s="232"/>
      <c r="AE357" s="6"/>
      <c r="AF357" s="6"/>
    </row>
    <row r="358" spans="1:32" ht="11.25" customHeight="1">
      <c r="B358" s="191" t="s">
        <v>2738</v>
      </c>
      <c r="D358" s="191"/>
      <c r="E358" s="191"/>
      <c r="F358" s="191"/>
      <c r="G358" s="191"/>
      <c r="H358" s="48"/>
      <c r="I358" s="180"/>
      <c r="J358" s="180"/>
      <c r="K358" s="180"/>
      <c r="L358" s="851"/>
      <c r="M358" s="851"/>
      <c r="N358" s="851"/>
      <c r="O358" s="851"/>
      <c r="P358" s="851"/>
      <c r="Q358" s="60"/>
    </row>
    <row r="359" spans="1:32" ht="11.45" customHeight="1">
      <c r="A359" s="1579" t="s">
        <v>4092</v>
      </c>
      <c r="B359" s="1580"/>
      <c r="C359" s="1580"/>
      <c r="D359" s="1580"/>
      <c r="E359" s="1580"/>
      <c r="F359" s="1580"/>
      <c r="G359" s="1580"/>
      <c r="H359" s="1580"/>
      <c r="I359" s="1580"/>
      <c r="J359" s="1580"/>
      <c r="K359" s="1580"/>
      <c r="L359" s="1580"/>
      <c r="M359" s="1580"/>
      <c r="N359" s="1580"/>
      <c r="O359" s="1580"/>
      <c r="P359" s="1580"/>
      <c r="Q359" s="1581"/>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2739</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3810</v>
      </c>
      <c r="C364" s="5"/>
      <c r="D364" s="5"/>
      <c r="E364" s="855"/>
      <c r="G364" s="190" t="s">
        <v>976</v>
      </c>
      <c r="H364" s="855"/>
      <c r="I364" s="855"/>
      <c r="J364" s="855"/>
      <c r="K364" s="855"/>
      <c r="L364" s="855"/>
      <c r="M364" s="855"/>
      <c r="O364" s="181" t="s">
        <v>2740</v>
      </c>
      <c r="P364" s="1116"/>
      <c r="Q364" s="1163"/>
    </row>
    <row r="365" spans="1:32" ht="12" customHeight="1">
      <c r="A365" s="194"/>
      <c r="B365" s="55" t="s">
        <v>2863</v>
      </c>
      <c r="C365" s="62" t="s">
        <v>3839</v>
      </c>
      <c r="D365" s="727"/>
      <c r="E365" s="727"/>
      <c r="H365" s="190"/>
      <c r="O365" s="803" t="s">
        <v>2863</v>
      </c>
      <c r="P365" s="1575" t="s">
        <v>3978</v>
      </c>
      <c r="Q365" s="232"/>
    </row>
    <row r="366" spans="1:32" ht="12" customHeight="1">
      <c r="A366" s="194"/>
      <c r="B366" s="55" t="s">
        <v>2866</v>
      </c>
      <c r="C366" s="62" t="s">
        <v>3840</v>
      </c>
      <c r="D366" s="727"/>
      <c r="E366" s="727"/>
      <c r="O366" s="803" t="s">
        <v>2866</v>
      </c>
      <c r="P366" s="1575" t="s">
        <v>3978</v>
      </c>
      <c r="Q366" s="232"/>
    </row>
    <row r="367" spans="1:32" ht="12" customHeight="1">
      <c r="A367" s="194"/>
      <c r="B367" s="55" t="s">
        <v>1145</v>
      </c>
      <c r="C367" s="62" t="s">
        <v>3896</v>
      </c>
      <c r="D367" s="727"/>
      <c r="E367" s="727"/>
      <c r="O367" s="803" t="s">
        <v>1145</v>
      </c>
      <c r="P367" s="1575" t="s">
        <v>3976</v>
      </c>
      <c r="Q367" s="232"/>
    </row>
    <row r="368" spans="1:32" ht="12" customHeight="1">
      <c r="A368" s="194"/>
      <c r="B368" s="55" t="s">
        <v>3005</v>
      </c>
      <c r="C368" s="62" t="s">
        <v>3832</v>
      </c>
      <c r="E368" s="190"/>
      <c r="O368" s="803" t="s">
        <v>3005</v>
      </c>
      <c r="P368" s="1575" t="s">
        <v>3978</v>
      </c>
      <c r="Q368" s="232"/>
    </row>
    <row r="369" spans="1:31" ht="12" customHeight="1">
      <c r="B369" s="55" t="s">
        <v>2588</v>
      </c>
      <c r="C369" s="62" t="s">
        <v>2968</v>
      </c>
      <c r="E369" s="190"/>
      <c r="G369" s="803" t="s">
        <v>2588</v>
      </c>
      <c r="H369" s="1598" t="s">
        <v>4093</v>
      </c>
      <c r="I369" s="1599"/>
      <c r="J369" s="1599"/>
      <c r="K369" s="1599"/>
      <c r="L369" s="1599"/>
      <c r="M369" s="1599"/>
      <c r="N369" s="1599"/>
      <c r="O369" s="1600"/>
      <c r="P369" s="1575"/>
      <c r="Q369" s="232"/>
    </row>
    <row r="370" spans="1:31" ht="11.25" customHeight="1">
      <c r="B370" s="191" t="s">
        <v>2738</v>
      </c>
      <c r="D370" s="191"/>
      <c r="E370" s="191"/>
      <c r="F370" s="191"/>
      <c r="G370" s="191"/>
      <c r="H370" s="48"/>
      <c r="I370" s="180"/>
      <c r="J370" s="180"/>
      <c r="K370" s="180"/>
      <c r="L370" s="851"/>
      <c r="M370" s="851"/>
      <c r="N370" s="851"/>
      <c r="O370" s="851"/>
      <c r="P370" s="851"/>
      <c r="Q370" s="60"/>
    </row>
    <row r="371" spans="1:31" ht="11.45" customHeight="1">
      <c r="A371" s="1579" t="s">
        <v>4055</v>
      </c>
      <c r="B371" s="1580"/>
      <c r="C371" s="1580"/>
      <c r="D371" s="1580"/>
      <c r="E371" s="1580"/>
      <c r="F371" s="1580"/>
      <c r="G371" s="1580"/>
      <c r="H371" s="1580"/>
      <c r="I371" s="1580"/>
      <c r="J371" s="1580"/>
      <c r="K371" s="1580"/>
      <c r="L371" s="1580"/>
      <c r="M371" s="1580"/>
      <c r="N371" s="1580"/>
      <c r="O371" s="1580"/>
      <c r="P371" s="1580"/>
      <c r="Q371" s="1581"/>
      <c r="U371" s="186"/>
      <c r="V371" s="186"/>
      <c r="W371" s="186"/>
      <c r="X371" s="186"/>
      <c r="Y371" s="186"/>
      <c r="Z371" s="186"/>
      <c r="AA371" s="186"/>
      <c r="AB371" s="186"/>
      <c r="AC371" s="186"/>
      <c r="AD371" s="186"/>
      <c r="AE371" s="805"/>
    </row>
    <row r="372" spans="1:31" ht="11.25" customHeight="1">
      <c r="B372" s="187" t="s">
        <v>2739</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3811</v>
      </c>
      <c r="C375" s="1167"/>
      <c r="D375" s="1167"/>
      <c r="E375" s="1167"/>
      <c r="F375" s="1167"/>
      <c r="G375" s="1167"/>
      <c r="H375" s="855"/>
      <c r="I375" s="855"/>
      <c r="J375" s="855"/>
      <c r="K375" s="855"/>
      <c r="L375" s="855"/>
      <c r="M375" s="855"/>
      <c r="O375" s="181" t="s">
        <v>2740</v>
      </c>
      <c r="P375" s="1116"/>
      <c r="Q375" s="1163"/>
    </row>
    <row r="376" spans="1:31" ht="21.75" customHeight="1">
      <c r="A376" s="189"/>
      <c r="B376" s="192" t="s">
        <v>2863</v>
      </c>
      <c r="C376" s="1125" t="s">
        <v>837</v>
      </c>
      <c r="D376" s="1125"/>
      <c r="E376" s="1125"/>
      <c r="F376" s="1125"/>
      <c r="G376" s="1125"/>
      <c r="H376" s="1125"/>
      <c r="I376" s="1125"/>
      <c r="J376" s="1125"/>
      <c r="K376" s="1125"/>
      <c r="L376" s="1125"/>
      <c r="M376" s="1125"/>
      <c r="N376" s="1125"/>
      <c r="O376" s="219" t="s">
        <v>2863</v>
      </c>
      <c r="P376" s="1575" t="s">
        <v>4034</v>
      </c>
      <c r="Q376" s="232"/>
    </row>
    <row r="377" spans="1:31" ht="12" customHeight="1">
      <c r="A377" s="189"/>
      <c r="B377" s="55" t="s">
        <v>2866</v>
      </c>
      <c r="C377" s="197" t="s">
        <v>793</v>
      </c>
      <c r="D377" s="855"/>
      <c r="E377" s="855"/>
      <c r="F377" s="855"/>
      <c r="G377" s="855"/>
      <c r="H377" s="855"/>
      <c r="I377" s="855"/>
      <c r="J377" s="855"/>
      <c r="K377" s="855"/>
      <c r="L377" s="855"/>
      <c r="M377" s="855"/>
      <c r="O377" s="803" t="s">
        <v>2866</v>
      </c>
      <c r="P377" s="1575" t="s">
        <v>2104</v>
      </c>
      <c r="Q377" s="232"/>
    </row>
    <row r="378" spans="1:31" ht="11.25" customHeight="1">
      <c r="B378" s="127" t="s">
        <v>2738</v>
      </c>
      <c r="D378" s="127"/>
      <c r="E378" s="127"/>
      <c r="F378" s="127"/>
      <c r="G378" s="127"/>
      <c r="H378" s="48"/>
      <c r="I378" s="180"/>
      <c r="J378" s="180"/>
      <c r="K378" s="187" t="s">
        <v>2739</v>
      </c>
      <c r="L378" s="851"/>
      <c r="M378" s="851"/>
      <c r="N378" s="851"/>
      <c r="O378" s="235"/>
      <c r="P378" s="851"/>
      <c r="Q378" s="60"/>
    </row>
    <row r="379" spans="1:31" ht="11.45" customHeight="1">
      <c r="A379" s="1579" t="s">
        <v>4056</v>
      </c>
      <c r="B379" s="1580"/>
      <c r="C379" s="1580"/>
      <c r="D379" s="1580"/>
      <c r="E379" s="1580"/>
      <c r="F379" s="1580"/>
      <c r="G379" s="1580"/>
      <c r="H379" s="1580"/>
      <c r="I379" s="1580"/>
      <c r="J379" s="1581"/>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3812</v>
      </c>
      <c r="C381" s="5"/>
      <c r="D381" s="5"/>
      <c r="E381" s="5"/>
      <c r="F381" s="5"/>
      <c r="G381" s="5"/>
      <c r="H381" s="855"/>
      <c r="I381" s="855"/>
      <c r="J381" s="855"/>
      <c r="K381" s="855"/>
      <c r="L381" s="855"/>
      <c r="M381" s="855"/>
      <c r="O381" s="181" t="s">
        <v>2740</v>
      </c>
      <c r="P381" s="1116"/>
      <c r="Q381" s="1163"/>
    </row>
    <row r="382" spans="1:31" ht="12" customHeight="1">
      <c r="A382" s="50"/>
      <c r="B382" s="55" t="s">
        <v>2863</v>
      </c>
      <c r="C382" s="47" t="s">
        <v>1148</v>
      </c>
      <c r="D382" s="50"/>
      <c r="E382" s="50"/>
      <c r="F382" s="50"/>
      <c r="G382" s="50"/>
      <c r="H382" s="50"/>
      <c r="I382" s="50"/>
      <c r="J382" s="50"/>
      <c r="K382" s="50"/>
      <c r="L382" s="50"/>
      <c r="M382" s="50"/>
      <c r="N382" s="50"/>
      <c r="O382" s="803" t="s">
        <v>2863</v>
      </c>
      <c r="P382" s="1575"/>
      <c r="Q382" s="232"/>
    </row>
    <row r="383" spans="1:31" ht="12" customHeight="1">
      <c r="A383" s="50"/>
      <c r="B383" s="55" t="s">
        <v>2866</v>
      </c>
      <c r="C383" s="47" t="s">
        <v>3102</v>
      </c>
      <c r="D383" s="50"/>
      <c r="E383" s="50"/>
      <c r="F383" s="50"/>
      <c r="G383" s="50"/>
      <c r="H383" s="50"/>
      <c r="I383" s="50"/>
      <c r="J383" s="50"/>
      <c r="K383" s="50"/>
      <c r="L383" s="50"/>
      <c r="M383" s="50"/>
      <c r="N383" s="50"/>
      <c r="O383" s="803" t="s">
        <v>2030</v>
      </c>
      <c r="P383" s="1575"/>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3103</v>
      </c>
      <c r="D385" s="62"/>
      <c r="E385" s="62"/>
      <c r="F385" s="62"/>
      <c r="G385" s="62"/>
      <c r="H385" s="62"/>
      <c r="I385" s="62"/>
      <c r="J385" s="62"/>
      <c r="K385" s="62"/>
      <c r="L385" s="62"/>
      <c r="M385" s="62"/>
      <c r="N385" s="50"/>
      <c r="O385" s="803" t="s">
        <v>2591</v>
      </c>
      <c r="P385" s="1575"/>
      <c r="Q385" s="232"/>
    </row>
    <row r="386" spans="1:32" ht="12" customHeight="1">
      <c r="A386" s="50"/>
      <c r="B386" s="55" t="s">
        <v>1145</v>
      </c>
      <c r="C386" s="1096" t="s">
        <v>3101</v>
      </c>
      <c r="D386" s="1096"/>
      <c r="E386" s="1096"/>
      <c r="F386" s="1096"/>
      <c r="G386" s="1096"/>
      <c r="H386" s="1096"/>
      <c r="I386" s="1096"/>
      <c r="J386" s="1096"/>
      <c r="K386" s="1096"/>
      <c r="L386" s="1096"/>
      <c r="M386" s="1096"/>
      <c r="N386" s="1096"/>
      <c r="O386" s="803" t="s">
        <v>1145</v>
      </c>
      <c r="P386" s="1575"/>
      <c r="Q386" s="232"/>
    </row>
    <row r="387" spans="1:32" ht="12" customHeight="1">
      <c r="A387" s="50"/>
      <c r="B387" s="55" t="s">
        <v>3005</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3104</v>
      </c>
      <c r="D388" s="44"/>
      <c r="E388" s="50"/>
      <c r="F388" s="38"/>
      <c r="G388" s="1634"/>
      <c r="H388" s="662" t="s">
        <v>291</v>
      </c>
      <c r="J388" s="184" t="s">
        <v>3107</v>
      </c>
      <c r="K388" s="38"/>
      <c r="N388" s="1634"/>
      <c r="O388" s="662" t="s">
        <v>291</v>
      </c>
    </row>
    <row r="389" spans="1:32" ht="12" customHeight="1">
      <c r="A389" s="50"/>
      <c r="B389" s="55"/>
      <c r="C389" s="184" t="s">
        <v>3105</v>
      </c>
      <c r="D389" s="44"/>
      <c r="E389" s="50"/>
      <c r="F389" s="38"/>
      <c r="G389" s="1634"/>
      <c r="H389" s="662"/>
      <c r="J389" s="184" t="s">
        <v>3108</v>
      </c>
      <c r="K389" s="38"/>
      <c r="N389" s="1634"/>
      <c r="O389" s="662"/>
    </row>
    <row r="390" spans="1:32" ht="12" customHeight="1">
      <c r="A390" s="50"/>
      <c r="B390" s="55"/>
      <c r="C390" s="184" t="s">
        <v>3106</v>
      </c>
      <c r="D390" s="44"/>
      <c r="E390" s="50"/>
      <c r="F390" s="38"/>
      <c r="G390" s="1634"/>
      <c r="H390" s="662" t="s">
        <v>291</v>
      </c>
      <c r="K390" s="38"/>
      <c r="L390" s="38"/>
      <c r="M390" s="38"/>
      <c r="N390" s="50"/>
      <c r="O390" s="803"/>
    </row>
    <row r="391" spans="1:32" ht="12" customHeight="1">
      <c r="A391" s="50"/>
      <c r="B391" s="55" t="s">
        <v>2588</v>
      </c>
      <c r="C391" s="38" t="s">
        <v>3359</v>
      </c>
      <c r="D391" s="38"/>
      <c r="E391" s="38"/>
      <c r="F391" s="38"/>
      <c r="G391" s="38"/>
      <c r="J391" s="50"/>
      <c r="K391" s="38"/>
      <c r="L391" s="38"/>
      <c r="M391" s="38"/>
      <c r="N391" s="50"/>
      <c r="O391" s="803"/>
      <c r="P391" s="803"/>
      <c r="Q391" s="803"/>
    </row>
    <row r="392" spans="1:32" ht="12" customHeight="1">
      <c r="A392" s="50"/>
      <c r="B392" s="55"/>
      <c r="C392" s="697" t="s">
        <v>3109</v>
      </c>
      <c r="D392" s="38"/>
      <c r="E392" s="38"/>
      <c r="F392" s="38"/>
      <c r="G392" s="1575"/>
      <c r="H392" s="232"/>
      <c r="J392" s="697" t="s">
        <v>1705</v>
      </c>
      <c r="K392" s="38"/>
      <c r="N392" s="1575"/>
      <c r="O392" s="232"/>
    </row>
    <row r="393" spans="1:32" ht="12" customHeight="1">
      <c r="A393" s="50"/>
      <c r="B393" s="55"/>
      <c r="C393" s="697" t="s">
        <v>1704</v>
      </c>
      <c r="D393" s="38"/>
      <c r="E393" s="38"/>
      <c r="F393" s="38"/>
      <c r="G393" s="1575"/>
      <c r="H393" s="232"/>
      <c r="J393" s="697" t="s">
        <v>3167</v>
      </c>
      <c r="N393" s="1635"/>
      <c r="O393" s="1636"/>
      <c r="P393" s="1636"/>
      <c r="Q393" s="1637"/>
    </row>
    <row r="394" spans="1:32" ht="12" customHeight="1">
      <c r="B394" s="191" t="s">
        <v>2738</v>
      </c>
      <c r="D394" s="191"/>
      <c r="E394" s="191"/>
      <c r="F394" s="191"/>
      <c r="G394" s="191"/>
      <c r="H394" s="48"/>
      <c r="I394" s="180"/>
      <c r="J394" s="180"/>
      <c r="K394" s="180"/>
      <c r="P394" s="851"/>
      <c r="Q394" s="60"/>
    </row>
    <row r="395" spans="1:32" ht="12" customHeight="1">
      <c r="A395" s="1579" t="s">
        <v>4046</v>
      </c>
      <c r="B395" s="1580"/>
      <c r="C395" s="1580"/>
      <c r="D395" s="1580"/>
      <c r="E395" s="1580"/>
      <c r="F395" s="1580"/>
      <c r="G395" s="1580"/>
      <c r="H395" s="1580"/>
      <c r="I395" s="1580"/>
      <c r="J395" s="1580"/>
      <c r="K395" s="1580"/>
      <c r="L395" s="1580"/>
      <c r="M395" s="1580"/>
      <c r="N395" s="1580"/>
      <c r="O395" s="1580"/>
      <c r="P395" s="1580"/>
      <c r="Q395" s="1581"/>
      <c r="U395" s="186"/>
      <c r="V395" s="186"/>
      <c r="W395" s="186"/>
      <c r="X395" s="186"/>
      <c r="Y395" s="186"/>
      <c r="Z395" s="186"/>
      <c r="AA395" s="186"/>
      <c r="AB395" s="186"/>
      <c r="AC395" s="186"/>
      <c r="AD395" s="186"/>
      <c r="AE395" s="805"/>
    </row>
    <row r="396" spans="1:32" ht="12" customHeight="1">
      <c r="B396" s="187" t="s">
        <v>2739</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3813</v>
      </c>
      <c r="C399" s="5"/>
      <c r="D399" s="115"/>
      <c r="E399" s="855"/>
      <c r="F399" s="855"/>
      <c r="G399" s="855"/>
      <c r="H399" s="855"/>
      <c r="O399" s="181" t="s">
        <v>2740</v>
      </c>
      <c r="P399" s="1116"/>
      <c r="Q399" s="1117"/>
    </row>
    <row r="400" spans="1:32" s="182" customFormat="1" ht="21.75" customHeight="1">
      <c r="B400" s="192" t="s">
        <v>2863</v>
      </c>
      <c r="C400" s="1162" t="s">
        <v>3882</v>
      </c>
      <c r="D400" s="1162"/>
      <c r="E400" s="1162"/>
      <c r="F400" s="1162"/>
      <c r="G400" s="1162"/>
      <c r="H400" s="1162"/>
      <c r="I400" s="1162"/>
      <c r="J400" s="1162"/>
      <c r="K400" s="1162"/>
      <c r="L400" s="1162"/>
      <c r="M400" s="1162"/>
      <c r="N400" s="1162"/>
      <c r="O400" s="219" t="s">
        <v>2863</v>
      </c>
      <c r="P400" s="1597" t="s">
        <v>4034</v>
      </c>
      <c r="Q400" s="354"/>
      <c r="AE400" s="806"/>
      <c r="AF400" s="806"/>
    </row>
    <row r="401" spans="1:32" s="182" customFormat="1" ht="12" customHeight="1">
      <c r="B401" s="192" t="s">
        <v>2866</v>
      </c>
      <c r="C401" s="1162" t="s">
        <v>3883</v>
      </c>
      <c r="D401" s="1162"/>
      <c r="E401" s="1162"/>
      <c r="F401" s="1162"/>
      <c r="G401" s="1162"/>
      <c r="H401" s="1162"/>
      <c r="I401" s="1162"/>
      <c r="J401" s="1162"/>
      <c r="K401" s="1162"/>
      <c r="L401" s="1162"/>
      <c r="M401" s="1162"/>
      <c r="N401" s="1162"/>
      <c r="O401" s="219" t="s">
        <v>2866</v>
      </c>
      <c r="P401" s="1597" t="s">
        <v>4034</v>
      </c>
      <c r="Q401" s="354"/>
      <c r="AE401" s="806"/>
      <c r="AF401" s="806"/>
    </row>
    <row r="402" spans="1:32" s="182" customFormat="1" ht="21.75" customHeight="1">
      <c r="B402" s="192" t="s">
        <v>1145</v>
      </c>
      <c r="C402" s="1162" t="s">
        <v>3884</v>
      </c>
      <c r="D402" s="1162"/>
      <c r="E402" s="1162"/>
      <c r="F402" s="1162"/>
      <c r="G402" s="1162"/>
      <c r="H402" s="1162"/>
      <c r="I402" s="1162"/>
      <c r="J402" s="1162"/>
      <c r="K402" s="1162"/>
      <c r="L402" s="1162"/>
      <c r="M402" s="1162"/>
      <c r="N402" s="1162"/>
      <c r="O402" s="219" t="s">
        <v>1145</v>
      </c>
      <c r="P402" s="1597" t="s">
        <v>4034</v>
      </c>
      <c r="Q402" s="354"/>
      <c r="AE402" s="806"/>
      <c r="AF402" s="806"/>
    </row>
    <row r="403" spans="1:32" s="182" customFormat="1" ht="33.75" customHeight="1">
      <c r="B403" s="192" t="s">
        <v>3005</v>
      </c>
      <c r="C403" s="1162" t="s">
        <v>3885</v>
      </c>
      <c r="D403" s="1162"/>
      <c r="E403" s="1162"/>
      <c r="F403" s="1162"/>
      <c r="G403" s="1162"/>
      <c r="H403" s="1162"/>
      <c r="I403" s="1162"/>
      <c r="J403" s="1162"/>
      <c r="K403" s="1162"/>
      <c r="L403" s="1162"/>
      <c r="M403" s="1162"/>
      <c r="N403" s="1162"/>
      <c r="O403" s="219" t="s">
        <v>3005</v>
      </c>
      <c r="P403" s="1597" t="s">
        <v>4034</v>
      </c>
      <c r="Q403" s="354"/>
      <c r="AE403" s="806"/>
      <c r="AF403" s="806"/>
    </row>
    <row r="404" spans="1:32" s="182" customFormat="1" ht="23.45" customHeight="1">
      <c r="B404" s="192" t="s">
        <v>2588</v>
      </c>
      <c r="C404" s="1162" t="s">
        <v>3886</v>
      </c>
      <c r="D404" s="1162"/>
      <c r="E404" s="1162"/>
      <c r="F404" s="1162"/>
      <c r="G404" s="1162"/>
      <c r="H404" s="1162"/>
      <c r="I404" s="1162"/>
      <c r="J404" s="1162"/>
      <c r="K404" s="1162"/>
      <c r="L404" s="1162"/>
      <c r="M404" s="1162"/>
      <c r="N404" s="1162"/>
      <c r="O404" s="219" t="s">
        <v>2588</v>
      </c>
      <c r="P404" s="1597" t="s">
        <v>4034</v>
      </c>
      <c r="Q404" s="354"/>
      <c r="AE404" s="806"/>
      <c r="AF404" s="806"/>
    </row>
    <row r="405" spans="1:32" s="182" customFormat="1" ht="21.75" customHeight="1">
      <c r="B405" s="192" t="s">
        <v>2589</v>
      </c>
      <c r="C405" s="1162" t="s">
        <v>3887</v>
      </c>
      <c r="D405" s="1162"/>
      <c r="E405" s="1162"/>
      <c r="F405" s="1162"/>
      <c r="G405" s="1162"/>
      <c r="H405" s="1162"/>
      <c r="I405" s="1162"/>
      <c r="J405" s="1162"/>
      <c r="K405" s="1162"/>
      <c r="L405" s="1162"/>
      <c r="M405" s="1162"/>
      <c r="N405" s="1162"/>
      <c r="O405" s="219" t="s">
        <v>2589</v>
      </c>
      <c r="P405" s="1597" t="s">
        <v>4034</v>
      </c>
      <c r="Q405" s="354"/>
      <c r="AE405" s="806"/>
      <c r="AF405" s="806"/>
    </row>
    <row r="406" spans="1:32" ht="11.25" customHeight="1">
      <c r="B406" s="191" t="s">
        <v>2738</v>
      </c>
      <c r="D406" s="191"/>
      <c r="E406" s="191"/>
      <c r="F406" s="191"/>
      <c r="G406" s="191"/>
      <c r="H406" s="48"/>
      <c r="I406" s="180"/>
      <c r="J406" s="180"/>
      <c r="K406" s="180"/>
      <c r="L406" s="851"/>
      <c r="M406" s="851"/>
      <c r="N406" s="851"/>
      <c r="O406" s="851"/>
      <c r="P406" s="851"/>
      <c r="Q406" s="60"/>
    </row>
    <row r="407" spans="1:32" ht="11.45" customHeight="1">
      <c r="A407" s="1579" t="s">
        <v>4057</v>
      </c>
      <c r="B407" s="1580"/>
      <c r="C407" s="1580"/>
      <c r="D407" s="1580"/>
      <c r="E407" s="1580"/>
      <c r="F407" s="1580"/>
      <c r="G407" s="1580"/>
      <c r="H407" s="1580"/>
      <c r="I407" s="1580"/>
      <c r="J407" s="1580"/>
      <c r="K407" s="1580"/>
      <c r="L407" s="1580"/>
      <c r="M407" s="1580"/>
      <c r="N407" s="1580"/>
      <c r="O407" s="1580"/>
      <c r="P407" s="1580"/>
      <c r="Q407" s="1581"/>
      <c r="R407" s="736" t="s">
        <v>1806</v>
      </c>
      <c r="S407" s="737"/>
      <c r="U407" s="186"/>
      <c r="V407" s="186"/>
      <c r="W407" s="186"/>
      <c r="X407" s="186"/>
      <c r="Y407" s="186"/>
      <c r="Z407" s="186"/>
      <c r="AA407" s="186"/>
      <c r="AB407" s="186"/>
      <c r="AC407" s="186"/>
      <c r="AD407" s="186"/>
      <c r="AE407" s="805"/>
    </row>
    <row r="408" spans="1:32" ht="11.25" customHeight="1">
      <c r="B408" s="187" t="s">
        <v>2739</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3814</v>
      </c>
      <c r="C411" s="5"/>
      <c r="D411" s="115"/>
      <c r="E411" s="855"/>
      <c r="F411" s="855"/>
      <c r="G411" s="855"/>
      <c r="H411" s="855"/>
      <c r="I411" s="855"/>
      <c r="J411" s="855"/>
      <c r="K411" s="855"/>
      <c r="L411" s="855"/>
      <c r="M411" s="855"/>
      <c r="O411" s="181" t="s">
        <v>2740</v>
      </c>
      <c r="P411" s="1116"/>
      <c r="Q411" s="1117"/>
    </row>
    <row r="412" spans="1:32" ht="11.25" customHeight="1">
      <c r="A412" s="856"/>
      <c r="B412" s="191" t="s">
        <v>2738</v>
      </c>
      <c r="D412" s="191"/>
      <c r="E412" s="191"/>
      <c r="F412" s="191"/>
      <c r="G412" s="191"/>
      <c r="H412" s="48"/>
      <c r="I412" s="180"/>
      <c r="J412" s="180"/>
      <c r="K412" s="180"/>
      <c r="L412" s="851"/>
      <c r="M412" s="851"/>
      <c r="N412" s="851"/>
      <c r="O412" s="851"/>
      <c r="P412" s="851"/>
      <c r="Q412" s="60"/>
    </row>
    <row r="413" spans="1:32" ht="11.45" customHeight="1">
      <c r="A413" s="1579" t="s">
        <v>4094</v>
      </c>
      <c r="B413" s="1580"/>
      <c r="C413" s="1580"/>
      <c r="D413" s="1580"/>
      <c r="E413" s="1580"/>
      <c r="F413" s="1580"/>
      <c r="G413" s="1580"/>
      <c r="H413" s="1580"/>
      <c r="I413" s="1580"/>
      <c r="J413" s="1580"/>
      <c r="K413" s="1580"/>
      <c r="L413" s="1580"/>
      <c r="M413" s="1580"/>
      <c r="N413" s="1580"/>
      <c r="O413" s="1580"/>
      <c r="P413" s="1580"/>
      <c r="Q413" s="1581"/>
      <c r="R413" s="736" t="s">
        <v>1806</v>
      </c>
      <c r="S413" s="737"/>
      <c r="U413" s="186"/>
      <c r="V413" s="186"/>
      <c r="W413" s="186"/>
      <c r="X413" s="186"/>
      <c r="Y413" s="186"/>
      <c r="Z413" s="186"/>
      <c r="AA413" s="186"/>
      <c r="AB413" s="186"/>
      <c r="AC413" s="186"/>
      <c r="AD413" s="186"/>
      <c r="AE413" s="805"/>
    </row>
    <row r="414" spans="1:32" ht="11.25" customHeight="1">
      <c r="B414" s="187" t="s">
        <v>2739</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38"/>
      <c r="B419" s="1638"/>
      <c r="C419" s="1638"/>
      <c r="D419" s="1638"/>
      <c r="E419" s="1638"/>
      <c r="F419" s="1638"/>
      <c r="G419" s="1638"/>
      <c r="H419" s="1638"/>
      <c r="I419" s="1638"/>
      <c r="J419" s="1638"/>
      <c r="K419" s="1638"/>
      <c r="L419" s="1638"/>
      <c r="M419" s="1638"/>
      <c r="N419" s="1638"/>
      <c r="O419" s="1638"/>
      <c r="P419" s="1638"/>
      <c r="Q419" s="1638"/>
      <c r="AE419" s="807"/>
      <c r="AF419" s="807"/>
    </row>
    <row r="420" spans="1:32" s="199" customFormat="1" ht="12" customHeight="1">
      <c r="A420" s="1638"/>
      <c r="B420" s="1638"/>
      <c r="C420" s="1638"/>
      <c r="D420" s="1638"/>
      <c r="E420" s="1638"/>
      <c r="F420" s="1638"/>
      <c r="G420" s="1638"/>
      <c r="H420" s="1638"/>
      <c r="I420" s="1638"/>
      <c r="J420" s="1638"/>
      <c r="K420" s="1638"/>
      <c r="L420" s="1638"/>
      <c r="M420" s="1638"/>
      <c r="N420" s="1638"/>
      <c r="O420" s="1638"/>
      <c r="P420" s="1638"/>
      <c r="Q420" s="1638"/>
      <c r="AE420" s="807"/>
      <c r="AF420" s="807"/>
    </row>
    <row r="421" spans="1:32" s="199" customFormat="1" ht="12" customHeight="1">
      <c r="A421" s="1638"/>
      <c r="B421" s="1638"/>
      <c r="C421" s="1638"/>
      <c r="D421" s="1638"/>
      <c r="E421" s="1638"/>
      <c r="F421" s="1638"/>
      <c r="G421" s="1638"/>
      <c r="H421" s="1638"/>
      <c r="I421" s="1638"/>
      <c r="J421" s="1638"/>
      <c r="K421" s="1638"/>
      <c r="L421" s="1638"/>
      <c r="M421" s="1638"/>
      <c r="N421" s="1638"/>
      <c r="O421" s="1638"/>
      <c r="P421" s="1638"/>
      <c r="Q421" s="1638"/>
      <c r="AE421" s="807"/>
      <c r="AF421" s="807"/>
    </row>
    <row r="422" spans="1:32" s="199" customFormat="1" ht="12" customHeight="1">
      <c r="A422" s="1638"/>
      <c r="B422" s="1638"/>
      <c r="C422" s="1638"/>
      <c r="D422" s="1638"/>
      <c r="E422" s="1638"/>
      <c r="F422" s="1638"/>
      <c r="G422" s="1638"/>
      <c r="H422" s="1638"/>
      <c r="I422" s="1638"/>
      <c r="J422" s="1638"/>
      <c r="K422" s="1638"/>
      <c r="L422" s="1638"/>
      <c r="M422" s="1638"/>
      <c r="N422" s="1638"/>
      <c r="O422" s="1638"/>
      <c r="P422" s="1638"/>
      <c r="Q422" s="1638"/>
      <c r="AE422" s="807"/>
      <c r="AF422" s="807"/>
    </row>
    <row r="423" spans="1:32" s="199" customFormat="1" ht="12" customHeight="1">
      <c r="A423" s="1638"/>
      <c r="B423" s="1638"/>
      <c r="C423" s="1638"/>
      <c r="D423" s="1638"/>
      <c r="E423" s="1638"/>
      <c r="F423" s="1638"/>
      <c r="G423" s="1638"/>
      <c r="H423" s="1638"/>
      <c r="I423" s="1638"/>
      <c r="J423" s="1638"/>
      <c r="K423" s="1638"/>
      <c r="L423" s="1638"/>
      <c r="M423" s="1638"/>
      <c r="N423" s="1638"/>
      <c r="O423" s="1638"/>
      <c r="P423" s="1638"/>
      <c r="Q423" s="1638"/>
      <c r="AE423" s="807"/>
      <c r="AF423" s="807"/>
    </row>
    <row r="424" spans="1:32" s="199" customFormat="1" ht="12" customHeight="1">
      <c r="A424" s="1638"/>
      <c r="B424" s="1638"/>
      <c r="C424" s="1638"/>
      <c r="D424" s="1638"/>
      <c r="E424" s="1638"/>
      <c r="F424" s="1638"/>
      <c r="G424" s="1638"/>
      <c r="H424" s="1638"/>
      <c r="I424" s="1638"/>
      <c r="J424" s="1638"/>
      <c r="K424" s="1638"/>
      <c r="L424" s="1638"/>
      <c r="M424" s="1638"/>
      <c r="N424" s="1638"/>
      <c r="O424" s="1638"/>
      <c r="P424" s="1638"/>
      <c r="Q424" s="1638"/>
      <c r="AE424" s="807"/>
      <c r="AF424" s="807"/>
    </row>
    <row r="425" spans="1:32" s="199" customFormat="1" ht="12" customHeight="1">
      <c r="A425" s="1638"/>
      <c r="B425" s="1638"/>
      <c r="C425" s="1638"/>
      <c r="D425" s="1638"/>
      <c r="E425" s="1638"/>
      <c r="F425" s="1638"/>
      <c r="G425" s="1638"/>
      <c r="H425" s="1638"/>
      <c r="I425" s="1638"/>
      <c r="J425" s="1638"/>
      <c r="K425" s="1638"/>
      <c r="L425" s="1638"/>
      <c r="M425" s="1638"/>
      <c r="N425" s="1638"/>
      <c r="O425" s="1638"/>
      <c r="P425" s="1638"/>
      <c r="Q425" s="1638"/>
      <c r="AE425" s="807"/>
      <c r="AF425" s="807"/>
    </row>
    <row r="426" spans="1:32" s="199" customFormat="1" ht="12" customHeight="1">
      <c r="A426" s="1638"/>
      <c r="B426" s="1638"/>
      <c r="C426" s="1638"/>
      <c r="D426" s="1638"/>
      <c r="E426" s="1638"/>
      <c r="F426" s="1638"/>
      <c r="G426" s="1638"/>
      <c r="H426" s="1638"/>
      <c r="I426" s="1638"/>
      <c r="J426" s="1638"/>
      <c r="K426" s="1638"/>
      <c r="L426" s="1638"/>
      <c r="M426" s="1638"/>
      <c r="N426" s="1638"/>
      <c r="O426" s="1638"/>
      <c r="P426" s="1638"/>
      <c r="Q426" s="1638"/>
      <c r="AE426" s="807"/>
      <c r="AF426" s="807"/>
    </row>
    <row r="427" spans="1:32" s="199" customFormat="1" ht="12" customHeight="1">
      <c r="A427" s="1638"/>
      <c r="B427" s="1638"/>
      <c r="C427" s="1638"/>
      <c r="D427" s="1638"/>
      <c r="E427" s="1638"/>
      <c r="F427" s="1638"/>
      <c r="G427" s="1638"/>
      <c r="H427" s="1638"/>
      <c r="I427" s="1638"/>
      <c r="J427" s="1638"/>
      <c r="K427" s="1638"/>
      <c r="L427" s="1638"/>
      <c r="M427" s="1638"/>
      <c r="N427" s="1638"/>
      <c r="O427" s="1638"/>
      <c r="P427" s="1638"/>
      <c r="Q427" s="1638"/>
      <c r="AE427" s="807"/>
      <c r="AF427" s="807"/>
    </row>
    <row r="428" spans="1:32" s="199" customFormat="1" ht="12" customHeight="1">
      <c r="A428" s="1638"/>
      <c r="B428" s="1638"/>
      <c r="C428" s="1638"/>
      <c r="D428" s="1638"/>
      <c r="E428" s="1638"/>
      <c r="F428" s="1638"/>
      <c r="G428" s="1638"/>
      <c r="H428" s="1638"/>
      <c r="I428" s="1638"/>
      <c r="J428" s="1638"/>
      <c r="K428" s="1638"/>
      <c r="L428" s="1638"/>
      <c r="M428" s="1638"/>
      <c r="N428" s="1638"/>
      <c r="O428" s="1638"/>
      <c r="P428" s="1638"/>
      <c r="Q428" s="1638"/>
      <c r="AE428" s="807"/>
      <c r="AF428" s="807"/>
    </row>
    <row r="429" spans="1:32" s="199" customFormat="1" ht="12" customHeight="1">
      <c r="A429" s="1638"/>
      <c r="B429" s="1638"/>
      <c r="C429" s="1638"/>
      <c r="D429" s="1638"/>
      <c r="E429" s="1638"/>
      <c r="F429" s="1638"/>
      <c r="G429" s="1638"/>
      <c r="H429" s="1638"/>
      <c r="I429" s="1638"/>
      <c r="J429" s="1638"/>
      <c r="K429" s="1638"/>
      <c r="L429" s="1638"/>
      <c r="M429" s="1638"/>
      <c r="N429" s="1638"/>
      <c r="O429" s="1638"/>
      <c r="P429" s="1638"/>
      <c r="Q429" s="1638"/>
      <c r="AE429" s="807"/>
      <c r="AF429" s="807"/>
    </row>
    <row r="430" spans="1:32" s="199" customFormat="1" ht="12" customHeight="1">
      <c r="A430" s="1638"/>
      <c r="B430" s="1638"/>
      <c r="C430" s="1638"/>
      <c r="D430" s="1638"/>
      <c r="E430" s="1638"/>
      <c r="F430" s="1638"/>
      <c r="G430" s="1638"/>
      <c r="H430" s="1638"/>
      <c r="I430" s="1638"/>
      <c r="J430" s="1638"/>
      <c r="K430" s="1638"/>
      <c r="L430" s="1638"/>
      <c r="M430" s="1638"/>
      <c r="N430" s="1638"/>
      <c r="O430" s="1638"/>
      <c r="P430" s="1638"/>
      <c r="Q430" s="1638"/>
      <c r="AE430" s="807"/>
      <c r="AF430" s="807"/>
    </row>
    <row r="431" spans="1:32" s="199" customFormat="1" ht="12" customHeight="1">
      <c r="A431" s="1638"/>
      <c r="B431" s="1638"/>
      <c r="C431" s="1638"/>
      <c r="D431" s="1638"/>
      <c r="E431" s="1638"/>
      <c r="F431" s="1638"/>
      <c r="G431" s="1638"/>
      <c r="H431" s="1638"/>
      <c r="I431" s="1638"/>
      <c r="J431" s="1638"/>
      <c r="K431" s="1638"/>
      <c r="L431" s="1638"/>
      <c r="M431" s="1638"/>
      <c r="N431" s="1638"/>
      <c r="O431" s="1638"/>
      <c r="P431" s="1638"/>
      <c r="Q431" s="1638"/>
      <c r="AE431" s="807"/>
      <c r="AF431" s="807"/>
    </row>
    <row r="432" spans="1:32" s="199" customFormat="1" ht="12" customHeight="1">
      <c r="A432" s="1638"/>
      <c r="B432" s="1638"/>
      <c r="C432" s="1638"/>
      <c r="D432" s="1638"/>
      <c r="E432" s="1638"/>
      <c r="F432" s="1638"/>
      <c r="G432" s="1638"/>
      <c r="H432" s="1638"/>
      <c r="I432" s="1638"/>
      <c r="J432" s="1638"/>
      <c r="K432" s="1638"/>
      <c r="L432" s="1638"/>
      <c r="M432" s="1638"/>
      <c r="N432" s="1638"/>
      <c r="O432" s="1638"/>
      <c r="P432" s="1638"/>
      <c r="Q432" s="1638"/>
      <c r="AE432" s="807"/>
      <c r="AF432" s="807"/>
    </row>
    <row r="433" spans="1:32" s="199" customFormat="1" ht="12" customHeight="1">
      <c r="A433" s="1638"/>
      <c r="B433" s="1638"/>
      <c r="C433" s="1638"/>
      <c r="D433" s="1638"/>
      <c r="E433" s="1638"/>
      <c r="F433" s="1638"/>
      <c r="G433" s="1638"/>
      <c r="H433" s="1638"/>
      <c r="I433" s="1638"/>
      <c r="J433" s="1638"/>
      <c r="K433" s="1638"/>
      <c r="L433" s="1638"/>
      <c r="M433" s="1638"/>
      <c r="N433" s="1638"/>
      <c r="O433" s="1638"/>
      <c r="P433" s="1638"/>
      <c r="Q433" s="1638"/>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2978</v>
      </c>
      <c r="D437" s="747"/>
      <c r="E437" s="747"/>
      <c r="F437" s="747"/>
      <c r="G437" s="747"/>
      <c r="H437" s="747"/>
      <c r="I437" s="747"/>
      <c r="J437" s="747" t="s">
        <v>2626</v>
      </c>
      <c r="K437" s="747"/>
      <c r="N437" s="704"/>
      <c r="O437" s="730"/>
      <c r="P437" s="730"/>
      <c r="AE437" s="721"/>
      <c r="AF437" s="721"/>
    </row>
    <row r="438" spans="1:32" s="697" customFormat="1" ht="11.25">
      <c r="C438" s="746" t="s">
        <v>3570</v>
      </c>
      <c r="D438" s="746"/>
      <c r="E438" s="746"/>
      <c r="F438" s="746"/>
      <c r="G438" s="746"/>
      <c r="H438" s="746"/>
      <c r="I438" s="746"/>
      <c r="J438" s="748" t="s">
        <v>2576</v>
      </c>
      <c r="K438" s="746"/>
      <c r="N438" s="704"/>
      <c r="O438" s="730"/>
      <c r="P438" s="730"/>
      <c r="AE438" s="721"/>
      <c r="AF438" s="721"/>
    </row>
    <row r="439" spans="1:32" s="697" customFormat="1" ht="11.25">
      <c r="C439" s="746" t="s">
        <v>2979</v>
      </c>
      <c r="D439" s="746"/>
      <c r="E439" s="746"/>
      <c r="F439" s="746"/>
      <c r="G439" s="746"/>
      <c r="H439" s="746"/>
      <c r="I439" s="746"/>
      <c r="J439" s="748" t="s">
        <v>274</v>
      </c>
      <c r="K439" s="746"/>
      <c r="N439" s="704"/>
      <c r="O439" s="730"/>
      <c r="P439" s="730"/>
      <c r="AE439" s="721"/>
      <c r="AF439" s="721"/>
    </row>
    <row r="440" spans="1:32" s="697" customFormat="1" ht="11.25">
      <c r="C440" s="746" t="s">
        <v>2980</v>
      </c>
      <c r="D440" s="746"/>
      <c r="E440" s="746"/>
      <c r="F440" s="746"/>
      <c r="G440" s="746"/>
      <c r="H440" s="746"/>
      <c r="I440" s="746"/>
      <c r="J440" s="747" t="s">
        <v>1709</v>
      </c>
      <c r="K440" s="746"/>
      <c r="N440" s="704"/>
      <c r="O440" s="730"/>
      <c r="P440" s="730"/>
      <c r="AE440" s="721"/>
      <c r="AF440" s="721"/>
    </row>
    <row r="441" spans="1:32" s="697" customFormat="1" ht="11.25">
      <c r="C441" s="749" t="s">
        <v>2981</v>
      </c>
      <c r="D441" s="746"/>
      <c r="E441" s="746"/>
      <c r="F441" s="746"/>
      <c r="G441" s="746"/>
      <c r="H441" s="746"/>
      <c r="I441" s="746"/>
      <c r="J441" s="750" t="s">
        <v>2993</v>
      </c>
      <c r="K441" s="746"/>
      <c r="N441" s="704"/>
      <c r="O441" s="730"/>
      <c r="P441" s="730"/>
      <c r="AE441" s="721"/>
      <c r="AF441" s="721"/>
    </row>
    <row r="442" spans="1:32" s="697" customFormat="1" ht="11.25">
      <c r="C442" s="749" t="s">
        <v>2982</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2994</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3023</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3018</v>
      </c>
      <c r="D450" s="746"/>
      <c r="E450" s="746"/>
      <c r="F450" s="746"/>
      <c r="G450" s="746"/>
      <c r="H450" s="746"/>
      <c r="I450" s="746"/>
      <c r="J450" s="748" t="s">
        <v>1711</v>
      </c>
      <c r="K450" s="746"/>
      <c r="N450" s="704"/>
      <c r="O450" s="730"/>
      <c r="P450" s="730"/>
      <c r="AE450" s="721"/>
      <c r="AF450" s="721"/>
    </row>
    <row r="451" spans="3:32" s="697" customFormat="1" ht="11.25">
      <c r="C451" s="751" t="s">
        <v>3019</v>
      </c>
      <c r="D451" s="746"/>
      <c r="E451" s="746"/>
      <c r="F451" s="746"/>
      <c r="G451" s="746"/>
      <c r="H451" s="746"/>
      <c r="I451" s="746"/>
      <c r="J451" s="748" t="s">
        <v>1710</v>
      </c>
      <c r="K451" s="747"/>
      <c r="N451" s="704"/>
      <c r="O451" s="730"/>
      <c r="P451" s="730"/>
      <c r="AE451" s="721"/>
      <c r="AF451" s="721"/>
    </row>
    <row r="452" spans="3:32" s="697" customFormat="1" ht="11.25">
      <c r="C452" s="751" t="s">
        <v>3020</v>
      </c>
      <c r="D452" s="747"/>
      <c r="E452" s="747"/>
      <c r="F452" s="747"/>
      <c r="G452" s="747"/>
      <c r="H452" s="747"/>
      <c r="I452" s="747"/>
      <c r="J452" s="748" t="s">
        <v>2577</v>
      </c>
      <c r="K452" s="747"/>
      <c r="N452" s="704"/>
      <c r="O452" s="730"/>
      <c r="P452" s="730"/>
      <c r="AE452" s="721"/>
      <c r="AF452" s="721"/>
    </row>
    <row r="453" spans="3:32" s="697" customFormat="1" ht="11.25">
      <c r="C453" s="751" t="s">
        <v>3021</v>
      </c>
      <c r="D453" s="747"/>
      <c r="E453" s="747"/>
      <c r="F453" s="747"/>
      <c r="G453" s="747"/>
      <c r="H453" s="747"/>
      <c r="I453" s="747"/>
      <c r="J453" s="748" t="s">
        <v>2488</v>
      </c>
      <c r="K453" s="747"/>
      <c r="N453" s="704"/>
      <c r="O453" s="730"/>
      <c r="P453" s="730"/>
      <c r="AE453" s="721"/>
      <c r="AF453" s="721"/>
    </row>
    <row r="454" spans="3:32" s="697" customFormat="1" ht="11.25">
      <c r="C454" s="751" t="s">
        <v>3022</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2992</v>
      </c>
      <c r="K455" s="747"/>
      <c r="N455" s="704"/>
      <c r="O455" s="730"/>
      <c r="P455" s="730"/>
      <c r="AE455" s="721"/>
      <c r="AF455" s="721"/>
    </row>
    <row r="456" spans="3:32" s="697" customFormat="1" ht="11.25">
      <c r="C456" s="751" t="s">
        <v>3197</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2978</v>
      </c>
      <c r="D460" s="746"/>
      <c r="E460" s="747"/>
      <c r="F460" s="747"/>
      <c r="G460" s="747"/>
      <c r="H460" s="747"/>
      <c r="I460" s="747"/>
      <c r="J460" s="747"/>
      <c r="K460" s="747"/>
      <c r="L460" s="697"/>
      <c r="M460" s="697"/>
      <c r="AE460" s="665"/>
      <c r="AF460" s="665"/>
    </row>
    <row r="461" spans="3:32" s="65" customFormat="1" ht="11.25">
      <c r="C461" s="746" t="s">
        <v>3570</v>
      </c>
      <c r="D461" s="747"/>
      <c r="E461" s="747"/>
      <c r="F461" s="747"/>
      <c r="G461" s="747"/>
      <c r="H461" s="746"/>
      <c r="I461" s="747"/>
      <c r="J461" s="747"/>
      <c r="K461" s="747"/>
      <c r="L461" s="697"/>
      <c r="M461" s="697"/>
      <c r="AE461" s="665"/>
      <c r="AF461" s="665"/>
    </row>
    <row r="462" spans="3:32" s="65" customFormat="1" ht="11.25">
      <c r="C462" s="746" t="s">
        <v>2979</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2893</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3513</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3516</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3514</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2752</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3049</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2757</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3841</v>
      </c>
      <c r="D493" s="746"/>
      <c r="E493" s="746"/>
      <c r="F493" s="746"/>
      <c r="G493" s="746"/>
      <c r="H493" s="746"/>
      <c r="I493" s="746"/>
      <c r="J493" s="746"/>
      <c r="K493" s="746"/>
      <c r="AE493" s="665"/>
      <c r="AF493" s="665"/>
    </row>
    <row r="494" spans="3:32" s="65" customFormat="1" ht="11.25">
      <c r="C494" s="751" t="s">
        <v>2892</v>
      </c>
      <c r="D494" s="746"/>
      <c r="E494" s="746"/>
      <c r="F494" s="746"/>
      <c r="G494" s="746"/>
      <c r="H494" s="746"/>
      <c r="I494" s="746"/>
      <c r="J494" s="746"/>
      <c r="K494" s="746"/>
      <c r="L494" s="48"/>
      <c r="AE494" s="665"/>
      <c r="AF494" s="665"/>
    </row>
    <row r="495" spans="3:32" s="65" customFormat="1" ht="11.25">
      <c r="C495" s="754" t="s">
        <v>3842</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3843</v>
      </c>
      <c r="D498" s="746"/>
      <c r="E498" s="746"/>
      <c r="F498" s="746"/>
      <c r="G498" s="746"/>
      <c r="H498" s="746"/>
      <c r="I498" s="746"/>
      <c r="J498" s="746"/>
      <c r="K498" s="746" t="s">
        <v>1596</v>
      </c>
      <c r="L498" s="48"/>
      <c r="AE498" s="665"/>
      <c r="AF498" s="665"/>
    </row>
    <row r="499" spans="3:32" s="65" customFormat="1" ht="11.25">
      <c r="C499" s="754" t="s">
        <v>3844</v>
      </c>
      <c r="D499" s="746"/>
      <c r="E499" s="746"/>
      <c r="F499" s="746"/>
      <c r="G499" s="746"/>
      <c r="H499" s="746"/>
      <c r="I499" s="746"/>
      <c r="J499" s="746"/>
      <c r="K499" s="746" t="s">
        <v>3788</v>
      </c>
      <c r="AE499" s="665"/>
      <c r="AF499" s="665"/>
    </row>
    <row r="500" spans="3:32" s="65" customFormat="1" ht="11.25">
      <c r="C500" s="751" t="s">
        <v>1742</v>
      </c>
      <c r="D500" s="746"/>
      <c r="E500" s="746"/>
      <c r="F500" s="746"/>
      <c r="G500" s="746"/>
      <c r="H500" s="746"/>
      <c r="I500" s="746"/>
      <c r="J500" s="746"/>
      <c r="K500" s="746" t="s">
        <v>3789</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3154</v>
      </c>
      <c r="AE502" s="665"/>
      <c r="AF502" s="665"/>
    </row>
    <row r="503" spans="3:32" s="65" customFormat="1" ht="11.25">
      <c r="C503" s="746" t="s">
        <v>1597</v>
      </c>
      <c r="D503" s="746"/>
      <c r="E503" s="746"/>
      <c r="F503" s="746"/>
      <c r="G503" s="746"/>
      <c r="H503" s="746"/>
      <c r="I503" s="746"/>
      <c r="J503" s="746"/>
      <c r="K503" s="746" t="s">
        <v>3249</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3008</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3790</v>
      </c>
      <c r="AE507" s="665"/>
      <c r="AF507" s="665"/>
    </row>
    <row r="508" spans="3:32" s="65" customFormat="1" ht="11.25">
      <c r="C508" s="746"/>
      <c r="D508" s="746"/>
      <c r="E508" s="746"/>
      <c r="F508" s="746"/>
      <c r="G508" s="746"/>
      <c r="H508" s="746"/>
      <c r="I508" s="746"/>
      <c r="J508" s="746"/>
      <c r="K508" s="755" t="s">
        <v>2827</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3338</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2978</v>
      </c>
      <c r="D517" s="746"/>
      <c r="E517" s="746"/>
      <c r="F517" s="746"/>
      <c r="G517" s="746"/>
      <c r="H517" s="746"/>
      <c r="I517" s="746"/>
      <c r="J517" s="746"/>
      <c r="K517" s="746" t="s">
        <v>274</v>
      </c>
      <c r="AE517" s="665"/>
      <c r="AF517" s="665"/>
    </row>
    <row r="518" spans="3:32" s="65" customFormat="1" ht="11.25">
      <c r="C518" s="746" t="s">
        <v>3570</v>
      </c>
      <c r="D518" s="746"/>
      <c r="E518" s="746"/>
      <c r="F518" s="746"/>
      <c r="G518" s="746"/>
      <c r="H518" s="746"/>
      <c r="I518" s="746"/>
      <c r="J518" s="746"/>
      <c r="K518" s="746" t="s">
        <v>670</v>
      </c>
      <c r="AE518" s="665"/>
      <c r="AF518" s="665"/>
    </row>
    <row r="519" spans="3:32" s="65" customFormat="1" ht="11.25">
      <c r="C519" s="746" t="s">
        <v>2979</v>
      </c>
      <c r="D519" s="746"/>
      <c r="E519" s="746"/>
      <c r="F519" s="746"/>
      <c r="G519" s="746"/>
      <c r="H519" s="746"/>
      <c r="I519" s="746"/>
      <c r="J519" s="746"/>
      <c r="K519" s="746" t="s">
        <v>3513</v>
      </c>
      <c r="AE519" s="665"/>
      <c r="AF519" s="665"/>
    </row>
    <row r="520" spans="3:32" s="65" customFormat="1" ht="11.25">
      <c r="C520" s="746" t="s">
        <v>2828</v>
      </c>
      <c r="D520" s="746"/>
      <c r="E520" s="746"/>
      <c r="F520" s="746"/>
      <c r="G520" s="746"/>
      <c r="H520" s="746"/>
      <c r="I520" s="746"/>
      <c r="J520" s="746"/>
      <c r="K520" s="746" t="s">
        <v>2837</v>
      </c>
      <c r="AE520" s="665"/>
      <c r="AF520" s="665"/>
    </row>
    <row r="521" spans="3:32" s="65" customFormat="1" ht="11.25">
      <c r="C521" s="746" t="s">
        <v>835</v>
      </c>
      <c r="D521" s="746"/>
      <c r="E521" s="746"/>
      <c r="F521" s="746"/>
      <c r="G521" s="746"/>
      <c r="H521" s="746"/>
      <c r="I521" s="746"/>
      <c r="J521" s="746"/>
      <c r="K521" s="746" t="s">
        <v>3515</v>
      </c>
      <c r="AE521" s="665"/>
      <c r="AF521" s="665"/>
    </row>
    <row r="522" spans="3:32" s="65" customFormat="1" ht="11.25">
      <c r="C522" s="746" t="s">
        <v>3091</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3516</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2751</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2752</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2921</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2012-047 Magnolia Pointe Apartments, Montezuma, Macon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3123</v>
      </c>
      <c r="N3" s="90"/>
      <c r="O3" s="111" t="s">
        <v>3122</v>
      </c>
      <c r="P3" s="245" t="s">
        <v>313</v>
      </c>
    </row>
    <row r="4" spans="1:19" s="52" customFormat="1" ht="12.6" customHeight="1">
      <c r="A4" s="50"/>
      <c r="B4" s="50"/>
      <c r="C4" s="50"/>
      <c r="D4" s="50"/>
      <c r="E4" s="50"/>
      <c r="F4" s="50"/>
      <c r="G4" s="50"/>
      <c r="H4" s="50"/>
      <c r="I4" s="50"/>
      <c r="J4" s="50"/>
      <c r="K4" s="50"/>
      <c r="M4" s="247" t="s">
        <v>99</v>
      </c>
      <c r="N4" s="113"/>
      <c r="O4" s="246" t="s">
        <v>3123</v>
      </c>
      <c r="P4" s="112" t="s">
        <v>3123</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58</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2867</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2863</v>
      </c>
      <c r="B10" s="236" t="s">
        <v>2741</v>
      </c>
      <c r="D10" s="56"/>
      <c r="E10" s="56"/>
      <c r="F10" s="823" t="s">
        <v>3621</v>
      </c>
      <c r="G10" s="38">
        <f>F16</f>
        <v>0</v>
      </c>
      <c r="H10" s="244" t="s">
        <v>301</v>
      </c>
      <c r="M10" s="7">
        <v>7</v>
      </c>
      <c r="N10" s="78" t="s">
        <v>2863</v>
      </c>
      <c r="O10" s="1639">
        <v>0</v>
      </c>
      <c r="P10" s="66"/>
    </row>
    <row r="11" spans="1:19" s="50" customFormat="1" ht="11.25" customHeight="1">
      <c r="A11" s="255" t="s">
        <v>2866</v>
      </c>
      <c r="B11" s="236" t="s">
        <v>1122</v>
      </c>
      <c r="D11" s="56"/>
      <c r="E11" s="56"/>
      <c r="F11" s="823" t="s">
        <v>3621</v>
      </c>
      <c r="G11" s="38">
        <f>K16</f>
        <v>0</v>
      </c>
      <c r="H11" s="244" t="s">
        <v>302</v>
      </c>
      <c r="J11" s="57"/>
      <c r="M11" s="7">
        <v>0</v>
      </c>
      <c r="N11" s="78" t="s">
        <v>2866</v>
      </c>
      <c r="O11" s="1639">
        <v>0</v>
      </c>
      <c r="P11" s="66"/>
      <c r="Q11" s="148"/>
    </row>
    <row r="12" spans="1:19" s="51" customFormat="1" ht="11.25" customHeight="1">
      <c r="A12" s="255" t="s">
        <v>1145</v>
      </c>
      <c r="B12" s="236" t="s">
        <v>3003</v>
      </c>
      <c r="D12" s="56"/>
      <c r="E12" s="56"/>
      <c r="F12" s="823" t="s">
        <v>3621</v>
      </c>
      <c r="G12" s="38">
        <f>P16</f>
        <v>0</v>
      </c>
      <c r="H12" s="244" t="s">
        <v>303</v>
      </c>
      <c r="J12" s="57"/>
      <c r="M12" s="7">
        <v>1</v>
      </c>
      <c r="N12" s="78" t="s">
        <v>1145</v>
      </c>
      <c r="O12" s="1639">
        <v>0</v>
      </c>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79" t="s">
        <v>4058</v>
      </c>
      <c r="B14" s="1580"/>
      <c r="C14" s="1580"/>
      <c r="D14" s="1580"/>
      <c r="E14" s="1580"/>
      <c r="F14" s="1580"/>
      <c r="G14" s="1580"/>
      <c r="H14" s="1580"/>
      <c r="I14" s="1580"/>
      <c r="J14" s="1580"/>
      <c r="K14" s="1580"/>
      <c r="L14" s="1580"/>
      <c r="M14" s="1580"/>
      <c r="N14" s="1580"/>
      <c r="O14" s="1580"/>
      <c r="P14" s="1581"/>
      <c r="Q14" s="736" t="s">
        <v>1806</v>
      </c>
      <c r="R14" s="737"/>
    </row>
    <row r="15" spans="1:19" s="50" customFormat="1" ht="10.9" customHeight="1">
      <c r="A15" s="80" t="s">
        <v>2739</v>
      </c>
      <c r="C15" s="126"/>
      <c r="D15" s="126"/>
      <c r="F15" s="180" t="s">
        <v>2566</v>
      </c>
      <c r="K15" s="180" t="s">
        <v>2566</v>
      </c>
      <c r="P15" s="803" t="s">
        <v>2566</v>
      </c>
      <c r="R15" s="738"/>
      <c r="S15" s="215"/>
    </row>
    <row r="16" spans="1:19" s="50" customFormat="1" ht="12" customHeight="1">
      <c r="A16" s="1197" t="s">
        <v>3382</v>
      </c>
      <c r="B16" s="1197"/>
      <c r="C16" s="1197"/>
      <c r="D16" s="1197"/>
      <c r="E16" s="79" t="s">
        <v>739</v>
      </c>
      <c r="F16" s="93">
        <f>SUM(F17:F28)</f>
        <v>0</v>
      </c>
      <c r="G16" s="1198" t="s">
        <v>3383</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2869</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2863</v>
      </c>
      <c r="B31" s="155" t="s">
        <v>3703</v>
      </c>
      <c r="E31" s="689"/>
      <c r="H31" s="660" t="s">
        <v>3858</v>
      </c>
      <c r="I31" s="1640">
        <v>5</v>
      </c>
      <c r="K31" s="660" t="s">
        <v>3860</v>
      </c>
      <c r="L31" s="691">
        <f>IF(OR('Part VI-Revenues &amp; Expenses'!$M$60="", 'Part VI-Revenues &amp; Expenses'!$M$60=0),0,I31/'Part VI-Revenues &amp; Expenses'!$M$60)</f>
        <v>0.15151515151515152</v>
      </c>
      <c r="M31" s="1">
        <v>3</v>
      </c>
      <c r="N31" s="690"/>
      <c r="O31" s="1205" t="s">
        <v>3929</v>
      </c>
      <c r="P31" s="735">
        <v>0.15</v>
      </c>
    </row>
    <row r="32" spans="1:19" s="688" customFormat="1" ht="11.25" customHeight="1">
      <c r="A32" s="687" t="s">
        <v>2866</v>
      </c>
      <c r="B32" s="155" t="s">
        <v>3704</v>
      </c>
      <c r="E32" s="689"/>
      <c r="H32" s="660" t="s">
        <v>3705</v>
      </c>
      <c r="I32" s="1640">
        <v>0</v>
      </c>
      <c r="K32" s="660" t="s">
        <v>3860</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79" t="s">
        <v>4059</v>
      </c>
      <c r="B34" s="1580"/>
      <c r="C34" s="1580"/>
      <c r="D34" s="1580"/>
      <c r="E34" s="1580"/>
      <c r="F34" s="1580"/>
      <c r="G34" s="1580"/>
      <c r="H34" s="1580"/>
      <c r="I34" s="1580"/>
      <c r="J34" s="1580"/>
      <c r="K34" s="1580"/>
      <c r="L34" s="1580"/>
      <c r="M34" s="1580"/>
      <c r="N34" s="1580"/>
      <c r="O34" s="1580"/>
      <c r="P34" s="1581"/>
    </row>
    <row r="35" spans="1:18" s="51" customFormat="1" ht="11.45" customHeight="1">
      <c r="A35" s="50"/>
      <c r="B35" s="129" t="s">
        <v>2739</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3550</v>
      </c>
      <c r="B38" s="144" t="s">
        <v>2747</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2863</v>
      </c>
      <c r="B40" s="236" t="s">
        <v>2748</v>
      </c>
      <c r="C40" s="5"/>
      <c r="D40" s="5"/>
      <c r="E40" s="244" t="s">
        <v>2750</v>
      </c>
      <c r="F40" s="452"/>
      <c r="G40" s="452"/>
      <c r="H40" s="452"/>
      <c r="I40" s="47"/>
      <c r="K40" s="56"/>
      <c r="M40" s="3">
        <v>12</v>
      </c>
      <c r="N40" s="250" t="s">
        <v>2863</v>
      </c>
      <c r="O40" s="1641">
        <v>12</v>
      </c>
      <c r="P40" s="85"/>
      <c r="R40" s="558"/>
    </row>
    <row r="41" spans="1:18" s="51" customFormat="1" ht="12.6" customHeight="1">
      <c r="A41" s="189" t="s">
        <v>2866</v>
      </c>
      <c r="B41" s="236" t="s">
        <v>2749</v>
      </c>
      <c r="D41" s="49"/>
      <c r="E41" s="244" t="s">
        <v>588</v>
      </c>
      <c r="F41" s="585"/>
      <c r="G41" s="585"/>
      <c r="H41" s="585"/>
      <c r="M41" s="180" t="s">
        <v>1777</v>
      </c>
      <c r="N41" s="803" t="s">
        <v>2866</v>
      </c>
      <c r="O41" s="1639">
        <v>0</v>
      </c>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79" t="s">
        <v>4095</v>
      </c>
      <c r="B44" s="1580"/>
      <c r="C44" s="1580"/>
      <c r="D44" s="1580"/>
      <c r="E44" s="1580"/>
      <c r="F44" s="1580"/>
      <c r="G44" s="1580"/>
      <c r="H44" s="1580"/>
      <c r="I44" s="1580"/>
      <c r="J44" s="1580"/>
      <c r="K44" s="1580"/>
      <c r="L44" s="1580"/>
      <c r="M44" s="1580"/>
      <c r="N44" s="1580"/>
      <c r="O44" s="1580"/>
      <c r="P44" s="1581"/>
      <c r="Q44" s="736" t="s">
        <v>1806</v>
      </c>
      <c r="R44" s="737"/>
    </row>
    <row r="45" spans="1:18" s="51" customFormat="1" ht="11.45" customHeight="1">
      <c r="A45" s="50"/>
      <c r="B45" s="80" t="s">
        <v>2739</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3758</v>
      </c>
      <c r="D49" s="49"/>
      <c r="H49" s="53" t="s">
        <v>3861</v>
      </c>
      <c r="I49" s="57" t="s">
        <v>2756</v>
      </c>
      <c r="J49" s="56"/>
      <c r="K49" s="56"/>
      <c r="M49" s="3">
        <v>3</v>
      </c>
      <c r="N49" s="803"/>
      <c r="O49" s="204">
        <f>MIN($M49,(O50+O51+O52))</f>
        <v>3</v>
      </c>
      <c r="P49" s="204">
        <f>MIN($M49,(P50+P51+P52))</f>
        <v>0</v>
      </c>
      <c r="Q49" s="148" t="s">
        <v>612</v>
      </c>
    </row>
    <row r="50" spans="1:18" s="51" customFormat="1" ht="12" customHeight="1">
      <c r="A50" s="189" t="s">
        <v>2863</v>
      </c>
      <c r="B50" s="236" t="s">
        <v>3718</v>
      </c>
      <c r="C50" s="5"/>
      <c r="D50" s="5"/>
      <c r="E50" s="44"/>
      <c r="F50" s="5"/>
      <c r="G50" s="47"/>
      <c r="I50" s="47"/>
      <c r="K50" s="56"/>
      <c r="L50" s="558" t="str">
        <f>IF(OR($O50=$M50,$O50=0,$O50=""),"","* * Check Score! * *")</f>
        <v/>
      </c>
      <c r="M50" s="3">
        <v>3</v>
      </c>
      <c r="N50" s="250" t="s">
        <v>2863</v>
      </c>
      <c r="O50" s="1641">
        <v>3</v>
      </c>
      <c r="P50" s="85"/>
      <c r="R50" s="558"/>
    </row>
    <row r="51" spans="1:18" s="51" customFormat="1" ht="12.6" customHeight="1">
      <c r="A51" s="189" t="s">
        <v>2866</v>
      </c>
      <c r="B51" s="236" t="s">
        <v>3719</v>
      </c>
      <c r="E51" s="49"/>
      <c r="K51" s="56"/>
      <c r="L51" s="558" t="str">
        <f>IF(OR($O51=$M51,$O51=0,$O51=""),"","* * Check Score! * *")</f>
        <v/>
      </c>
      <c r="M51" s="3">
        <v>2</v>
      </c>
      <c r="N51" s="803" t="s">
        <v>2866</v>
      </c>
      <c r="O51" s="1641">
        <v>0</v>
      </c>
      <c r="P51" s="85"/>
      <c r="R51" s="558"/>
    </row>
    <row r="52" spans="1:18" s="51" customFormat="1" ht="12.6" customHeight="1">
      <c r="A52" s="189" t="s">
        <v>1145</v>
      </c>
      <c r="B52" s="236" t="s">
        <v>3761</v>
      </c>
      <c r="E52" s="49"/>
      <c r="K52" s="56"/>
      <c r="L52" s="558" t="str">
        <f>IF(OR($O52=$M52,$O52=0,$O52=""),"","* * Check Score! * *")</f>
        <v/>
      </c>
      <c r="M52" s="3">
        <v>1</v>
      </c>
      <c r="N52" s="250" t="s">
        <v>1145</v>
      </c>
      <c r="O52" s="1641">
        <v>0</v>
      </c>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79" t="s">
        <v>4096</v>
      </c>
      <c r="B54" s="1580"/>
      <c r="C54" s="1580"/>
      <c r="D54" s="1580"/>
      <c r="E54" s="1580"/>
      <c r="F54" s="1580"/>
      <c r="G54" s="1580"/>
      <c r="H54" s="1580"/>
      <c r="I54" s="1580"/>
      <c r="J54" s="1580"/>
      <c r="K54" s="1580"/>
      <c r="L54" s="1580"/>
      <c r="M54" s="1580"/>
      <c r="N54" s="1580"/>
      <c r="O54" s="1580"/>
      <c r="P54" s="1581"/>
    </row>
    <row r="55" spans="1:18" s="134" customFormat="1" ht="11.45" customHeight="1">
      <c r="A55" s="50"/>
      <c r="B55" s="129" t="s">
        <v>2739</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3759</v>
      </c>
      <c r="D58" s="49"/>
      <c r="E58" s="586" t="s">
        <v>3441</v>
      </c>
      <c r="I58" s="57" t="s">
        <v>2756</v>
      </c>
      <c r="M58" s="3">
        <v>1</v>
      </c>
      <c r="N58" s="601" t="str">
        <f>IF(OR($O58=$M58,$O58=0,$O58=""),"","***")</f>
        <v/>
      </c>
      <c r="O58" s="1641">
        <v>0</v>
      </c>
      <c r="P58" s="85"/>
      <c r="Q58" s="148" t="s">
        <v>612</v>
      </c>
    </row>
    <row r="59" spans="1:18" s="51" customFormat="1" ht="12.6" customHeight="1">
      <c r="A59" s="209"/>
      <c r="B59" s="586" t="s">
        <v>1120</v>
      </c>
      <c r="D59" s="49"/>
      <c r="H59" s="57"/>
      <c r="I59" s="57"/>
      <c r="J59" s="57"/>
      <c r="K59" s="57"/>
      <c r="L59" s="57"/>
      <c r="M59" s="3"/>
      <c r="N59" s="601"/>
      <c r="O59" s="1575"/>
      <c r="P59" s="232"/>
      <c r="Q59" s="148"/>
    </row>
    <row r="60" spans="1:18" s="51" customFormat="1" ht="12.6" customHeight="1">
      <c r="A60" s="209"/>
      <c r="B60" s="586" t="s">
        <v>1119</v>
      </c>
      <c r="D60" s="49"/>
      <c r="H60" s="57"/>
      <c r="I60" s="1642"/>
      <c r="J60" s="1643"/>
      <c r="K60" s="1643"/>
      <c r="L60" s="1644"/>
      <c r="M60" s="3"/>
      <c r="N60" s="601"/>
      <c r="O60" s="601"/>
      <c r="P60" s="601"/>
      <c r="Q60" s="148"/>
    </row>
    <row r="61" spans="1:18" s="51" customFormat="1" ht="12.6" customHeight="1">
      <c r="A61" s="209"/>
      <c r="B61" s="586" t="s">
        <v>1121</v>
      </c>
      <c r="D61" s="49"/>
      <c r="H61" s="57"/>
      <c r="I61" s="57"/>
      <c r="J61" s="57"/>
      <c r="K61" s="57"/>
      <c r="L61" s="57"/>
      <c r="M61" s="3"/>
      <c r="N61" s="601"/>
      <c r="O61" s="1575"/>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79" t="s">
        <v>4046</v>
      </c>
      <c r="B63" s="1580"/>
      <c r="C63" s="1580"/>
      <c r="D63" s="1580"/>
      <c r="E63" s="1580"/>
      <c r="F63" s="1580"/>
      <c r="G63" s="1580"/>
      <c r="H63" s="1580"/>
      <c r="I63" s="1580"/>
      <c r="J63" s="1580"/>
      <c r="K63" s="1580"/>
      <c r="L63" s="1580"/>
      <c r="M63" s="1580"/>
      <c r="N63" s="1580"/>
      <c r="O63" s="1580"/>
      <c r="P63" s="1581"/>
      <c r="Q63" s="736" t="s">
        <v>1806</v>
      </c>
    </row>
    <row r="64" spans="1:18" s="134" customFormat="1" ht="11.45" customHeight="1">
      <c r="A64" s="50"/>
      <c r="B64" s="129" t="s">
        <v>2739</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2758</v>
      </c>
      <c r="B67" s="144" t="s">
        <v>3760</v>
      </c>
      <c r="D67" s="49"/>
      <c r="E67" s="44" t="s">
        <v>1954</v>
      </c>
      <c r="I67" s="57" t="s">
        <v>2756</v>
      </c>
      <c r="M67" s="3">
        <v>2</v>
      </c>
      <c r="N67" s="601" t="str">
        <f>IF(OR($O67=$M67,$O67=0,$O67=""),"","***")</f>
        <v/>
      </c>
      <c r="O67" s="1641">
        <v>0</v>
      </c>
      <c r="P67" s="85"/>
      <c r="Q67" s="148" t="s">
        <v>612</v>
      </c>
    </row>
    <row r="68" spans="1:18" s="51" customFormat="1" ht="12.6" customHeight="1">
      <c r="A68" s="209"/>
      <c r="B68" s="586" t="s">
        <v>3706</v>
      </c>
      <c r="D68" s="49"/>
      <c r="E68" s="44"/>
      <c r="I68" s="1642"/>
      <c r="J68" s="1643"/>
      <c r="K68" s="1643"/>
      <c r="L68" s="1644"/>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79" t="s">
        <v>4060</v>
      </c>
      <c r="B70" s="1580"/>
      <c r="C70" s="1580"/>
      <c r="D70" s="1580"/>
      <c r="E70" s="1580"/>
      <c r="F70" s="1580"/>
      <c r="G70" s="1580"/>
      <c r="H70" s="1580"/>
      <c r="I70" s="1580"/>
      <c r="J70" s="1580"/>
      <c r="K70" s="1580"/>
      <c r="L70" s="1580"/>
      <c r="M70" s="1580"/>
      <c r="N70" s="1580"/>
      <c r="O70" s="1580"/>
      <c r="P70" s="1581"/>
    </row>
    <row r="71" spans="1:18" s="134" customFormat="1" ht="11.45" customHeight="1">
      <c r="A71" s="50"/>
      <c r="B71" s="129" t="s">
        <v>2739</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3845</v>
      </c>
      <c r="J74" s="1645" t="s">
        <v>4061</v>
      </c>
      <c r="K74" s="1646"/>
      <c r="L74" s="1647"/>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2863</v>
      </c>
      <c r="B75" s="254" t="s">
        <v>3250</v>
      </c>
      <c r="D75" s="40"/>
      <c r="H75" s="73"/>
      <c r="I75" s="40"/>
      <c r="J75" s="40"/>
      <c r="M75" s="157">
        <v>3</v>
      </c>
      <c r="N75" s="31"/>
      <c r="O75" s="162" t="s">
        <v>3523</v>
      </c>
      <c r="P75" s="162" t="s">
        <v>3523</v>
      </c>
    </row>
    <row r="76" spans="1:18" s="51" customFormat="1" ht="12.6" customHeight="1">
      <c r="A76" s="209"/>
      <c r="B76" s="693" t="s">
        <v>3946</v>
      </c>
      <c r="D76" s="49"/>
      <c r="M76" s="3"/>
      <c r="N76" s="250" t="s">
        <v>2863</v>
      </c>
      <c r="O76" s="1575" t="s">
        <v>3978</v>
      </c>
      <c r="P76" s="232"/>
      <c r="Q76" s="148"/>
    </row>
    <row r="77" spans="1:18" ht="11.45" customHeight="1">
      <c r="A77" s="550" t="str">
        <f>IF($I$90="Stable Communities &lt; 10%", "X","")</f>
        <v/>
      </c>
      <c r="B77" s="551" t="s">
        <v>2867</v>
      </c>
      <c r="C77" s="568" t="s">
        <v>3707</v>
      </c>
      <c r="E77" s="160"/>
      <c r="N77" s="31"/>
      <c r="O77" s="31"/>
      <c r="P77" s="31"/>
    </row>
    <row r="78" spans="1:18" ht="23.25" customHeight="1">
      <c r="B78" s="575" t="s">
        <v>3420</v>
      </c>
      <c r="C78" s="1207" t="s">
        <v>3709</v>
      </c>
      <c r="D78" s="1207"/>
      <c r="E78" s="1207"/>
      <c r="F78" s="1207"/>
      <c r="G78" s="1207"/>
      <c r="H78" s="1207"/>
      <c r="I78" s="1207"/>
      <c r="J78" s="1207"/>
      <c r="K78" s="1207"/>
      <c r="L78" s="1207"/>
      <c r="M78" s="572" t="str">
        <f>IF(AND($I$90="Stable Communities &lt; 10%",O78=""), "X","")</f>
        <v/>
      </c>
      <c r="N78" s="574" t="s">
        <v>3713</v>
      </c>
      <c r="O78" s="1648" t="s">
        <v>2104</v>
      </c>
      <c r="P78" s="355"/>
    </row>
    <row r="79" spans="1:18" ht="23.25" customHeight="1">
      <c r="B79" s="575" t="s">
        <v>3421</v>
      </c>
      <c r="C79" s="1125" t="s">
        <v>3711</v>
      </c>
      <c r="D79" s="1125"/>
      <c r="E79" s="1125"/>
      <c r="F79" s="1125"/>
      <c r="G79" s="1125"/>
      <c r="H79" s="1125"/>
      <c r="I79" s="1125"/>
      <c r="J79" s="1125"/>
      <c r="K79" s="1125"/>
      <c r="L79" s="1125"/>
      <c r="M79" s="572" t="str">
        <f>IF(AND($I$90="Stable Communities &lt; 10%",O79=""), "X","")</f>
        <v/>
      </c>
      <c r="N79" s="574" t="s">
        <v>3714</v>
      </c>
      <c r="O79" s="1649" t="s">
        <v>2104</v>
      </c>
      <c r="P79" s="356"/>
    </row>
    <row r="80" spans="1:18" ht="11.45" customHeight="1">
      <c r="A80" s="550" t="str">
        <f>IF($I$90="Stable Communities &lt; 20%", "X","")</f>
        <v/>
      </c>
      <c r="B80" s="551" t="s">
        <v>2869</v>
      </c>
      <c r="C80" s="568" t="s">
        <v>3708</v>
      </c>
      <c r="E80" s="160"/>
      <c r="M80" s="573"/>
      <c r="N80" s="31"/>
      <c r="O80" s="162" t="s">
        <v>3523</v>
      </c>
      <c r="P80" s="162" t="s">
        <v>3523</v>
      </c>
    </row>
    <row r="81" spans="1:18" ht="23.25" customHeight="1">
      <c r="B81" s="575" t="s">
        <v>3420</v>
      </c>
      <c r="C81" s="1207" t="s">
        <v>3710</v>
      </c>
      <c r="D81" s="1207"/>
      <c r="E81" s="1207"/>
      <c r="F81" s="1207"/>
      <c r="G81" s="1207"/>
      <c r="H81" s="1207"/>
      <c r="I81" s="1207"/>
      <c r="J81" s="1207"/>
      <c r="K81" s="1207"/>
      <c r="L81" s="1207"/>
      <c r="M81" s="572" t="str">
        <f>IF(AND($I$90="Stable Communities &lt; 10%",O81=""), "X","")</f>
        <v/>
      </c>
      <c r="N81" s="692" t="s">
        <v>3715</v>
      </c>
      <c r="O81" s="1648" t="s">
        <v>2104</v>
      </c>
      <c r="P81" s="355"/>
    </row>
    <row r="82" spans="1:18">
      <c r="B82" s="575" t="s">
        <v>3421</v>
      </c>
      <c r="C82" s="1125" t="s">
        <v>3712</v>
      </c>
      <c r="D82" s="1125"/>
      <c r="E82" s="1125"/>
      <c r="F82" s="1125"/>
      <c r="G82" s="1125"/>
      <c r="H82" s="1125"/>
      <c r="I82" s="1125"/>
      <c r="J82" s="1125"/>
      <c r="K82" s="1125"/>
      <c r="L82" s="1125"/>
      <c r="M82" s="572" t="str">
        <f>IF(AND($I$90="Stable Communities &lt; 10%",O82=""), "X","")</f>
        <v/>
      </c>
      <c r="N82" s="692" t="s">
        <v>3716</v>
      </c>
      <c r="O82" s="1649" t="s">
        <v>2104</v>
      </c>
      <c r="P82" s="356"/>
    </row>
    <row r="83" spans="1:18" ht="11.45" customHeight="1">
      <c r="A83" s="189" t="s">
        <v>2866</v>
      </c>
      <c r="B83" s="254" t="s">
        <v>379</v>
      </c>
      <c r="D83" s="40"/>
      <c r="E83" s="40"/>
      <c r="F83" s="40"/>
      <c r="M83" s="67">
        <v>2</v>
      </c>
      <c r="N83" s="31"/>
      <c r="O83" s="162" t="s">
        <v>3523</v>
      </c>
      <c r="P83" s="162" t="s">
        <v>3523</v>
      </c>
    </row>
    <row r="84" spans="1:18" s="51" customFormat="1" ht="12.6" customHeight="1">
      <c r="A84" s="209"/>
      <c r="B84" s="693" t="s">
        <v>3717</v>
      </c>
      <c r="D84" s="49"/>
      <c r="M84" s="3"/>
      <c r="N84" s="803" t="s">
        <v>2866</v>
      </c>
      <c r="O84" s="1575" t="s">
        <v>3976</v>
      </c>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50" t="s">
        <v>4062</v>
      </c>
      <c r="B86" s="1651"/>
      <c r="C86" s="1651"/>
      <c r="D86" s="1651"/>
      <c r="E86" s="1651"/>
      <c r="F86" s="1651"/>
      <c r="G86" s="1651"/>
      <c r="H86" s="1651"/>
      <c r="I86" s="1651"/>
      <c r="J86" s="1651"/>
      <c r="K86" s="1651"/>
      <c r="L86" s="1651"/>
      <c r="M86" s="1651"/>
      <c r="N86" s="1651"/>
      <c r="O86" s="1651"/>
      <c r="P86" s="1652"/>
      <c r="Q86" s="736" t="s">
        <v>1806</v>
      </c>
    </row>
    <row r="87" spans="1:18" s="51" customFormat="1" ht="11.25" customHeight="1">
      <c r="A87" s="50"/>
      <c r="B87" s="129" t="s">
        <v>2739</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3384</v>
      </c>
      <c r="C90" s="123"/>
      <c r="D90" s="71"/>
      <c r="E90" s="71"/>
      <c r="I90" s="1288" t="s">
        <v>4063</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2863</v>
      </c>
      <c r="B92" s="254" t="s">
        <v>3522</v>
      </c>
      <c r="D92" s="40"/>
      <c r="H92" s="73"/>
      <c r="I92" s="40"/>
      <c r="J92" s="40"/>
      <c r="M92" s="157"/>
      <c r="N92" s="31"/>
      <c r="O92" s="31"/>
      <c r="P92" s="31"/>
    </row>
    <row r="93" spans="1:18" ht="11.45" customHeight="1">
      <c r="A93" s="550" t="str">
        <f>IF($I$90="Stable Communities &lt; 10%", "X","")</f>
        <v/>
      </c>
      <c r="B93" s="551" t="s">
        <v>2867</v>
      </c>
      <c r="C93" s="721" t="s">
        <v>3897</v>
      </c>
      <c r="E93" s="160"/>
      <c r="M93" s="108">
        <v>4</v>
      </c>
      <c r="N93" s="31"/>
      <c r="O93" s="162" t="s">
        <v>3523</v>
      </c>
      <c r="P93" s="162" t="s">
        <v>3523</v>
      </c>
    </row>
    <row r="94" spans="1:18" ht="11.45" customHeight="1">
      <c r="B94" s="231" t="s">
        <v>3420</v>
      </c>
      <c r="C94" s="721" t="s">
        <v>3366</v>
      </c>
      <c r="E94" s="160"/>
      <c r="G94" s="132" t="s">
        <v>3367</v>
      </c>
      <c r="M94" s="694" t="str">
        <f>IF(AND($I$90="Stable Communities &lt; 10%",O94=""), "X","")</f>
        <v/>
      </c>
      <c r="N94" s="231" t="s">
        <v>3420</v>
      </c>
      <c r="O94" s="1648" t="s">
        <v>3978</v>
      </c>
      <c r="P94" s="355"/>
    </row>
    <row r="95" spans="1:18" ht="11.45" customHeight="1">
      <c r="B95" s="231" t="s">
        <v>3421</v>
      </c>
      <c r="C95" s="665" t="s">
        <v>3368</v>
      </c>
      <c r="E95" s="160"/>
      <c r="G95" s="132" t="s">
        <v>3369</v>
      </c>
      <c r="M95" s="694" t="str">
        <f>IF(AND($I$90="Stable Communities &lt; 10%",O95=""), "X","")</f>
        <v/>
      </c>
      <c r="N95" s="231" t="s">
        <v>3421</v>
      </c>
      <c r="O95" s="1653" t="s">
        <v>3978</v>
      </c>
      <c r="P95" s="541"/>
    </row>
    <row r="96" spans="1:18" ht="11.45" customHeight="1">
      <c r="B96" s="231" t="s">
        <v>3422</v>
      </c>
      <c r="C96" s="665" t="s">
        <v>3754</v>
      </c>
      <c r="E96" s="160"/>
      <c r="M96" s="694" t="str">
        <f>IF(AND($I$90="Stable Communities &lt; 10%",O96=""), "X","")</f>
        <v/>
      </c>
      <c r="N96" s="231" t="s">
        <v>3422</v>
      </c>
      <c r="O96" s="1649" t="s">
        <v>3976</v>
      </c>
      <c r="P96" s="356"/>
    </row>
    <row r="97" spans="1:18" ht="3" customHeight="1">
      <c r="B97" s="160"/>
      <c r="C97" s="160"/>
      <c r="D97" s="160"/>
      <c r="E97" s="160"/>
      <c r="R97" s="51"/>
    </row>
    <row r="98" spans="1:18" ht="11.45" customHeight="1">
      <c r="A98" s="550" t="str">
        <f>IF($I$90="Stable Communities &lt; 20%", "X","")</f>
        <v/>
      </c>
      <c r="B98" s="551" t="s">
        <v>2869</v>
      </c>
      <c r="C98" s="721" t="s">
        <v>3897</v>
      </c>
      <c r="E98" s="160"/>
      <c r="M98" s="695">
        <v>2</v>
      </c>
      <c r="N98" s="31"/>
      <c r="O98" s="162"/>
      <c r="P98" s="162"/>
    </row>
    <row r="99" spans="1:18" ht="11.45" customHeight="1">
      <c r="B99" s="231" t="s">
        <v>3420</v>
      </c>
      <c r="C99" s="721" t="s">
        <v>3442</v>
      </c>
      <c r="E99" s="160"/>
      <c r="G99" s="132" t="s">
        <v>3367</v>
      </c>
      <c r="M99" s="572" t="str">
        <f>IF(AND($I$90="Stable Communities &lt; 20%",O99=""), "X","")</f>
        <v/>
      </c>
      <c r="N99" s="231" t="s">
        <v>3420</v>
      </c>
      <c r="O99" s="1648" t="s">
        <v>3978</v>
      </c>
      <c r="P99" s="355"/>
    </row>
    <row r="100" spans="1:18" ht="11.45" customHeight="1">
      <c r="B100" s="231" t="s">
        <v>3421</v>
      </c>
      <c r="C100" s="665" t="s">
        <v>3368</v>
      </c>
      <c r="E100" s="160"/>
      <c r="G100" s="132" t="s">
        <v>3369</v>
      </c>
      <c r="M100" s="572" t="str">
        <f>IF(AND($I$90="Stable Communities &lt; 20%",O100=""), "X","")</f>
        <v/>
      </c>
      <c r="N100" s="231" t="s">
        <v>3421</v>
      </c>
      <c r="O100" s="1653" t="s">
        <v>3978</v>
      </c>
      <c r="P100" s="541"/>
    </row>
    <row r="101" spans="1:18" ht="11.45" customHeight="1">
      <c r="B101" s="231" t="s">
        <v>3422</v>
      </c>
      <c r="C101" s="665" t="s">
        <v>3754</v>
      </c>
      <c r="E101" s="160"/>
      <c r="M101" s="572" t="str">
        <f>IF(AND($I$90="Stable Communities &lt; 20%",O101=""), "X","")</f>
        <v/>
      </c>
      <c r="N101" s="231" t="s">
        <v>3422</v>
      </c>
      <c r="O101" s="1649" t="s">
        <v>3976</v>
      </c>
      <c r="P101" s="356"/>
    </row>
    <row r="102" spans="1:18" ht="3" customHeight="1">
      <c r="B102" s="160"/>
      <c r="C102" s="160"/>
      <c r="D102" s="160"/>
      <c r="E102" s="160"/>
      <c r="R102" s="51"/>
    </row>
    <row r="103" spans="1:18" ht="11.45" customHeight="1">
      <c r="A103" s="189" t="s">
        <v>2866</v>
      </c>
      <c r="B103" s="254" t="s">
        <v>324</v>
      </c>
      <c r="D103" s="40"/>
      <c r="E103" s="40"/>
      <c r="F103" s="40"/>
      <c r="H103" s="73"/>
      <c r="M103" s="67"/>
      <c r="N103" s="31"/>
      <c r="O103" s="31"/>
      <c r="P103" s="31"/>
    </row>
    <row r="104" spans="1:18" s="51" customFormat="1" ht="11.45" customHeight="1">
      <c r="A104" s="550" t="str">
        <f>IF($I$90="HOPE VI or Choice Neighborhoods Initiative", "X","")</f>
        <v/>
      </c>
      <c r="B104" s="551" t="s">
        <v>2867</v>
      </c>
      <c r="C104" s="115" t="s">
        <v>3443</v>
      </c>
      <c r="D104" s="134"/>
      <c r="G104" s="195"/>
      <c r="K104" s="134"/>
      <c r="L104" s="134"/>
      <c r="M104" s="664">
        <v>6</v>
      </c>
      <c r="N104" s="31"/>
      <c r="O104" s="162" t="s">
        <v>3523</v>
      </c>
      <c r="P104" s="162" t="s">
        <v>3523</v>
      </c>
    </row>
    <row r="105" spans="1:18" ht="10.9" customHeight="1">
      <c r="B105" s="552" t="s">
        <v>3420</v>
      </c>
      <c r="C105" s="553" t="s">
        <v>842</v>
      </c>
      <c r="D105" s="132"/>
      <c r="M105" s="859" t="str">
        <f>IF(AND($I$90="HOPE VI Initiative",O105=""), "X","")</f>
        <v/>
      </c>
      <c r="N105" s="231" t="s">
        <v>3420</v>
      </c>
      <c r="O105" s="1648" t="s">
        <v>3978</v>
      </c>
      <c r="P105" s="355"/>
    </row>
    <row r="106" spans="1:18" ht="10.9" customHeight="1">
      <c r="B106" s="552" t="s">
        <v>3421</v>
      </c>
      <c r="C106" s="553" t="s">
        <v>843</v>
      </c>
      <c r="M106" s="859" t="str">
        <f>IF(AND($I$90="HOPE VI Initiative",O106=""), "X","")</f>
        <v/>
      </c>
      <c r="N106" s="231" t="s">
        <v>3421</v>
      </c>
      <c r="O106" s="1653" t="s">
        <v>3978</v>
      </c>
      <c r="P106" s="541"/>
    </row>
    <row r="107" spans="1:18" ht="10.9" customHeight="1">
      <c r="B107" s="552" t="s">
        <v>3422</v>
      </c>
      <c r="C107" s="553" t="s">
        <v>844</v>
      </c>
      <c r="M107" s="859" t="str">
        <f>IF(AND($I$90="HOPE VI Initiative",O107=""), "X","")</f>
        <v/>
      </c>
      <c r="N107" s="231" t="s">
        <v>3422</v>
      </c>
      <c r="O107" s="1653" t="s">
        <v>3978</v>
      </c>
      <c r="P107" s="541"/>
    </row>
    <row r="108" spans="1:18" ht="10.9" customHeight="1">
      <c r="B108" s="552" t="s">
        <v>3423</v>
      </c>
      <c r="C108" s="69" t="s">
        <v>845</v>
      </c>
      <c r="M108" s="859" t="str">
        <f>IF(AND($I$90="HOPE VI Initiative",O108=""), "X","")</f>
        <v/>
      </c>
      <c r="N108" s="231" t="s">
        <v>3423</v>
      </c>
      <c r="O108" s="1649" t="s">
        <v>3976</v>
      </c>
      <c r="P108" s="356"/>
    </row>
    <row r="109" spans="1:18" ht="3" customHeight="1">
      <c r="B109" s="160"/>
      <c r="C109" s="160"/>
      <c r="D109" s="160"/>
      <c r="E109" s="160"/>
      <c r="R109" s="51"/>
    </row>
    <row r="110" spans="1:18" s="51" customFormat="1" ht="11.45" customHeight="1">
      <c r="A110" s="550"/>
      <c r="B110" s="551" t="s">
        <v>2869</v>
      </c>
      <c r="C110" s="154" t="s">
        <v>503</v>
      </c>
      <c r="D110" s="134"/>
      <c r="E110" s="48"/>
      <c r="G110" s="579" t="s">
        <v>3930</v>
      </c>
      <c r="M110" s="696">
        <v>2</v>
      </c>
      <c r="N110" s="551" t="s">
        <v>2869</v>
      </c>
      <c r="O110" s="1575">
        <v>2</v>
      </c>
      <c r="P110" s="232"/>
    </row>
    <row r="111" spans="1:18" ht="3" customHeight="1">
      <c r="B111" s="160"/>
      <c r="C111" s="160"/>
      <c r="D111" s="160"/>
      <c r="E111" s="160"/>
      <c r="R111" s="51"/>
    </row>
    <row r="112" spans="1:18" s="51" customFormat="1" ht="11.45" customHeight="1">
      <c r="A112" s="550" t="str">
        <f>IF($I$90="Redevelopment Zone", "X","")</f>
        <v/>
      </c>
      <c r="B112" s="551" t="s">
        <v>3550</v>
      </c>
      <c r="C112" s="154" t="s">
        <v>504</v>
      </c>
      <c r="D112" s="134"/>
      <c r="F112" s="571"/>
      <c r="G112" s="48" t="s">
        <v>1536</v>
      </c>
      <c r="H112" s="1654" t="s">
        <v>4054</v>
      </c>
      <c r="I112" s="162" t="s">
        <v>1458</v>
      </c>
      <c r="J112" s="1655">
        <v>13193000400</v>
      </c>
      <c r="K112" s="1656"/>
      <c r="L112" s="1657"/>
      <c r="M112" s="696">
        <v>1</v>
      </c>
      <c r="N112" s="551" t="s">
        <v>3550</v>
      </c>
      <c r="O112" s="1575">
        <v>1</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8" t="s">
        <v>4065</v>
      </c>
      <c r="I114" s="1341"/>
      <c r="J114" s="1341"/>
      <c r="K114" s="1341"/>
      <c r="L114" s="1342"/>
      <c r="M114" s="696">
        <v>1</v>
      </c>
      <c r="N114" s="551" t="s">
        <v>1762</v>
      </c>
      <c r="O114" s="1575">
        <v>1</v>
      </c>
      <c r="P114" s="232"/>
    </row>
    <row r="115" spans="1:18" ht="11.45" customHeight="1">
      <c r="B115" s="552" t="s">
        <v>3420</v>
      </c>
      <c r="C115" s="48" t="s">
        <v>3753</v>
      </c>
      <c r="D115" s="132"/>
      <c r="G115" s="132" t="s">
        <v>848</v>
      </c>
      <c r="H115" s="1659">
        <v>34242</v>
      </c>
      <c r="M115" s="571" t="str">
        <f>IF(AND($I$90="Local Redevelopment Plan",O115=""), "X","")</f>
        <v/>
      </c>
      <c r="N115" s="552" t="s">
        <v>3420</v>
      </c>
      <c r="O115" s="1648" t="s">
        <v>3976</v>
      </c>
      <c r="P115" s="355"/>
    </row>
    <row r="116" spans="1:18" ht="10.9" customHeight="1">
      <c r="B116" s="552" t="s">
        <v>3421</v>
      </c>
      <c r="C116" s="553" t="s">
        <v>3446</v>
      </c>
      <c r="D116" s="132"/>
      <c r="M116" s="571"/>
      <c r="N116" s="552" t="s">
        <v>3421</v>
      </c>
      <c r="O116" s="1660" t="s">
        <v>3976</v>
      </c>
      <c r="P116" s="602"/>
    </row>
    <row r="117" spans="1:18" ht="10.9" customHeight="1">
      <c r="B117" s="552" t="s">
        <v>3422</v>
      </c>
      <c r="C117" s="553" t="s">
        <v>3447</v>
      </c>
      <c r="M117" s="571" t="str">
        <f t="shared" ref="M117:M121" si="0">IF(AND($I$90="Local Redevelopment Plan",O117=""), "X","")</f>
        <v/>
      </c>
      <c r="N117" s="552" t="s">
        <v>3422</v>
      </c>
      <c r="O117" s="1653" t="s">
        <v>3976</v>
      </c>
      <c r="P117" s="541"/>
    </row>
    <row r="118" spans="1:18" ht="10.9" customHeight="1">
      <c r="B118" s="552" t="s">
        <v>3423</v>
      </c>
      <c r="C118" s="553" t="s">
        <v>3448</v>
      </c>
      <c r="M118" s="571" t="str">
        <f t="shared" si="0"/>
        <v/>
      </c>
      <c r="N118" s="552" t="s">
        <v>3423</v>
      </c>
      <c r="O118" s="1653" t="s">
        <v>3976</v>
      </c>
      <c r="P118" s="541"/>
    </row>
    <row r="119" spans="1:18" ht="10.9" customHeight="1">
      <c r="B119" s="552" t="s">
        <v>3424</v>
      </c>
      <c r="C119" s="69" t="s">
        <v>3449</v>
      </c>
      <c r="M119" s="571" t="str">
        <f t="shared" si="0"/>
        <v/>
      </c>
      <c r="N119" s="552" t="s">
        <v>3424</v>
      </c>
      <c r="O119" s="1653" t="s">
        <v>3976</v>
      </c>
      <c r="P119" s="541"/>
    </row>
    <row r="120" spans="1:18" ht="10.9" customHeight="1">
      <c r="B120" s="552" t="s">
        <v>3444</v>
      </c>
      <c r="C120" s="553" t="s">
        <v>3450</v>
      </c>
      <c r="D120" s="132"/>
      <c r="M120" s="571" t="str">
        <f t="shared" si="0"/>
        <v/>
      </c>
      <c r="N120" s="552" t="s">
        <v>3444</v>
      </c>
      <c r="O120" s="1653" t="s">
        <v>3976</v>
      </c>
      <c r="P120" s="541"/>
    </row>
    <row r="121" spans="1:18" ht="10.9" customHeight="1">
      <c r="B121" s="552" t="s">
        <v>3445</v>
      </c>
      <c r="C121" s="553" t="s">
        <v>3451</v>
      </c>
      <c r="M121" s="571" t="str">
        <f t="shared" si="0"/>
        <v/>
      </c>
      <c r="N121" s="552" t="s">
        <v>3445</v>
      </c>
      <c r="O121" s="1649" t="s">
        <v>3976</v>
      </c>
      <c r="P121" s="356"/>
    </row>
    <row r="122" spans="1:18" ht="11.45" customHeight="1">
      <c r="A122" s="550" t="str">
        <f>IF($I$90="Stable Communities &lt; 20%", "X","")</f>
        <v/>
      </c>
      <c r="C122" s="568" t="s">
        <v>3455</v>
      </c>
      <c r="E122" s="160"/>
      <c r="M122" s="573"/>
      <c r="N122" s="31"/>
      <c r="O122" s="162"/>
      <c r="P122" s="162"/>
    </row>
    <row r="123" spans="1:18" ht="10.9" customHeight="1">
      <c r="B123" s="552" t="s">
        <v>3452</v>
      </c>
      <c r="C123" s="553" t="s">
        <v>3456</v>
      </c>
      <c r="M123" s="571"/>
      <c r="O123" s="552" t="s">
        <v>3452</v>
      </c>
      <c r="P123" s="355"/>
    </row>
    <row r="124" spans="1:18" ht="10.9" customHeight="1">
      <c r="B124" s="552" t="s">
        <v>3453</v>
      </c>
      <c r="C124" s="69" t="s">
        <v>3457</v>
      </c>
      <c r="M124" s="571"/>
      <c r="O124" s="552" t="s">
        <v>3453</v>
      </c>
      <c r="P124" s="541"/>
    </row>
    <row r="125" spans="1:18" ht="10.9" customHeight="1">
      <c r="B125" s="552" t="s">
        <v>3454</v>
      </c>
      <c r="C125" s="553" t="s">
        <v>3458</v>
      </c>
      <c r="M125" s="571"/>
      <c r="O125" s="552" t="s">
        <v>3454</v>
      </c>
      <c r="P125" s="541"/>
    </row>
    <row r="126" spans="1:18" ht="10.9" customHeight="1">
      <c r="B126" s="552" t="s">
        <v>847</v>
      </c>
      <c r="C126" s="69" t="s">
        <v>3459</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50" t="s">
        <v>4097</v>
      </c>
      <c r="B128" s="1651"/>
      <c r="C128" s="1651"/>
      <c r="D128" s="1651"/>
      <c r="E128" s="1651"/>
      <c r="F128" s="1651"/>
      <c r="G128" s="1651"/>
      <c r="H128" s="1651"/>
      <c r="I128" s="1651"/>
      <c r="J128" s="1651"/>
      <c r="K128" s="1651"/>
      <c r="L128" s="1651"/>
      <c r="M128" s="1651"/>
      <c r="N128" s="1651"/>
      <c r="O128" s="1651"/>
      <c r="P128" s="1652"/>
    </row>
    <row r="129" spans="1:17" s="51" customFormat="1" ht="11.25" customHeight="1">
      <c r="A129" s="50"/>
      <c r="B129" s="114" t="s">
        <v>2739</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3460</v>
      </c>
      <c r="D132" s="49"/>
      <c r="E132" s="49"/>
      <c r="F132" s="49"/>
      <c r="H132" s="73"/>
      <c r="J132" s="73" t="s">
        <v>474</v>
      </c>
      <c r="K132" s="56"/>
      <c r="M132" s="3">
        <v>3</v>
      </c>
      <c r="N132" s="7"/>
      <c r="O132" s="93">
        <f>MIN($M132,(O133+O139))</f>
        <v>3</v>
      </c>
      <c r="P132" s="93">
        <f>MIN($M132,(P133+P139))</f>
        <v>0</v>
      </c>
      <c r="Q132" s="148" t="s">
        <v>612</v>
      </c>
    </row>
    <row r="133" spans="1:17" ht="12" customHeight="1">
      <c r="B133" s="851" t="s">
        <v>2863</v>
      </c>
      <c r="C133" s="254" t="s">
        <v>3143</v>
      </c>
      <c r="D133" s="40"/>
      <c r="E133" s="40"/>
      <c r="F133" s="40"/>
      <c r="G133" s="31" t="str">
        <f>IF(AND(O133&lt;0,M140&lt;0),"Select either A or B but not both!&gt;","")</f>
        <v/>
      </c>
      <c r="H133" s="40"/>
      <c r="I133" s="40"/>
      <c r="J133" s="40"/>
      <c r="K133" s="40"/>
      <c r="L133" s="558" t="str">
        <f>IF(OR($O133=$M133,$O133=0,$O133=""),"","* * Check Score! * *")</f>
        <v/>
      </c>
      <c r="M133" s="3">
        <v>3</v>
      </c>
      <c r="N133" s="803" t="s">
        <v>2863</v>
      </c>
      <c r="O133" s="1661">
        <v>0</v>
      </c>
      <c r="P133" s="658"/>
    </row>
    <row r="134" spans="1:17" s="132" customFormat="1" ht="22.9" customHeight="1">
      <c r="B134" s="581" t="s">
        <v>2867</v>
      </c>
      <c r="C134" s="1178" t="s">
        <v>1459</v>
      </c>
      <c r="D134" s="1111"/>
      <c r="E134" s="1111"/>
      <c r="F134" s="1111"/>
      <c r="G134" s="1111"/>
      <c r="H134" s="1111"/>
      <c r="I134" s="1111"/>
      <c r="J134" s="1111"/>
      <c r="K134" s="1111"/>
      <c r="L134" s="1111"/>
      <c r="M134" s="657"/>
      <c r="N134" s="581" t="s">
        <v>2867</v>
      </c>
      <c r="O134" s="1575"/>
      <c r="P134" s="232"/>
    </row>
    <row r="135" spans="1:17" s="132" customFormat="1" ht="11.45" customHeight="1">
      <c r="B135" s="250"/>
      <c r="C135" s="161" t="s">
        <v>1460</v>
      </c>
      <c r="H135" s="704" t="s">
        <v>3621</v>
      </c>
      <c r="I135" s="1654"/>
      <c r="J135" s="704" t="s">
        <v>3220</v>
      </c>
      <c r="K135" s="1662"/>
      <c r="L135" s="1663"/>
      <c r="M135" s="1664"/>
    </row>
    <row r="136" spans="1:17" s="132" customFormat="1" ht="11.45" customHeight="1">
      <c r="B136" s="250" t="s">
        <v>2869</v>
      </c>
      <c r="C136" s="161" t="s">
        <v>1461</v>
      </c>
      <c r="M136" s="8"/>
      <c r="N136" s="250" t="s">
        <v>2869</v>
      </c>
      <c r="O136" s="1648" t="s">
        <v>2104</v>
      </c>
      <c r="P136" s="355"/>
    </row>
    <row r="137" spans="1:17" s="132" customFormat="1" ht="11.45" customHeight="1">
      <c r="B137" s="250" t="s">
        <v>3550</v>
      </c>
      <c r="C137" s="161" t="s">
        <v>1462</v>
      </c>
      <c r="M137" s="8"/>
      <c r="N137" s="250" t="s">
        <v>3550</v>
      </c>
      <c r="O137" s="1653" t="s">
        <v>2104</v>
      </c>
      <c r="P137" s="541"/>
    </row>
    <row r="138" spans="1:17" s="132" customFormat="1" ht="11.45" customHeight="1">
      <c r="B138" s="250" t="s">
        <v>1762</v>
      </c>
      <c r="C138" s="161" t="s">
        <v>1463</v>
      </c>
      <c r="M138" s="8"/>
      <c r="N138" s="250" t="s">
        <v>1762</v>
      </c>
      <c r="O138" s="1649"/>
      <c r="P138" s="356"/>
    </row>
    <row r="139" spans="1:17" ht="12" customHeight="1">
      <c r="A139" s="254" t="s">
        <v>1921</v>
      </c>
      <c r="B139" s="851" t="s">
        <v>2866</v>
      </c>
      <c r="C139" s="254" t="s">
        <v>3144</v>
      </c>
      <c r="D139" s="160"/>
      <c r="E139" s="666" t="s">
        <v>3650</v>
      </c>
      <c r="M139" s="3">
        <v>3</v>
      </c>
      <c r="N139" s="803" t="s">
        <v>2866</v>
      </c>
      <c r="O139" s="659">
        <f>IF($M140=5,3,IF($M140=4,2,0))</f>
        <v>3</v>
      </c>
      <c r="P139" s="85"/>
    </row>
    <row r="140" spans="1:17" ht="12" customHeight="1">
      <c r="B140" s="122"/>
      <c r="D140" s="40"/>
      <c r="E140" s="40"/>
      <c r="F140" s="40"/>
      <c r="G140" s="48"/>
      <c r="H140" s="48"/>
      <c r="I140" s="48"/>
      <c r="J140" s="48"/>
      <c r="L140" s="574" t="s">
        <v>688</v>
      </c>
      <c r="M140" s="1575">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79" t="s">
        <v>4098</v>
      </c>
      <c r="B142" s="1580"/>
      <c r="C142" s="1580"/>
      <c r="D142" s="1580"/>
      <c r="E142" s="1580"/>
      <c r="F142" s="1580"/>
      <c r="G142" s="1580"/>
      <c r="H142" s="1580"/>
      <c r="I142" s="1580"/>
      <c r="J142" s="1580"/>
      <c r="K142" s="1580"/>
      <c r="L142" s="1580"/>
      <c r="M142" s="1580"/>
      <c r="N142" s="1580"/>
      <c r="O142" s="1580"/>
      <c r="P142" s="1581"/>
      <c r="Q142" s="736" t="s">
        <v>1806</v>
      </c>
    </row>
    <row r="143" spans="1:17" s="51" customFormat="1" ht="11.45" customHeight="1">
      <c r="B143" s="114" t="s">
        <v>2739</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3461</v>
      </c>
      <c r="D146" s="49"/>
      <c r="E146" s="49"/>
      <c r="F146" s="49"/>
      <c r="H146" s="73"/>
      <c r="K146" s="56"/>
      <c r="L146" s="558" t="str">
        <f>IF(OR($O146=$M146,$O146=0,$O146=""),"","* * Check Score! * *")</f>
        <v/>
      </c>
      <c r="M146" s="3">
        <v>2</v>
      </c>
      <c r="N146" s="601" t="str">
        <f>IF(OR($O146=$M146,$O146=0,$O146=""),"","***")</f>
        <v/>
      </c>
      <c r="O146" s="1641">
        <v>2</v>
      </c>
      <c r="P146" s="85"/>
      <c r="Q146" s="148" t="s">
        <v>612</v>
      </c>
    </row>
    <row r="147" spans="1:17" ht="11.45" customHeight="1">
      <c r="B147" s="233" t="s">
        <v>2504</v>
      </c>
      <c r="E147" s="160"/>
      <c r="M147" s="573"/>
      <c r="N147" s="31"/>
      <c r="O147" s="31"/>
      <c r="P147" s="162" t="s">
        <v>3523</v>
      </c>
    </row>
    <row r="148" spans="1:17" s="583" customFormat="1" ht="11.45" customHeight="1">
      <c r="A148" s="575" t="s">
        <v>3420</v>
      </c>
      <c r="B148" s="716" t="s">
        <v>3462</v>
      </c>
      <c r="D148" s="717"/>
      <c r="M148" s="718"/>
      <c r="N148" s="575"/>
      <c r="O148" s="575" t="s">
        <v>3420</v>
      </c>
      <c r="P148" s="357"/>
    </row>
    <row r="149" spans="1:17" s="583" customFormat="1">
      <c r="A149" s="575" t="s">
        <v>3421</v>
      </c>
      <c r="B149" s="1208" t="s">
        <v>3755</v>
      </c>
      <c r="C149" s="1006"/>
      <c r="D149" s="1006"/>
      <c r="E149" s="1006"/>
      <c r="F149" s="1006"/>
      <c r="G149" s="1006"/>
      <c r="H149" s="1006"/>
      <c r="I149" s="1006"/>
      <c r="J149" s="1006"/>
      <c r="K149" s="1006"/>
      <c r="L149" s="1006"/>
      <c r="M149" s="1006"/>
      <c r="N149" s="1006"/>
      <c r="O149" s="575" t="s">
        <v>3421</v>
      </c>
      <c r="P149" s="719"/>
    </row>
    <row r="150" spans="1:17" s="583" customFormat="1">
      <c r="A150" s="575" t="s">
        <v>3422</v>
      </c>
      <c r="B150" s="1208" t="s">
        <v>3756</v>
      </c>
      <c r="C150" s="1179"/>
      <c r="D150" s="1179"/>
      <c r="E150" s="1179"/>
      <c r="F150" s="1179"/>
      <c r="G150" s="1179"/>
      <c r="H150" s="1179"/>
      <c r="I150" s="1179"/>
      <c r="J150" s="1179"/>
      <c r="K150" s="1179"/>
      <c r="L150" s="1179"/>
      <c r="M150" s="1179"/>
      <c r="N150" s="1179"/>
      <c r="O150" s="575" t="s">
        <v>3422</v>
      </c>
      <c r="P150" s="719"/>
    </row>
    <row r="151" spans="1:17" s="583" customFormat="1">
      <c r="A151" s="575" t="s">
        <v>3423</v>
      </c>
      <c r="B151" s="1121" t="s">
        <v>3757</v>
      </c>
      <c r="C151" s="1212"/>
      <c r="D151" s="1212"/>
      <c r="E151" s="1212"/>
      <c r="F151" s="1212"/>
      <c r="G151" s="1212"/>
      <c r="H151" s="1212"/>
      <c r="I151" s="1212"/>
      <c r="J151" s="1212"/>
      <c r="K151" s="1212"/>
      <c r="L151" s="1212"/>
      <c r="M151" s="1212"/>
      <c r="N151" s="1212"/>
      <c r="O151" s="575" t="s">
        <v>3423</v>
      </c>
      <c r="P151" s="719"/>
    </row>
    <row r="152" spans="1:17" s="583" customFormat="1" ht="23.45" customHeight="1">
      <c r="A152" s="575" t="s">
        <v>3424</v>
      </c>
      <c r="B152" s="1179" t="s">
        <v>3126</v>
      </c>
      <c r="C152" s="1006"/>
      <c r="D152" s="1006"/>
      <c r="E152" s="1006"/>
      <c r="F152" s="1006"/>
      <c r="G152" s="1006"/>
      <c r="H152" s="1006"/>
      <c r="I152" s="1006"/>
      <c r="J152" s="1006"/>
      <c r="K152" s="1006"/>
      <c r="L152" s="1006"/>
      <c r="M152" s="1006"/>
      <c r="N152" s="1006"/>
      <c r="O152" s="575" t="s">
        <v>3424</v>
      </c>
      <c r="P152" s="719"/>
    </row>
    <row r="153" spans="1:17" s="583" customFormat="1" ht="12.75" customHeight="1">
      <c r="A153" s="575" t="s">
        <v>3444</v>
      </c>
      <c r="B153" s="716" t="s">
        <v>3127</v>
      </c>
      <c r="M153" s="718"/>
      <c r="N153" s="575"/>
      <c r="O153" s="575" t="s">
        <v>3444</v>
      </c>
      <c r="P153" s="719"/>
    </row>
    <row r="154" spans="1:17" s="583" customFormat="1" ht="12.75" customHeight="1">
      <c r="A154" s="575" t="s">
        <v>3445</v>
      </c>
      <c r="B154" s="716" t="s">
        <v>2505</v>
      </c>
      <c r="M154" s="718"/>
      <c r="N154" s="575"/>
      <c r="O154" s="575" t="s">
        <v>3445</v>
      </c>
      <c r="P154" s="719"/>
    </row>
    <row r="155" spans="1:17" s="583" customFormat="1" ht="12.75" customHeight="1">
      <c r="A155" s="575" t="s">
        <v>3452</v>
      </c>
      <c r="B155" s="295" t="s">
        <v>2506</v>
      </c>
      <c r="M155" s="718"/>
      <c r="N155" s="575"/>
      <c r="O155" s="575" t="s">
        <v>3452</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79" t="s">
        <v>4099</v>
      </c>
      <c r="B157" s="1580"/>
      <c r="C157" s="1580"/>
      <c r="D157" s="1580"/>
      <c r="E157" s="1580"/>
      <c r="F157" s="1580"/>
      <c r="G157" s="1580"/>
      <c r="H157" s="1580"/>
      <c r="I157" s="1580"/>
      <c r="J157" s="1580"/>
      <c r="K157" s="1580"/>
      <c r="L157" s="1580"/>
      <c r="M157" s="1580"/>
      <c r="N157" s="1580"/>
      <c r="O157" s="1580"/>
      <c r="P157" s="1581"/>
    </row>
    <row r="158" spans="1:17" s="51" customFormat="1" ht="11.25" customHeight="1">
      <c r="A158" s="50"/>
      <c r="B158" s="114" t="s">
        <v>2739</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3145</v>
      </c>
      <c r="C161" s="64"/>
      <c r="D161" s="159"/>
      <c r="E161" s="159"/>
      <c r="F161" s="49"/>
      <c r="H161" s="47"/>
      <c r="J161" s="73" t="s">
        <v>474</v>
      </c>
      <c r="K161" s="56"/>
      <c r="M161" s="3">
        <v>1</v>
      </c>
      <c r="N161" s="7"/>
      <c r="O161" s="93">
        <f>MIN($M161,SUM(O162:O163))</f>
        <v>0</v>
      </c>
      <c r="P161" s="93">
        <f>MIN($M161,SUM(P162:P163))</f>
        <v>0</v>
      </c>
      <c r="Q161" s="148" t="s">
        <v>612</v>
      </c>
    </row>
    <row r="162" spans="1:18" s="134" customFormat="1" ht="12" customHeight="1">
      <c r="A162" s="189" t="s">
        <v>2863</v>
      </c>
      <c r="B162" s="236" t="s">
        <v>3146</v>
      </c>
      <c r="D162" s="73"/>
      <c r="E162" s="73"/>
      <c r="F162" s="52"/>
      <c r="G162" s="31"/>
      <c r="K162" s="803" t="s">
        <v>3963</v>
      </c>
      <c r="L162" s="1575" t="s">
        <v>3978</v>
      </c>
      <c r="M162" s="8">
        <v>1</v>
      </c>
      <c r="N162" s="803" t="s">
        <v>2863</v>
      </c>
      <c r="O162" s="1641">
        <v>0</v>
      </c>
      <c r="P162" s="85"/>
      <c r="Q162" s="148"/>
      <c r="R162" s="558" t="str">
        <f>IF(OR($O162=$M162,$O162=0,$O162=""),"","* * Check Score! * *")</f>
        <v/>
      </c>
    </row>
    <row r="163" spans="1:18" s="51" customFormat="1" ht="12" customHeight="1">
      <c r="A163" s="189" t="s">
        <v>2866</v>
      </c>
      <c r="B163" s="236" t="s">
        <v>3147</v>
      </c>
      <c r="D163" s="69"/>
      <c r="E163" s="38"/>
      <c r="F163" s="62" t="s">
        <v>3898</v>
      </c>
      <c r="K163" s="62"/>
      <c r="L163" s="558"/>
      <c r="M163" s="8">
        <v>1</v>
      </c>
      <c r="N163" s="803" t="s">
        <v>2866</v>
      </c>
      <c r="O163" s="1641">
        <v>0</v>
      </c>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79" t="s">
        <v>4100</v>
      </c>
      <c r="B165" s="1580"/>
      <c r="C165" s="1580"/>
      <c r="D165" s="1580"/>
      <c r="E165" s="1580"/>
      <c r="F165" s="1580"/>
      <c r="G165" s="1580"/>
      <c r="H165" s="1580"/>
      <c r="I165" s="1580"/>
      <c r="J165" s="1580"/>
      <c r="K165" s="1580"/>
      <c r="L165" s="1580"/>
      <c r="M165" s="1580"/>
      <c r="N165" s="1580"/>
      <c r="O165" s="1580"/>
      <c r="P165" s="1581"/>
      <c r="Q165" s="736" t="s">
        <v>1806</v>
      </c>
    </row>
    <row r="166" spans="1:18" s="51" customFormat="1" ht="11.25" customHeight="1">
      <c r="A166" s="50"/>
      <c r="B166" s="114" t="s">
        <v>2739</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3880</v>
      </c>
      <c r="C169" s="116"/>
      <c r="D169" s="70"/>
      <c r="E169" s="62"/>
      <c r="J169" s="73"/>
      <c r="K169" s="733" t="s">
        <v>3933</v>
      </c>
      <c r="L169" s="800" t="str">
        <f>'Part I-Project Information'!E81</f>
        <v>Yes</v>
      </c>
      <c r="M169" s="3">
        <v>3</v>
      </c>
      <c r="N169" s="7"/>
      <c r="O169" s="7"/>
      <c r="P169" s="85"/>
      <c r="Q169" s="148" t="s">
        <v>612</v>
      </c>
    </row>
    <row r="170" spans="1:18" s="51" customFormat="1" ht="12" customHeight="1">
      <c r="A170" s="189"/>
      <c r="B170" s="65" t="s">
        <v>3288</v>
      </c>
      <c r="D170" s="40"/>
      <c r="N170" s="803"/>
      <c r="O170" s="1575" t="s">
        <v>3976</v>
      </c>
      <c r="P170" s="232"/>
      <c r="R170" s="558"/>
    </row>
    <row r="171" spans="1:18" s="51" customFormat="1" ht="12" customHeight="1">
      <c r="A171" s="189"/>
      <c r="B171" s="65" t="s">
        <v>3947</v>
      </c>
      <c r="D171" s="40"/>
      <c r="N171" s="803"/>
      <c r="O171" s="1575" t="s">
        <v>3976</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79" t="s">
        <v>4101</v>
      </c>
      <c r="B173" s="1580"/>
      <c r="C173" s="1580"/>
      <c r="D173" s="1580"/>
      <c r="E173" s="1580"/>
      <c r="F173" s="1580"/>
      <c r="G173" s="1580"/>
      <c r="H173" s="1580"/>
      <c r="I173" s="1580"/>
      <c r="J173" s="1580"/>
      <c r="K173" s="1580"/>
      <c r="L173" s="1580"/>
      <c r="M173" s="1580"/>
      <c r="N173" s="1580"/>
      <c r="O173" s="1580"/>
      <c r="P173" s="1581"/>
    </row>
    <row r="174" spans="1:18" s="51" customFormat="1" ht="12" customHeight="1">
      <c r="B174" s="114" t="s">
        <v>2739</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3949</v>
      </c>
      <c r="G177" s="159"/>
      <c r="H177" s="665"/>
      <c r="I177" s="159"/>
      <c r="J177" s="801">
        <f>'Part VI-Revenues &amp; Expenses'!$M$74</f>
        <v>33</v>
      </c>
      <c r="K177" s="159"/>
      <c r="L177" s="802" t="str">
        <f>IF(AND(J177=0,O177&gt;0),"&lt;&lt;&lt; Check NC units!","")</f>
        <v/>
      </c>
      <c r="M177" s="3">
        <v>3</v>
      </c>
      <c r="N177" s="601" t="str">
        <f>IF(OR($O177=$M177,$O177=0,$O177=""),"","***")</f>
        <v/>
      </c>
      <c r="O177" s="1641">
        <v>3</v>
      </c>
      <c r="P177" s="85"/>
      <c r="Q177" s="148" t="s">
        <v>612</v>
      </c>
      <c r="R177" s="31"/>
    </row>
    <row r="178" spans="1:18" s="75" customFormat="1" ht="25.15" customHeight="1">
      <c r="A178" s="209"/>
      <c r="B178" s="1096" t="s">
        <v>3948</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2739</v>
      </c>
      <c r="M179" s="54"/>
      <c r="N179" s="74"/>
      <c r="O179" s="4"/>
      <c r="P179" s="854"/>
    </row>
    <row r="180" spans="1:18" s="51" customFormat="1" ht="12" customHeight="1">
      <c r="A180" s="1579" t="s">
        <v>4102</v>
      </c>
      <c r="B180" s="1580"/>
      <c r="C180" s="1580"/>
      <c r="D180" s="1580"/>
      <c r="E180" s="1580"/>
      <c r="F180" s="1580"/>
      <c r="G180" s="1580"/>
      <c r="H180" s="1580"/>
      <c r="I180" s="1581"/>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1"/>
      <c r="P182" s="85"/>
      <c r="Q182" s="148" t="s">
        <v>612</v>
      </c>
    </row>
    <row r="183" spans="1:18" s="51" customFormat="1" ht="12.6" customHeight="1">
      <c r="A183" s="50"/>
      <c r="B183" s="154" t="s">
        <v>2714</v>
      </c>
      <c r="D183" s="134"/>
      <c r="E183" s="1665" t="s">
        <v>2639</v>
      </c>
      <c r="F183" s="1666"/>
      <c r="G183" s="1667"/>
      <c r="H183" s="1668"/>
      <c r="I183" s="61" t="s">
        <v>2713</v>
      </c>
      <c r="O183" s="162" t="s">
        <v>3523</v>
      </c>
      <c r="P183" s="162" t="s">
        <v>3523</v>
      </c>
    </row>
    <row r="184" spans="1:18" s="132" customFormat="1" ht="11.45" customHeight="1">
      <c r="A184" s="189" t="s">
        <v>2863</v>
      </c>
      <c r="B184" s="161" t="s">
        <v>2512</v>
      </c>
      <c r="D184" s="161"/>
      <c r="E184" s="161"/>
      <c r="F184" s="161"/>
      <c r="G184" s="1669" t="s">
        <v>3536</v>
      </c>
      <c r="H184" s="1670"/>
      <c r="I184" s="1671"/>
      <c r="J184" s="1669" t="s">
        <v>1715</v>
      </c>
      <c r="K184" s="1670"/>
      <c r="L184" s="1671"/>
      <c r="N184" s="803" t="s">
        <v>2863</v>
      </c>
      <c r="O184" s="1575"/>
      <c r="P184" s="232"/>
    </row>
    <row r="185" spans="1:18" s="132" customFormat="1" ht="11.45" customHeight="1">
      <c r="A185" s="189" t="s">
        <v>2866</v>
      </c>
      <c r="B185" s="161" t="s">
        <v>475</v>
      </c>
      <c r="D185" s="161"/>
      <c r="E185" s="161"/>
      <c r="F185" s="161"/>
      <c r="G185" s="161"/>
      <c r="L185" s="161"/>
      <c r="M185" s="161"/>
      <c r="N185" s="803" t="s">
        <v>2866</v>
      </c>
      <c r="O185" s="1575"/>
      <c r="P185" s="232"/>
    </row>
    <row r="186" spans="1:18" s="132" customFormat="1" ht="11.45" customHeight="1">
      <c r="A186" s="189" t="s">
        <v>1145</v>
      </c>
      <c r="B186" s="161" t="s">
        <v>2467</v>
      </c>
      <c r="D186" s="161"/>
      <c r="E186" s="161"/>
      <c r="F186" s="161"/>
      <c r="G186" s="161"/>
      <c r="H186" s="161"/>
      <c r="L186" s="161"/>
      <c r="M186" s="161"/>
      <c r="N186" s="803" t="s">
        <v>1145</v>
      </c>
      <c r="O186" s="1575"/>
      <c r="P186" s="232"/>
    </row>
    <row r="187" spans="1:18" s="132" customFormat="1" ht="11.45" customHeight="1">
      <c r="A187" s="189" t="s">
        <v>3005</v>
      </c>
      <c r="B187" s="184" t="s">
        <v>3846</v>
      </c>
      <c r="D187" s="161"/>
      <c r="E187" s="161"/>
      <c r="F187" s="161"/>
      <c r="G187" s="161"/>
      <c r="H187" s="161"/>
      <c r="I187" s="161"/>
      <c r="J187" s="161"/>
      <c r="K187" s="161"/>
      <c r="L187" s="161"/>
      <c r="M187" s="161"/>
      <c r="N187" s="803" t="s">
        <v>3005</v>
      </c>
      <c r="O187" s="1575"/>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79" t="s">
        <v>4046</v>
      </c>
      <c r="B189" s="1580"/>
      <c r="C189" s="1580"/>
      <c r="D189" s="1580"/>
      <c r="E189" s="1580"/>
      <c r="F189" s="1580"/>
      <c r="G189" s="1580"/>
      <c r="H189" s="1580"/>
      <c r="I189" s="1580"/>
      <c r="J189" s="1580"/>
      <c r="K189" s="1580"/>
      <c r="L189" s="1580"/>
      <c r="M189" s="1580"/>
      <c r="N189" s="1580"/>
      <c r="O189" s="1580"/>
      <c r="P189" s="1581"/>
      <c r="Q189" s="736" t="s">
        <v>1806</v>
      </c>
    </row>
    <row r="190" spans="1:18" s="51" customFormat="1" ht="11.25" customHeight="1">
      <c r="A190" s="50"/>
      <c r="B190" s="114" t="s">
        <v>2739</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2715</v>
      </c>
      <c r="D193" s="117"/>
      <c r="E193" s="117"/>
      <c r="F193" s="62"/>
      <c r="G193" s="62"/>
      <c r="H193" s="62"/>
      <c r="I193" s="62"/>
      <c r="J193" s="64"/>
      <c r="K193" s="72"/>
      <c r="L193" s="68" t="str">
        <f>IF(M193&gt;14,"Over limit!","")</f>
        <v/>
      </c>
      <c r="M193" s="4">
        <v>7</v>
      </c>
      <c r="N193" s="7"/>
      <c r="O193" s="77">
        <f>O201+O216+O218</f>
        <v>3</v>
      </c>
      <c r="P193" s="77">
        <f>P201+P216+P218</f>
        <v>0</v>
      </c>
      <c r="Q193" s="148" t="s">
        <v>612</v>
      </c>
    </row>
    <row r="194" spans="1:18" s="51" customFormat="1" ht="12.75" customHeight="1">
      <c r="A194" s="50"/>
      <c r="B194" s="154" t="s">
        <v>3863</v>
      </c>
      <c r="E194" s="117"/>
      <c r="F194" s="62"/>
      <c r="G194" s="62"/>
      <c r="H194" s="62"/>
      <c r="I194" s="62"/>
      <c r="J194" s="64"/>
      <c r="K194" s="72"/>
      <c r="L194" s="68"/>
      <c r="O194" s="162" t="s">
        <v>3523</v>
      </c>
      <c r="P194" s="162" t="s">
        <v>3523</v>
      </c>
    </row>
    <row r="195" spans="1:18" s="132" customFormat="1" ht="11.25" customHeight="1">
      <c r="B195" s="715" t="s">
        <v>2867</v>
      </c>
      <c r="C195" s="132" t="s">
        <v>808</v>
      </c>
      <c r="E195" s="117"/>
      <c r="F195" s="62"/>
      <c r="G195" s="62"/>
      <c r="H195" s="62"/>
      <c r="I195" s="62"/>
      <c r="J195" s="64"/>
      <c r="K195" s="72"/>
      <c r="L195" s="68" t="str">
        <f>IF(M195&gt;14,"Over limit!","")</f>
        <v/>
      </c>
      <c r="N195" s="250" t="s">
        <v>2867</v>
      </c>
      <c r="O195" s="1648" t="s">
        <v>3976</v>
      </c>
      <c r="P195" s="355"/>
    </row>
    <row r="196" spans="1:18" s="132" customFormat="1" ht="11.25" customHeight="1">
      <c r="B196" s="715" t="s">
        <v>2869</v>
      </c>
      <c r="C196" s="132" t="s">
        <v>809</v>
      </c>
      <c r="N196" s="250" t="s">
        <v>2869</v>
      </c>
      <c r="O196" s="1653" t="s">
        <v>3976</v>
      </c>
      <c r="P196" s="541"/>
    </row>
    <row r="197" spans="1:18" s="132" customFormat="1" ht="11.25" customHeight="1">
      <c r="B197" s="715" t="s">
        <v>3550</v>
      </c>
      <c r="C197" s="132" t="s">
        <v>810</v>
      </c>
      <c r="N197" s="250" t="s">
        <v>3550</v>
      </c>
      <c r="O197" s="1653" t="s">
        <v>3978</v>
      </c>
      <c r="P197" s="541"/>
    </row>
    <row r="198" spans="1:18" s="132" customFormat="1" ht="11.25" customHeight="1">
      <c r="B198" s="715" t="s">
        <v>1762</v>
      </c>
      <c r="C198" s="132" t="s">
        <v>811</v>
      </c>
      <c r="N198" s="250" t="s">
        <v>1762</v>
      </c>
      <c r="O198" s="1653" t="s">
        <v>3978</v>
      </c>
      <c r="P198" s="541"/>
    </row>
    <row r="199" spans="1:18" s="132" customFormat="1" ht="11.25" customHeight="1">
      <c r="B199" s="715" t="s">
        <v>1763</v>
      </c>
      <c r="C199" s="132" t="s">
        <v>819</v>
      </c>
      <c r="N199" s="250" t="s">
        <v>1763</v>
      </c>
      <c r="O199" s="1649" t="s">
        <v>3978</v>
      </c>
      <c r="P199" s="356"/>
    </row>
    <row r="200" spans="1:18" s="132" customFormat="1" ht="6" customHeight="1">
      <c r="B200" s="715"/>
    </row>
    <row r="201" spans="1:18" s="51" customFormat="1" ht="11.25" customHeight="1">
      <c r="A201" s="189" t="s">
        <v>2863</v>
      </c>
      <c r="B201" s="256" t="s">
        <v>2716</v>
      </c>
      <c r="D201" s="48"/>
      <c r="E201" s="48"/>
      <c r="F201" s="40"/>
      <c r="G201" s="134"/>
      <c r="H201" s="134"/>
      <c r="I201" s="134"/>
      <c r="J201" s="48"/>
      <c r="K201" s="134"/>
      <c r="L201" s="40"/>
      <c r="M201" s="696">
        <v>4</v>
      </c>
      <c r="N201" s="803" t="s">
        <v>2863</v>
      </c>
      <c r="O201" s="204">
        <f>IF($I$214&gt;=0.15, 4,IF($I$214&gt;=0.1, 3,IF($I$214&gt;=0.05, 2,IF($I$214&gt;=0.02, 1,0))))</f>
        <v>0</v>
      </c>
      <c r="P201" s="204">
        <f>IF($L$214&gt;=0.15, 4,IF($L$214&gt;=0.1, 3,IF($L$214&gt;=0.05, 2,IF($L$214&gt;=0.02, 1,0))))</f>
        <v>0</v>
      </c>
    </row>
    <row r="202" spans="1:18" ht="12" customHeight="1">
      <c r="B202" s="551" t="s">
        <v>2867</v>
      </c>
      <c r="C202" s="722" t="s">
        <v>3723</v>
      </c>
      <c r="I202" s="1180" t="s">
        <v>2871</v>
      </c>
      <c r="J202" s="1180"/>
      <c r="L202" s="862" t="s">
        <v>2871</v>
      </c>
      <c r="M202" s="216"/>
      <c r="N202" s="250" t="s">
        <v>2867</v>
      </c>
    </row>
    <row r="203" spans="1:18" s="51" customFormat="1" ht="11.25" customHeight="1">
      <c r="A203" s="251"/>
      <c r="B203" s="150"/>
      <c r="C203" s="552" t="s">
        <v>3420</v>
      </c>
      <c r="D203" s="44" t="s">
        <v>2073</v>
      </c>
      <c r="H203" s="65"/>
      <c r="I203" s="1672"/>
      <c r="J203" s="1673"/>
      <c r="K203" s="253"/>
      <c r="L203" s="705"/>
      <c r="M203" s="89"/>
      <c r="N203" s="552" t="s">
        <v>3420</v>
      </c>
      <c r="O203" s="1648"/>
      <c r="P203" s="355"/>
      <c r="R203" s="558"/>
    </row>
    <row r="204" spans="1:18" ht="11.25" customHeight="1">
      <c r="A204" s="252"/>
      <c r="B204" s="108"/>
      <c r="C204" s="575" t="s">
        <v>3421</v>
      </c>
      <c r="D204" s="44" t="s">
        <v>2074</v>
      </c>
      <c r="H204" s="65"/>
      <c r="I204" s="1672"/>
      <c r="J204" s="1673"/>
      <c r="L204" s="705"/>
      <c r="M204" s="89"/>
      <c r="N204" s="575" t="s">
        <v>3421</v>
      </c>
      <c r="O204" s="1653"/>
      <c r="P204" s="541"/>
      <c r="R204" s="558"/>
    </row>
    <row r="205" spans="1:18" ht="11.25" customHeight="1">
      <c r="B205" s="715"/>
      <c r="C205" s="552" t="s">
        <v>3422</v>
      </c>
      <c r="D205" s="44" t="s">
        <v>3720</v>
      </c>
      <c r="H205" s="65"/>
      <c r="I205" s="1672"/>
      <c r="J205" s="1673"/>
      <c r="L205" s="705"/>
      <c r="M205" s="89"/>
      <c r="N205" s="552" t="s">
        <v>3422</v>
      </c>
      <c r="O205" s="1653"/>
      <c r="P205" s="541"/>
      <c r="R205" s="558"/>
    </row>
    <row r="206" spans="1:18" ht="11.25" customHeight="1">
      <c r="A206" s="252"/>
      <c r="B206" s="715"/>
      <c r="C206" s="552" t="s">
        <v>3423</v>
      </c>
      <c r="D206" s="44" t="s">
        <v>3721</v>
      </c>
      <c r="I206" s="1672"/>
      <c r="J206" s="1673"/>
      <c r="L206" s="705"/>
      <c r="M206" s="89"/>
      <c r="N206" s="552" t="s">
        <v>3423</v>
      </c>
      <c r="O206" s="1653"/>
      <c r="P206" s="541"/>
      <c r="R206" s="558"/>
    </row>
    <row r="207" spans="1:18" s="51" customFormat="1" ht="11.25" customHeight="1">
      <c r="A207" s="251"/>
      <c r="B207" s="715"/>
      <c r="C207" s="575" t="s">
        <v>3424</v>
      </c>
      <c r="D207" s="44" t="s">
        <v>2075</v>
      </c>
      <c r="H207" s="65"/>
      <c r="I207" s="1672"/>
      <c r="J207" s="1673"/>
      <c r="K207" s="253"/>
      <c r="L207" s="705"/>
      <c r="M207" s="89"/>
      <c r="N207" s="575" t="s">
        <v>3424</v>
      </c>
      <c r="O207" s="1653"/>
      <c r="P207" s="541"/>
      <c r="R207" s="558"/>
    </row>
    <row r="208" spans="1:18" ht="11.25" customHeight="1">
      <c r="A208" s="252"/>
      <c r="B208" s="715"/>
      <c r="C208" s="552" t="s">
        <v>3444</v>
      </c>
      <c r="D208" s="44" t="s">
        <v>2076</v>
      </c>
      <c r="H208" s="65"/>
      <c r="I208" s="1672"/>
      <c r="J208" s="1673"/>
      <c r="L208" s="705"/>
      <c r="M208" s="89"/>
      <c r="N208" s="552" t="s">
        <v>3444</v>
      </c>
      <c r="O208" s="1653"/>
      <c r="P208" s="541"/>
      <c r="R208" s="558"/>
    </row>
    <row r="209" spans="1:18" ht="11.25" customHeight="1">
      <c r="A209" s="252"/>
      <c r="B209" s="715"/>
      <c r="C209" s="552" t="s">
        <v>3445</v>
      </c>
      <c r="D209" s="44" t="s">
        <v>2077</v>
      </c>
      <c r="H209" s="65"/>
      <c r="I209" s="1672"/>
      <c r="J209" s="1673"/>
      <c r="L209" s="705"/>
      <c r="M209" s="89"/>
      <c r="N209" s="552" t="s">
        <v>3445</v>
      </c>
      <c r="O209" s="1653"/>
      <c r="P209" s="541"/>
      <c r="R209" s="558"/>
    </row>
    <row r="210" spans="1:18" ht="11.25" customHeight="1" thickBot="1">
      <c r="A210" s="252"/>
      <c r="B210" s="715"/>
      <c r="C210" s="552" t="s">
        <v>3452</v>
      </c>
      <c r="D210" s="701" t="s">
        <v>3722</v>
      </c>
      <c r="E210" s="702"/>
      <c r="F210" s="702"/>
      <c r="G210" s="702"/>
      <c r="H210" s="703"/>
      <c r="I210" s="1674"/>
      <c r="J210" s="1675"/>
      <c r="L210" s="709"/>
      <c r="M210" s="89"/>
      <c r="N210" s="552" t="s">
        <v>3452</v>
      </c>
      <c r="O210" s="1649"/>
      <c r="P210" s="356"/>
      <c r="R210" s="558"/>
    </row>
    <row r="211" spans="1:18" ht="12" customHeight="1" thickBot="1">
      <c r="A211" s="252"/>
      <c r="B211" s="715"/>
      <c r="D211" s="699" t="s">
        <v>3725</v>
      </c>
      <c r="H211" s="65"/>
      <c r="I211" s="1676">
        <f>SUM(I203:J210)</f>
        <v>0</v>
      </c>
      <c r="J211" s="1677"/>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2869</v>
      </c>
      <c r="C213" s="722" t="s">
        <v>3724</v>
      </c>
      <c r="D213" s="699" t="s">
        <v>3726</v>
      </c>
      <c r="I213" s="1181">
        <f>'Part IV-Uses of Funds'!$G$123</f>
        <v>5102075</v>
      </c>
      <c r="J213" s="1182"/>
      <c r="M213" s="216"/>
      <c r="N213" s="31"/>
      <c r="O213" s="31"/>
      <c r="P213" s="31"/>
    </row>
    <row r="214" spans="1:18" ht="12" customHeight="1">
      <c r="B214" s="250"/>
      <c r="C214" s="698"/>
      <c r="D214" s="720" t="s">
        <v>3727</v>
      </c>
      <c r="G214" s="708"/>
      <c r="H214" s="708"/>
      <c r="I214" s="1183">
        <f>IF($I$213=0,0,$I$211/$I$213)</f>
        <v>0</v>
      </c>
      <c r="J214" s="1184"/>
      <c r="L214" s="700">
        <f>IF($I$213=0,0,$L$211/$I$213)</f>
        <v>0</v>
      </c>
      <c r="M214" s="216"/>
      <c r="N214" s="31"/>
      <c r="O214" s="31"/>
      <c r="P214" s="31"/>
    </row>
    <row r="215" spans="1:18" s="132" customFormat="1" ht="5.25" customHeight="1">
      <c r="B215" s="715"/>
    </row>
    <row r="216" spans="1:18" s="51" customFormat="1" ht="12.75" customHeight="1">
      <c r="A216" s="189" t="s">
        <v>2866</v>
      </c>
      <c r="B216" s="256" t="s">
        <v>3899</v>
      </c>
      <c r="D216" s="47"/>
      <c r="E216" s="44"/>
      <c r="F216" s="1"/>
      <c r="G216" s="38" t="s">
        <v>3900</v>
      </c>
      <c r="H216" s="44"/>
      <c r="I216" s="1"/>
      <c r="J216" s="38"/>
      <c r="K216" s="38"/>
      <c r="L216" s="38"/>
      <c r="M216" s="89">
        <v>1</v>
      </c>
      <c r="N216" s="803" t="s">
        <v>2866</v>
      </c>
      <c r="O216" s="1575">
        <v>1</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2</v>
      </c>
      <c r="P218" s="204">
        <f>IF($M$221&gt;=0.1, 2,IF($M$221&gt;=0.05, 1,0))</f>
        <v>0</v>
      </c>
      <c r="R218" s="558" t="str">
        <f>IF(OR($O218=$M218,$O218=0,$O218=""),"","* * Check Score! * *")</f>
        <v/>
      </c>
    </row>
    <row r="219" spans="1:18" s="51" customFormat="1" ht="12.6" customHeight="1">
      <c r="A219" s="251"/>
      <c r="B219" s="44" t="s">
        <v>906</v>
      </c>
      <c r="E219" s="1678" t="s">
        <v>3994</v>
      </c>
      <c r="F219" s="1679"/>
      <c r="G219" s="1679"/>
      <c r="H219" s="1680"/>
      <c r="K219" s="253"/>
      <c r="M219" s="7"/>
      <c r="N219" s="7"/>
      <c r="O219" s="7"/>
      <c r="P219" s="7"/>
    </row>
    <row r="220" spans="1:18" ht="12" customHeight="1">
      <c r="A220" s="252"/>
      <c r="B220" s="582" t="s">
        <v>3322</v>
      </c>
      <c r="D220" s="583"/>
      <c r="E220" s="1681" t="s">
        <v>4078</v>
      </c>
      <c r="F220" s="1682"/>
      <c r="G220" s="1682"/>
      <c r="H220" s="1682"/>
      <c r="I220" s="1682"/>
      <c r="J220" s="1682"/>
      <c r="K220" s="1682"/>
      <c r="L220" s="1682"/>
      <c r="M220" s="1682"/>
      <c r="N220" s="1682"/>
      <c r="O220" s="1682"/>
      <c r="P220" s="1313"/>
    </row>
    <row r="221" spans="1:18" ht="12.6" customHeight="1">
      <c r="B221" s="44" t="s">
        <v>3864</v>
      </c>
      <c r="E221" s="704"/>
      <c r="I221" s="1683">
        <v>1000000</v>
      </c>
      <c r="J221" s="1684"/>
      <c r="K221" s="700">
        <f>IF($I$221=0,0,$I$221/$I$213)</f>
        <v>0.19599868680879839</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79" t="s">
        <v>4103</v>
      </c>
      <c r="B224" s="1580"/>
      <c r="C224" s="1580"/>
      <c r="D224" s="1580"/>
      <c r="E224" s="1580"/>
      <c r="F224" s="1580"/>
      <c r="G224" s="1580"/>
      <c r="H224" s="1580"/>
      <c r="I224" s="1580"/>
      <c r="J224" s="1580"/>
      <c r="K224" s="1580"/>
      <c r="L224" s="1580"/>
      <c r="M224" s="1580"/>
      <c r="N224" s="1580"/>
      <c r="O224" s="1580"/>
      <c r="P224" s="1581"/>
    </row>
    <row r="225" spans="1:18" s="134" customFormat="1" ht="10.9" customHeight="1">
      <c r="A225" s="50"/>
      <c r="B225" s="129" t="s">
        <v>2739</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2863</v>
      </c>
      <c r="B229" s="236" t="s">
        <v>3660</v>
      </c>
      <c r="D229" s="40"/>
      <c r="H229" s="65" t="s">
        <v>3288</v>
      </c>
      <c r="N229" s="803" t="s">
        <v>2863</v>
      </c>
      <c r="O229" s="1648" t="s">
        <v>3976</v>
      </c>
      <c r="P229" s="355"/>
      <c r="R229" s="558"/>
    </row>
    <row r="230" spans="1:18" s="51" customFormat="1" ht="24.6" customHeight="1">
      <c r="A230" s="50"/>
      <c r="B230" s="1185" t="s">
        <v>3643</v>
      </c>
      <c r="C230" s="1186"/>
      <c r="D230" s="1186"/>
      <c r="E230" s="1186"/>
      <c r="F230" s="1186"/>
      <c r="G230" s="1186"/>
      <c r="H230" s="1186"/>
      <c r="I230" s="1186"/>
      <c r="J230" s="1186"/>
      <c r="K230" s="1186"/>
      <c r="L230" s="1186"/>
      <c r="M230" s="54"/>
      <c r="N230" s="74"/>
      <c r="O230" s="1649"/>
      <c r="P230" s="356"/>
    </row>
    <row r="231" spans="1:18" s="51" customFormat="1" ht="12" customHeight="1">
      <c r="A231" s="189" t="s">
        <v>2866</v>
      </c>
      <c r="B231" s="236" t="s">
        <v>3728</v>
      </c>
      <c r="D231" s="40"/>
      <c r="E231" s="40"/>
      <c r="F231" s="40"/>
      <c r="H231" s="65" t="s">
        <v>3288</v>
      </c>
      <c r="N231" s="803" t="s">
        <v>2866</v>
      </c>
      <c r="O231" s="1575" t="s">
        <v>3978</v>
      </c>
      <c r="P231" s="232"/>
      <c r="R231" s="558"/>
    </row>
    <row r="232" spans="1:18" s="51" customFormat="1" ht="12" customHeight="1">
      <c r="A232" s="50"/>
      <c r="B232" s="65" t="s">
        <v>3731</v>
      </c>
      <c r="D232" s="47"/>
      <c r="E232" s="44"/>
      <c r="F232" s="1"/>
      <c r="G232" s="1"/>
      <c r="H232" s="1"/>
      <c r="I232" s="1"/>
      <c r="J232" s="38"/>
      <c r="K232" s="38"/>
      <c r="L232" s="38"/>
      <c r="M232" s="823"/>
      <c r="N232" s="1"/>
      <c r="O232" s="854"/>
      <c r="P232" s="4"/>
    </row>
    <row r="233" spans="1:18" s="132" customFormat="1" ht="11.25" customHeight="1">
      <c r="B233" s="551" t="s">
        <v>2867</v>
      </c>
      <c r="C233" s="697" t="s">
        <v>3729</v>
      </c>
      <c r="E233" s="117"/>
      <c r="F233" s="62"/>
      <c r="G233" s="62"/>
      <c r="H233" s="62"/>
      <c r="I233" s="62"/>
      <c r="J233" s="64"/>
      <c r="K233" s="72"/>
      <c r="L233" s="68" t="str">
        <f>IF(M233&gt;14,"Over limit!","")</f>
        <v/>
      </c>
      <c r="N233" s="250" t="s">
        <v>2867</v>
      </c>
      <c r="O233" s="1648"/>
      <c r="P233" s="355"/>
    </row>
    <row r="234" spans="1:18" s="132" customFormat="1" ht="11.25" customHeight="1">
      <c r="B234" s="551" t="s">
        <v>2869</v>
      </c>
      <c r="C234" s="697" t="s">
        <v>3730</v>
      </c>
      <c r="N234" s="250" t="s">
        <v>2869</v>
      </c>
      <c r="O234" s="1653"/>
      <c r="P234" s="541"/>
    </row>
    <row r="235" spans="1:18" s="132" customFormat="1" ht="11.25" customHeight="1">
      <c r="B235" s="551" t="s">
        <v>3550</v>
      </c>
      <c r="C235" s="697" t="s">
        <v>3732</v>
      </c>
      <c r="N235" s="250" t="s">
        <v>3550</v>
      </c>
      <c r="O235" s="1653"/>
      <c r="P235" s="541"/>
    </row>
    <row r="236" spans="1:18" s="132" customFormat="1" ht="11.25" customHeight="1">
      <c r="B236" s="551" t="s">
        <v>1762</v>
      </c>
      <c r="C236" s="697" t="s">
        <v>3733</v>
      </c>
      <c r="N236" s="250" t="s">
        <v>1762</v>
      </c>
      <c r="O236" s="1649"/>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79" t="s">
        <v>4104</v>
      </c>
      <c r="B238" s="1580"/>
      <c r="C238" s="1580"/>
      <c r="D238" s="1580"/>
      <c r="E238" s="1580"/>
      <c r="F238" s="1580"/>
      <c r="G238" s="1580"/>
      <c r="H238" s="1580"/>
      <c r="I238" s="1580"/>
      <c r="J238" s="1580"/>
      <c r="K238" s="1580"/>
      <c r="L238" s="1580"/>
      <c r="M238" s="1580"/>
      <c r="N238" s="1580"/>
      <c r="O238" s="1580"/>
      <c r="P238" s="1581"/>
      <c r="Q238" s="736" t="s">
        <v>1806</v>
      </c>
    </row>
    <row r="239" spans="1:18" s="134" customFormat="1" ht="10.5" customHeight="1">
      <c r="A239" s="50"/>
      <c r="B239" s="129" t="s">
        <v>2739</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2863</v>
      </c>
      <c r="B243" s="236" t="s">
        <v>3734</v>
      </c>
      <c r="D243" s="40"/>
      <c r="E243" s="40"/>
      <c r="F243" s="40"/>
      <c r="L243" s="558" t="str">
        <f>IF(OR($O243=$M243,$O243=0,$O243=""),"","* * Check Score! * *")</f>
        <v/>
      </c>
      <c r="M243" s="7">
        <v>3</v>
      </c>
      <c r="N243" s="803" t="s">
        <v>2863</v>
      </c>
      <c r="O243" s="1685">
        <v>3</v>
      </c>
      <c r="P243" s="743"/>
      <c r="Q243" s="148"/>
      <c r="R243" s="558" t="str">
        <f>IF(OR($O243=$M243,$O243=0,$O243=""),"","* * Check Score! * *")</f>
        <v/>
      </c>
    </row>
    <row r="244" spans="1:18" s="51" customFormat="1" ht="36" customHeight="1">
      <c r="A244" s="189"/>
      <c r="B244" s="1213" t="s">
        <v>3736</v>
      </c>
      <c r="C244" s="1213"/>
      <c r="D244" s="1213"/>
      <c r="E244" s="1213"/>
      <c r="F244" s="1213"/>
      <c r="G244" s="1213"/>
      <c r="H244" s="1213"/>
      <c r="I244" s="1213"/>
      <c r="J244" s="1213"/>
      <c r="K244" s="1213"/>
      <c r="L244" s="1213"/>
      <c r="M244" s="558"/>
      <c r="N244" s="558"/>
      <c r="O244" s="1686" t="s">
        <v>4034</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2866</v>
      </c>
      <c r="B246" s="236" t="s">
        <v>3735</v>
      </c>
      <c r="D246" s="48"/>
      <c r="F246" s="38"/>
      <c r="G246" s="134"/>
      <c r="H246" s="73" t="s">
        <v>474</v>
      </c>
      <c r="K246" s="134"/>
      <c r="L246" s="44"/>
      <c r="M246" s="7">
        <v>2</v>
      </c>
      <c r="N246" s="803" t="s">
        <v>2866</v>
      </c>
      <c r="O246" s="710">
        <f>MIN($M246,O247+O248)</f>
        <v>0</v>
      </c>
      <c r="P246" s="710">
        <f>MIN($M246,P247+P248)</f>
        <v>0</v>
      </c>
      <c r="R246" s="558" t="str">
        <f>IF(OR($O247=$M246,$O247=0,$O247=""),"","* * Check Score! * *")</f>
        <v/>
      </c>
    </row>
    <row r="247" spans="1:18" s="655" customFormat="1" ht="36" customHeight="1">
      <c r="A247" s="654"/>
      <c r="B247" s="723" t="s">
        <v>2867</v>
      </c>
      <c r="C247" s="1162" t="s">
        <v>172</v>
      </c>
      <c r="D247" s="1162"/>
      <c r="E247" s="1162"/>
      <c r="F247" s="1162"/>
      <c r="G247" s="1162"/>
      <c r="H247" s="1162"/>
      <c r="I247" s="1162"/>
      <c r="J247" s="1162"/>
      <c r="K247" s="1162"/>
      <c r="L247" s="1162"/>
      <c r="M247" s="656">
        <v>2</v>
      </c>
      <c r="O247" s="1685">
        <v>0</v>
      </c>
      <c r="P247" s="743"/>
    </row>
    <row r="248" spans="1:18" s="655" customFormat="1" ht="24" customHeight="1">
      <c r="A248" s="711" t="s">
        <v>1921</v>
      </c>
      <c r="B248" s="723" t="s">
        <v>2869</v>
      </c>
      <c r="C248" s="1162" t="s">
        <v>3762</v>
      </c>
      <c r="D248" s="1162"/>
      <c r="E248" s="1162"/>
      <c r="F248" s="1162"/>
      <c r="G248" s="1162"/>
      <c r="H248" s="1162"/>
      <c r="I248" s="1162"/>
      <c r="J248" s="1162"/>
      <c r="K248" s="1162"/>
      <c r="L248" s="1162"/>
      <c r="M248" s="656">
        <v>1</v>
      </c>
      <c r="O248" s="1686">
        <v>0</v>
      </c>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79" t="s">
        <v>4105</v>
      </c>
      <c r="B250" s="1580"/>
      <c r="C250" s="1580"/>
      <c r="D250" s="1580"/>
      <c r="E250" s="1580"/>
      <c r="F250" s="1580"/>
      <c r="G250" s="1580"/>
      <c r="H250" s="1580"/>
      <c r="I250" s="1580"/>
      <c r="J250" s="1580"/>
      <c r="K250" s="1580"/>
      <c r="L250" s="1580"/>
      <c r="M250" s="1580"/>
      <c r="N250" s="1580"/>
      <c r="O250" s="1580"/>
      <c r="P250" s="1581"/>
    </row>
    <row r="251" spans="1:18" s="51" customFormat="1" ht="12" customHeight="1">
      <c r="B251" s="114" t="s">
        <v>2739</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3564</v>
      </c>
      <c r="M255" s="50"/>
      <c r="N255" s="50"/>
      <c r="O255" s="1575" t="s">
        <v>3978</v>
      </c>
      <c r="P255" s="232"/>
    </row>
    <row r="256" spans="1:18" ht="12.6" customHeight="1">
      <c r="A256" s="189" t="s">
        <v>2863</v>
      </c>
      <c r="B256" s="254" t="s">
        <v>2020</v>
      </c>
      <c r="D256" s="40"/>
      <c r="E256" s="40"/>
      <c r="F256" s="40"/>
      <c r="G256" s="40"/>
      <c r="H256" s="40"/>
      <c r="I256" s="40"/>
      <c r="J256" s="40"/>
      <c r="K256" s="40"/>
      <c r="L256" s="40"/>
      <c r="M256" s="157"/>
      <c r="N256" s="803" t="s">
        <v>2863</v>
      </c>
      <c r="O256" s="1687">
        <v>10</v>
      </c>
      <c r="P256" s="580"/>
    </row>
    <row r="257" spans="1:18" ht="12.6" customHeight="1">
      <c r="A257" s="189" t="s">
        <v>2866</v>
      </c>
      <c r="B257" s="254" t="s">
        <v>325</v>
      </c>
      <c r="D257" s="40"/>
      <c r="E257" s="40"/>
      <c r="F257" s="40"/>
      <c r="G257" s="48"/>
      <c r="H257" s="48"/>
      <c r="I257" s="48"/>
      <c r="J257" s="48"/>
      <c r="K257" s="48"/>
      <c r="M257" s="134"/>
      <c r="N257" s="803" t="s">
        <v>2866</v>
      </c>
      <c r="O257" s="1575" t="s">
        <v>4064</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79" t="s">
        <v>4106</v>
      </c>
      <c r="B259" s="1580"/>
      <c r="C259" s="1580"/>
      <c r="D259" s="1580"/>
      <c r="E259" s="1580"/>
      <c r="F259" s="1580"/>
      <c r="G259" s="1580"/>
      <c r="H259" s="1580"/>
      <c r="I259" s="1580"/>
      <c r="J259" s="1580"/>
      <c r="K259" s="1580"/>
      <c r="L259" s="1580"/>
      <c r="M259" s="1580"/>
      <c r="N259" s="1580"/>
      <c r="O259" s="1580"/>
      <c r="P259" s="1581"/>
      <c r="Q259" s="736" t="s">
        <v>1806</v>
      </c>
      <c r="R259" s="737"/>
    </row>
    <row r="260" spans="1:18" s="134" customFormat="1" ht="11.25" customHeight="1">
      <c r="A260" s="80"/>
      <c r="B260" s="80" t="s">
        <v>2739</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3737</v>
      </c>
      <c r="C263" s="64"/>
      <c r="D263" s="159"/>
      <c r="E263" s="159"/>
      <c r="F263" s="49"/>
      <c r="H263" s="47"/>
      <c r="K263" s="56"/>
      <c r="M263" s="3">
        <v>20</v>
      </c>
      <c r="N263" s="7"/>
      <c r="O263" s="93">
        <f>MIN($M263,(O264+O273))</f>
        <v>2</v>
      </c>
      <c r="P263" s="93">
        <f>MIN($M263,(P264+P273))</f>
        <v>0</v>
      </c>
      <c r="Q263" s="148" t="s">
        <v>612</v>
      </c>
    </row>
    <row r="264" spans="1:18" s="51" customFormat="1" ht="13.5" customHeight="1">
      <c r="A264" s="189" t="s">
        <v>2863</v>
      </c>
      <c r="B264" s="236" t="s">
        <v>3738</v>
      </c>
      <c r="D264" s="73" t="s">
        <v>3967</v>
      </c>
      <c r="H264" s="47"/>
      <c r="I264" s="47"/>
      <c r="K264" s="47"/>
      <c r="L264" s="558"/>
      <c r="M264" s="3">
        <v>6</v>
      </c>
      <c r="N264" s="79" t="s">
        <v>2863</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2867</v>
      </c>
      <c r="C265" s="179" t="s">
        <v>3739</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3950</v>
      </c>
      <c r="D266" s="582"/>
      <c r="E266" s="582"/>
      <c r="F266" s="582"/>
      <c r="G266" s="582"/>
      <c r="H266" s="582"/>
      <c r="I266" s="582"/>
      <c r="J266" s="858"/>
      <c r="K266" s="858"/>
      <c r="L266" s="858"/>
      <c r="M266" s="714"/>
      <c r="O266" s="1641"/>
      <c r="P266" s="85"/>
    </row>
    <row r="267" spans="1:18" s="655" customFormat="1" ht="12" customHeight="1">
      <c r="A267" s="713" t="s">
        <v>1921</v>
      </c>
      <c r="B267" s="723" t="s">
        <v>2869</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3951</v>
      </c>
      <c r="D268" s="1162"/>
      <c r="E268" s="1162"/>
      <c r="F268" s="1162"/>
      <c r="G268" s="1162"/>
      <c r="H268" s="1162"/>
      <c r="I268" s="1162"/>
      <c r="J268" s="1162"/>
      <c r="K268" s="1162"/>
      <c r="L268" s="1162"/>
      <c r="M268" s="714"/>
      <c r="N268" s="656"/>
      <c r="O268" s="1688"/>
      <c r="P268" s="712"/>
    </row>
    <row r="269" spans="1:18" s="655" customFormat="1" ht="12" customHeight="1">
      <c r="A269" s="713" t="s">
        <v>1921</v>
      </c>
      <c r="B269" s="723" t="s">
        <v>3550</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3420</v>
      </c>
      <c r="C270" s="1171" t="s">
        <v>3952</v>
      </c>
      <c r="D270" s="1171"/>
      <c r="E270" s="1171"/>
      <c r="F270" s="1171"/>
      <c r="G270" s="1171"/>
      <c r="H270" s="1171"/>
      <c r="I270" s="1171"/>
      <c r="J270" s="1171"/>
      <c r="K270" s="1171"/>
      <c r="L270" s="1171"/>
      <c r="M270" s="656"/>
      <c r="N270" s="575" t="s">
        <v>3420</v>
      </c>
      <c r="O270" s="1689"/>
      <c r="P270" s="740"/>
    </row>
    <row r="271" spans="1:18" s="655" customFormat="1" ht="22.5" customHeight="1">
      <c r="A271" s="654"/>
      <c r="B271" s="575" t="s">
        <v>3421</v>
      </c>
      <c r="C271" s="1162" t="s">
        <v>3763</v>
      </c>
      <c r="D271" s="1162"/>
      <c r="E271" s="1162"/>
      <c r="F271" s="1162"/>
      <c r="G271" s="1162"/>
      <c r="H271" s="1162"/>
      <c r="I271" s="1162"/>
      <c r="J271" s="1162"/>
      <c r="K271" s="1162"/>
      <c r="L271" s="1162"/>
      <c r="M271" s="656"/>
      <c r="N271" s="575" t="s">
        <v>3421</v>
      </c>
      <c r="O271" s="1690"/>
      <c r="P271" s="741"/>
    </row>
    <row r="272" spans="1:18" s="655" customFormat="1" ht="22.5" customHeight="1">
      <c r="A272" s="654"/>
      <c r="B272" s="575" t="s">
        <v>3422</v>
      </c>
      <c r="C272" s="1162" t="s">
        <v>3740</v>
      </c>
      <c r="D272" s="1162"/>
      <c r="E272" s="1162"/>
      <c r="F272" s="1162"/>
      <c r="G272" s="1162"/>
      <c r="H272" s="1162"/>
      <c r="I272" s="1162"/>
      <c r="J272" s="1162"/>
      <c r="K272" s="1162"/>
      <c r="L272" s="1162"/>
      <c r="M272" s="656"/>
      <c r="N272" s="575" t="s">
        <v>3422</v>
      </c>
      <c r="O272" s="1691"/>
      <c r="P272" s="742"/>
    </row>
    <row r="273" spans="1:18" ht="13.5" customHeight="1">
      <c r="A273" s="189" t="s">
        <v>2866</v>
      </c>
      <c r="B273" s="236" t="s">
        <v>3741</v>
      </c>
      <c r="D273" s="40"/>
      <c r="E273" s="73" t="s">
        <v>3966</v>
      </c>
      <c r="F273" s="40"/>
      <c r="G273" s="158"/>
      <c r="H273" s="40"/>
      <c r="I273" s="40"/>
      <c r="J273" s="40"/>
      <c r="K273" s="40"/>
      <c r="L273" s="40"/>
      <c r="M273" s="1">
        <v>14</v>
      </c>
      <c r="N273" s="803" t="s">
        <v>2866</v>
      </c>
      <c r="O273" s="125">
        <f>MIN($M273,O274+O277+O278+O281+O282)</f>
        <v>2</v>
      </c>
      <c r="P273" s="125">
        <f>MIN($M273,P274+P277+P278+P281+P282+P283)</f>
        <v>0</v>
      </c>
      <c r="R273" s="655"/>
    </row>
    <row r="274" spans="1:18" s="132" customFormat="1" ht="12.75" customHeight="1">
      <c r="B274" s="551" t="s">
        <v>2867</v>
      </c>
      <c r="C274" s="724" t="s">
        <v>3742</v>
      </c>
      <c r="L274" s="558"/>
      <c r="M274" s="8">
        <v>4</v>
      </c>
      <c r="N274" s="250" t="s">
        <v>2867</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3420</v>
      </c>
      <c r="C275" s="1162" t="s">
        <v>3744</v>
      </c>
      <c r="D275" s="1162"/>
      <c r="E275" s="1162"/>
      <c r="F275" s="1162"/>
      <c r="G275" s="1162"/>
      <c r="H275" s="1162"/>
      <c r="I275" s="1162"/>
      <c r="J275" s="1162"/>
      <c r="K275" s="1162"/>
      <c r="L275" s="1162"/>
      <c r="M275" s="656">
        <v>4</v>
      </c>
      <c r="N275" s="575" t="s">
        <v>3420</v>
      </c>
      <c r="O275" s="1689"/>
      <c r="P275" s="740"/>
    </row>
    <row r="276" spans="1:18" s="655" customFormat="1" ht="22.5" customHeight="1">
      <c r="A276" s="219" t="s">
        <v>3764</v>
      </c>
      <c r="B276" s="575" t="s">
        <v>3421</v>
      </c>
      <c r="C276" s="1162" t="s">
        <v>3745</v>
      </c>
      <c r="D276" s="1162"/>
      <c r="E276" s="1162"/>
      <c r="F276" s="1162"/>
      <c r="G276" s="1162"/>
      <c r="H276" s="1162"/>
      <c r="I276" s="1162"/>
      <c r="J276" s="1162"/>
      <c r="K276" s="1162"/>
      <c r="L276" s="1162"/>
      <c r="M276" s="656">
        <v>2</v>
      </c>
      <c r="N276" s="575" t="s">
        <v>3421</v>
      </c>
      <c r="O276" s="1691"/>
      <c r="P276" s="742"/>
    </row>
    <row r="277" spans="1:18" s="132" customFormat="1" ht="12" customHeight="1">
      <c r="B277" s="551" t="s">
        <v>2869</v>
      </c>
      <c r="C277" s="724" t="s">
        <v>3743</v>
      </c>
      <c r="L277" s="558" t="str">
        <f>IF(OR($O277=$M277,$O277=0,$O277=""),"","* * Check Score! * *")</f>
        <v/>
      </c>
      <c r="M277" s="8">
        <v>1</v>
      </c>
      <c r="N277" s="250" t="s">
        <v>2869</v>
      </c>
      <c r="O277" s="1641"/>
      <c r="P277" s="85"/>
    </row>
    <row r="278" spans="1:18" s="132" customFormat="1" ht="12" customHeight="1">
      <c r="B278" s="551" t="s">
        <v>3550</v>
      </c>
      <c r="C278" s="724" t="s">
        <v>3746</v>
      </c>
      <c r="L278" s="558" t="str">
        <f>IF(OR($O278=$M278,$O278=0,$O278=""),"","* * Check Score! * *")</f>
        <v/>
      </c>
      <c r="M278" s="8">
        <v>2</v>
      </c>
      <c r="N278" s="250" t="s">
        <v>3550</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3420</v>
      </c>
      <c r="C279" s="1162" t="s">
        <v>3748</v>
      </c>
      <c r="D279" s="1162"/>
      <c r="E279" s="1162"/>
      <c r="F279" s="1162"/>
      <c r="G279" s="1162"/>
      <c r="H279" s="1162"/>
      <c r="I279" s="1162"/>
      <c r="J279" s="1162"/>
      <c r="K279" s="1162"/>
      <c r="L279" s="1162"/>
      <c r="M279" s="656">
        <v>2</v>
      </c>
      <c r="N279" s="575" t="s">
        <v>3420</v>
      </c>
      <c r="O279" s="1685">
        <v>2</v>
      </c>
      <c r="P279" s="743"/>
    </row>
    <row r="280" spans="1:18" s="655" customFormat="1" ht="12" customHeight="1">
      <c r="A280" s="219" t="s">
        <v>3764</v>
      </c>
      <c r="B280" s="575" t="s">
        <v>3421</v>
      </c>
      <c r="C280" s="1162" t="s">
        <v>3747</v>
      </c>
      <c r="D280" s="1162"/>
      <c r="E280" s="1162"/>
      <c r="F280" s="1162"/>
      <c r="G280" s="1162"/>
      <c r="H280" s="1162"/>
      <c r="I280" s="1162"/>
      <c r="J280" s="1162"/>
      <c r="K280" s="1162"/>
      <c r="L280" s="1162"/>
      <c r="M280" s="656">
        <v>1</v>
      </c>
      <c r="N280" s="575" t="s">
        <v>3421</v>
      </c>
      <c r="O280" s="1686"/>
      <c r="P280" s="744"/>
    </row>
    <row r="281" spans="1:18" s="132" customFormat="1" ht="12" customHeight="1">
      <c r="B281" s="551" t="s">
        <v>1762</v>
      </c>
      <c r="C281" s="724" t="s">
        <v>3749</v>
      </c>
      <c r="F281" s="697" t="s">
        <v>3865</v>
      </c>
      <c r="L281" s="558"/>
      <c r="M281" s="8">
        <v>2</v>
      </c>
      <c r="N281" s="250" t="s">
        <v>1762</v>
      </c>
      <c r="O281" s="1641"/>
      <c r="P281" s="85"/>
    </row>
    <row r="282" spans="1:18" s="132" customFormat="1" ht="12" customHeight="1">
      <c r="B282" s="551" t="s">
        <v>1763</v>
      </c>
      <c r="C282" s="724" t="s">
        <v>3750</v>
      </c>
      <c r="F282" s="697" t="s">
        <v>3752</v>
      </c>
      <c r="J282" s="1209">
        <f>'Part IV-Uses of Funds'!$B$39/'Part IV-Uses of Funds'!$G$123</f>
        <v>0.67795945767163357</v>
      </c>
      <c r="K282" s="1210"/>
      <c r="L282" s="558"/>
      <c r="M282" s="8">
        <v>2</v>
      </c>
      <c r="N282" s="250" t="s">
        <v>1763</v>
      </c>
      <c r="O282" s="1641">
        <v>2</v>
      </c>
      <c r="P282" s="85"/>
    </row>
    <row r="283" spans="1:18" s="132" customFormat="1" ht="12" customHeight="1">
      <c r="B283" s="551" t="s">
        <v>2758</v>
      </c>
      <c r="C283" s="724" t="s">
        <v>3751</v>
      </c>
      <c r="F283" s="697" t="s">
        <v>3953</v>
      </c>
      <c r="L283" s="558"/>
      <c r="M283" s="8">
        <v>3</v>
      </c>
      <c r="N283" s="250" t="s">
        <v>2758</v>
      </c>
      <c r="P283" s="85"/>
    </row>
    <row r="284" spans="1:18" s="51" customFormat="1" ht="12" customHeight="1">
      <c r="A284" s="189"/>
      <c r="B284" s="575" t="s">
        <v>3420</v>
      </c>
      <c r="C284" s="65" t="s">
        <v>3288</v>
      </c>
      <c r="D284" s="40"/>
      <c r="N284" s="803"/>
      <c r="O284" s="1575"/>
      <c r="P284" s="232"/>
      <c r="R284" s="558"/>
    </row>
    <row r="285" spans="1:18" s="51" customFormat="1" ht="12" customHeight="1">
      <c r="A285" s="189"/>
      <c r="B285" s="575" t="s">
        <v>3421</v>
      </c>
      <c r="C285" s="65" t="s">
        <v>3947</v>
      </c>
      <c r="D285" s="40"/>
      <c r="N285" s="803"/>
      <c r="O285" s="1575"/>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79" t="s">
        <v>4107</v>
      </c>
      <c r="B287" s="1580"/>
      <c r="C287" s="1580"/>
      <c r="D287" s="1580"/>
      <c r="E287" s="1580"/>
      <c r="F287" s="1580"/>
      <c r="G287" s="1580"/>
      <c r="H287" s="1580"/>
      <c r="I287" s="1580"/>
      <c r="J287" s="1580"/>
      <c r="K287" s="1580"/>
      <c r="L287" s="1580"/>
      <c r="M287" s="1580"/>
      <c r="N287" s="1580"/>
      <c r="O287" s="1580"/>
      <c r="P287" s="1581"/>
    </row>
    <row r="288" spans="1:18" s="51" customFormat="1" ht="11.25" customHeight="1">
      <c r="A288" s="50"/>
      <c r="B288" s="114" t="s">
        <v>2739</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3862</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58</v>
      </c>
      <c r="P291" s="214">
        <f>P8+P30+P38+P49+P58+P67+P74+P90+P132+P146+P161+P169+P177+P182+P193+P228+P242+P254+P263</f>
        <v>13</v>
      </c>
    </row>
    <row r="292" spans="1:19" s="50" customFormat="1" ht="13.5" customHeight="1">
      <c r="A292" s="64"/>
      <c r="B292" s="81"/>
      <c r="C292" s="64"/>
      <c r="D292" s="43"/>
      <c r="E292" s="43"/>
      <c r="F292" s="83"/>
      <c r="G292" s="83"/>
      <c r="H292" s="236" t="s">
        <v>3901</v>
      </c>
      <c r="I292" s="82"/>
      <c r="J292" s="82"/>
      <c r="K292" s="82"/>
      <c r="L292" s="51"/>
      <c r="M292" s="43"/>
      <c r="N292" s="3"/>
      <c r="O292" s="793">
        <f>O291-O263</f>
        <v>56</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2978</v>
      </c>
      <c r="D299" s="167"/>
      <c r="E299" s="167"/>
      <c r="F299" s="167"/>
      <c r="G299" s="167"/>
      <c r="H299" s="167"/>
      <c r="I299" s="167"/>
      <c r="J299" s="167" t="s">
        <v>2626</v>
      </c>
      <c r="K299" s="167"/>
      <c r="L299" s="167"/>
      <c r="M299" s="156"/>
      <c r="Q299" s="156"/>
      <c r="R299" s="156"/>
      <c r="S299" s="156"/>
    </row>
    <row r="300" spans="1:19" ht="15">
      <c r="A300" s="156"/>
      <c r="B300" s="156"/>
      <c r="C300" s="110" t="s">
        <v>3570</v>
      </c>
      <c r="D300" s="110"/>
      <c r="E300" s="110"/>
      <c r="F300" s="110"/>
      <c r="G300" s="110"/>
      <c r="H300" s="110"/>
      <c r="I300" s="110"/>
      <c r="J300" s="359" t="s">
        <v>274</v>
      </c>
      <c r="K300" s="208"/>
      <c r="L300" s="167"/>
      <c r="M300" s="248"/>
      <c r="N300" s="249"/>
      <c r="Q300" s="156"/>
      <c r="R300" s="156"/>
      <c r="S300" s="156"/>
    </row>
    <row r="301" spans="1:19" ht="15">
      <c r="A301" s="156"/>
      <c r="B301" s="156"/>
      <c r="C301" s="110" t="s">
        <v>2979</v>
      </c>
      <c r="D301" s="110"/>
      <c r="E301" s="110"/>
      <c r="F301" s="110"/>
      <c r="G301" s="110"/>
      <c r="H301" s="110"/>
      <c r="I301" s="110"/>
      <c r="J301" s="359" t="s">
        <v>2479</v>
      </c>
      <c r="K301" s="208"/>
      <c r="L301" s="167"/>
      <c r="M301" s="248"/>
      <c r="N301" s="249"/>
      <c r="Q301" s="156"/>
      <c r="R301" s="156"/>
      <c r="S301" s="156"/>
    </row>
    <row r="302" spans="1:19" ht="15">
      <c r="A302" s="156"/>
      <c r="B302" s="156"/>
      <c r="C302" s="110" t="s">
        <v>2980</v>
      </c>
      <c r="D302" s="110"/>
      <c r="E302" s="110"/>
      <c r="F302" s="110"/>
      <c r="G302" s="110"/>
      <c r="H302" s="110"/>
      <c r="I302" s="110"/>
      <c r="J302" s="359" t="s">
        <v>2480</v>
      </c>
      <c r="K302" s="208"/>
      <c r="L302" s="167"/>
      <c r="M302" s="248"/>
      <c r="N302" s="249"/>
      <c r="Q302" s="156"/>
      <c r="R302" s="156"/>
      <c r="S302" s="156"/>
    </row>
    <row r="303" spans="1:19" ht="15">
      <c r="A303" s="156"/>
      <c r="B303" s="156"/>
      <c r="C303" s="360" t="s">
        <v>2981</v>
      </c>
      <c r="D303" s="110"/>
      <c r="E303" s="110"/>
      <c r="F303" s="110"/>
      <c r="G303" s="110"/>
      <c r="H303" s="110"/>
      <c r="I303" s="110"/>
      <c r="J303" s="359" t="s">
        <v>3513</v>
      </c>
      <c r="K303" s="208"/>
      <c r="L303" s="167"/>
      <c r="M303" s="248"/>
      <c r="N303" s="249"/>
      <c r="Q303" s="156"/>
      <c r="R303" s="156"/>
      <c r="S303" s="156"/>
    </row>
    <row r="304" spans="1:19" ht="15">
      <c r="A304" s="156"/>
      <c r="B304" s="156"/>
      <c r="C304" s="360" t="s">
        <v>2982</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3023</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3018</v>
      </c>
      <c r="D312" s="110"/>
      <c r="E312" s="110"/>
      <c r="F312" s="110"/>
      <c r="G312" s="110"/>
      <c r="H312" s="110"/>
      <c r="I312" s="110"/>
      <c r="J312" s="359" t="s">
        <v>2488</v>
      </c>
      <c r="K312" s="208"/>
      <c r="L312" s="167"/>
      <c r="M312" s="248"/>
      <c r="N312" s="249"/>
      <c r="Q312" s="156"/>
      <c r="R312" s="156"/>
      <c r="S312" s="156"/>
    </row>
    <row r="313" spans="1:19" ht="15">
      <c r="A313" s="156"/>
      <c r="B313" s="156"/>
      <c r="C313" s="361" t="s">
        <v>3019</v>
      </c>
      <c r="D313" s="110"/>
      <c r="E313" s="110"/>
      <c r="F313" s="110"/>
      <c r="G313" s="110"/>
      <c r="H313" s="110"/>
      <c r="I313" s="110"/>
      <c r="J313" s="359" t="s">
        <v>2489</v>
      </c>
      <c r="K313" s="167"/>
      <c r="L313" s="167"/>
      <c r="M313" s="248"/>
      <c r="N313" s="249"/>
      <c r="Q313" s="156"/>
      <c r="R313" s="156"/>
      <c r="S313" s="156"/>
    </row>
    <row r="314" spans="1:19" ht="15">
      <c r="A314" s="156"/>
      <c r="B314" s="156"/>
      <c r="C314" s="361" t="s">
        <v>3020</v>
      </c>
      <c r="D314" s="167"/>
      <c r="E314" s="167"/>
      <c r="F314" s="167"/>
      <c r="G314" s="167"/>
      <c r="H314" s="167"/>
      <c r="I314" s="167"/>
      <c r="J314" s="359" t="s">
        <v>40</v>
      </c>
      <c r="K314" s="167"/>
      <c r="L314" s="167"/>
      <c r="M314" s="248"/>
      <c r="N314" s="249"/>
      <c r="Q314" s="156"/>
      <c r="R314" s="156"/>
      <c r="S314" s="156"/>
    </row>
    <row r="315" spans="1:19" ht="15">
      <c r="A315" s="156"/>
      <c r="B315" s="156"/>
      <c r="C315" s="361" t="s">
        <v>3021</v>
      </c>
      <c r="D315" s="167"/>
      <c r="E315" s="167"/>
      <c r="F315" s="167"/>
      <c r="G315" s="167"/>
      <c r="H315" s="167"/>
      <c r="I315" s="167"/>
      <c r="J315" s="363"/>
      <c r="K315" s="167"/>
      <c r="L315" s="167"/>
      <c r="M315" s="248"/>
      <c r="N315" s="249"/>
      <c r="Q315" s="156"/>
      <c r="R315" s="156"/>
      <c r="S315" s="156"/>
    </row>
    <row r="316" spans="1:19">
      <c r="A316" s="156"/>
      <c r="B316" s="156"/>
      <c r="C316" s="361" t="s">
        <v>3022</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3197</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3536</v>
      </c>
      <c r="H322" s="812" t="s">
        <v>3537</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2960</v>
      </c>
      <c r="H324" s="813" t="s">
        <v>1899</v>
      </c>
      <c r="I324" s="813" t="s">
        <v>1896</v>
      </c>
      <c r="J324" s="167"/>
      <c r="K324" s="167"/>
      <c r="L324" s="167"/>
      <c r="M324" s="248"/>
      <c r="N324" s="249"/>
    </row>
    <row r="325" spans="1:14">
      <c r="A325" s="156"/>
      <c r="B325" s="156"/>
      <c r="C325" s="167"/>
      <c r="D325" s="167"/>
      <c r="E325" s="167"/>
      <c r="F325" s="167"/>
      <c r="G325" s="812" t="s">
        <v>2389</v>
      </c>
      <c r="H325" s="813" t="s">
        <v>3557</v>
      </c>
      <c r="I325" s="813" t="s">
        <v>1899</v>
      </c>
      <c r="J325" s="167"/>
      <c r="K325" s="167"/>
      <c r="L325" s="167"/>
      <c r="M325" s="248"/>
      <c r="N325" s="249"/>
    </row>
    <row r="326" spans="1:14" ht="25.5">
      <c r="A326" s="156"/>
      <c r="B326" s="156"/>
      <c r="C326" s="167"/>
      <c r="D326" s="167"/>
      <c r="E326" s="167"/>
      <c r="F326" s="167"/>
      <c r="G326" s="812" t="s">
        <v>12</v>
      </c>
      <c r="H326" s="813" t="s">
        <v>3558</v>
      </c>
      <c r="I326" s="813" t="s">
        <v>3487</v>
      </c>
      <c r="J326" s="167"/>
      <c r="K326" s="167"/>
      <c r="L326" s="167"/>
      <c r="M326" s="248"/>
      <c r="N326" s="249"/>
    </row>
    <row r="327" spans="1:14">
      <c r="A327" s="156"/>
      <c r="B327" s="156"/>
      <c r="C327" s="167"/>
      <c r="D327" s="167"/>
      <c r="E327" s="167"/>
      <c r="F327" s="167"/>
      <c r="G327" s="812" t="s">
        <v>1899</v>
      </c>
      <c r="H327" s="813" t="s">
        <v>2807</v>
      </c>
      <c r="I327" s="813" t="s">
        <v>3493</v>
      </c>
      <c r="J327" s="167"/>
      <c r="K327" s="167"/>
      <c r="L327" s="167"/>
      <c r="M327" s="248"/>
      <c r="N327" s="249"/>
    </row>
    <row r="328" spans="1:14">
      <c r="A328" s="156"/>
      <c r="B328" s="156"/>
      <c r="C328" s="167"/>
      <c r="D328" s="167"/>
      <c r="E328" s="167"/>
      <c r="F328" s="167"/>
      <c r="G328" s="812" t="s">
        <v>2102</v>
      </c>
      <c r="H328" s="813" t="s">
        <v>3194</v>
      </c>
      <c r="I328" s="813" t="s">
        <v>3495</v>
      </c>
      <c r="J328" s="167"/>
      <c r="K328" s="167"/>
      <c r="L328" s="167"/>
      <c r="M328" s="248"/>
      <c r="N328" s="249"/>
    </row>
    <row r="329" spans="1:14">
      <c r="A329" s="156"/>
      <c r="B329" s="156"/>
      <c r="C329" s="167"/>
      <c r="D329" s="167"/>
      <c r="E329" s="167"/>
      <c r="F329" s="167"/>
      <c r="G329" s="812" t="s">
        <v>1528</v>
      </c>
      <c r="H329" s="813" t="s">
        <v>3559</v>
      </c>
      <c r="I329" s="813" t="s">
        <v>3545</v>
      </c>
      <c r="J329" s="167"/>
      <c r="K329" s="167"/>
      <c r="L329" s="167"/>
      <c r="M329" s="248"/>
      <c r="N329" s="249"/>
    </row>
    <row r="330" spans="1:14">
      <c r="A330" s="156"/>
      <c r="B330" s="156"/>
      <c r="C330" s="167"/>
      <c r="D330" s="167"/>
      <c r="E330" s="167"/>
      <c r="F330" s="167"/>
      <c r="G330" s="812" t="s">
        <v>3495</v>
      </c>
      <c r="H330" s="813" t="s">
        <v>925</v>
      </c>
      <c r="I330" s="813" t="s">
        <v>235</v>
      </c>
      <c r="J330" s="167"/>
      <c r="K330" s="167"/>
      <c r="L330" s="167"/>
      <c r="M330" s="248"/>
      <c r="N330" s="249"/>
    </row>
    <row r="331" spans="1:14">
      <c r="A331" s="156"/>
      <c r="B331" s="156"/>
      <c r="C331" s="167"/>
      <c r="D331" s="167"/>
      <c r="E331" s="167"/>
      <c r="F331" s="167"/>
      <c r="G331" s="812" t="s">
        <v>2947</v>
      </c>
      <c r="H331" s="813" t="s">
        <v>2476</v>
      </c>
      <c r="I331" s="813" t="s">
        <v>1448</v>
      </c>
      <c r="J331" s="167"/>
      <c r="K331" s="167"/>
      <c r="L331" s="167"/>
      <c r="M331" s="248"/>
      <c r="N331" s="249"/>
    </row>
    <row r="332" spans="1:14" ht="25.5">
      <c r="A332" s="156"/>
      <c r="B332" s="156"/>
      <c r="C332" s="167"/>
      <c r="D332" s="167"/>
      <c r="E332" s="167"/>
      <c r="F332" s="167"/>
      <c r="G332" s="812" t="s">
        <v>857</v>
      </c>
      <c r="H332" s="813" t="s">
        <v>3560</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3183</v>
      </c>
      <c r="I334" s="813" t="s">
        <v>1368</v>
      </c>
      <c r="J334" s="167"/>
      <c r="K334" s="167"/>
      <c r="L334" s="167"/>
      <c r="M334" s="248"/>
      <c r="N334" s="249"/>
    </row>
    <row r="335" spans="1:14">
      <c r="A335" s="156"/>
      <c r="B335" s="156"/>
      <c r="C335" s="167"/>
      <c r="D335" s="167"/>
      <c r="E335" s="167"/>
      <c r="F335" s="167"/>
      <c r="G335" s="812" t="s">
        <v>629</v>
      </c>
      <c r="H335" s="813" t="s">
        <v>2767</v>
      </c>
      <c r="I335" s="813" t="s">
        <v>930</v>
      </c>
      <c r="J335" s="167"/>
      <c r="K335" s="167"/>
      <c r="L335" s="167"/>
      <c r="M335" s="248"/>
      <c r="N335" s="249"/>
    </row>
    <row r="336" spans="1:14" ht="51">
      <c r="A336" s="156"/>
      <c r="B336" s="156"/>
      <c r="C336" s="167"/>
      <c r="D336" s="167"/>
      <c r="E336" s="167"/>
      <c r="F336" s="167"/>
      <c r="G336" s="812" t="s">
        <v>278</v>
      </c>
      <c r="H336" s="813" t="s">
        <v>3563</v>
      </c>
      <c r="I336" s="813" t="s">
        <v>935</v>
      </c>
      <c r="J336" s="167"/>
      <c r="K336" s="167"/>
      <c r="L336" s="167"/>
      <c r="M336" s="248"/>
      <c r="N336" s="249"/>
    </row>
    <row r="337" spans="1:14">
      <c r="A337" s="156"/>
      <c r="B337" s="156"/>
      <c r="C337" s="167"/>
      <c r="D337" s="167"/>
      <c r="E337" s="167"/>
      <c r="F337" s="167"/>
      <c r="G337" s="812" t="s">
        <v>1759</v>
      </c>
      <c r="H337" s="813" t="s">
        <v>3556</v>
      </c>
      <c r="I337" s="813" t="s">
        <v>381</v>
      </c>
      <c r="J337" s="167"/>
      <c r="K337" s="167"/>
      <c r="L337" s="167"/>
      <c r="M337" s="248"/>
      <c r="N337" s="249"/>
    </row>
    <row r="338" spans="1:14" ht="25.5">
      <c r="A338" s="156"/>
      <c r="B338" s="156"/>
      <c r="C338" s="167"/>
      <c r="D338" s="167"/>
      <c r="E338" s="167"/>
      <c r="F338" s="167"/>
      <c r="G338" s="812" t="s">
        <v>1761</v>
      </c>
      <c r="H338" s="813" t="s">
        <v>3561</v>
      </c>
      <c r="I338" s="813" t="s">
        <v>390</v>
      </c>
      <c r="J338" s="167"/>
      <c r="K338" s="167"/>
      <c r="L338" s="167"/>
      <c r="M338" s="248"/>
      <c r="N338" s="249"/>
    </row>
    <row r="339" spans="1:14" ht="25.5">
      <c r="A339" s="156"/>
      <c r="B339" s="156"/>
      <c r="C339" s="167"/>
      <c r="D339" s="167"/>
      <c r="E339" s="167"/>
      <c r="F339" s="167"/>
      <c r="G339" s="812" t="s">
        <v>2391</v>
      </c>
      <c r="H339" s="813" t="s">
        <v>3562</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2753</v>
      </c>
      <c r="J345" s="167"/>
      <c r="K345" s="167"/>
      <c r="L345" s="167"/>
      <c r="M345" s="248"/>
      <c r="N345" s="249"/>
    </row>
    <row r="346" spans="1:14">
      <c r="A346" s="156"/>
      <c r="B346" s="156"/>
      <c r="C346" s="167"/>
      <c r="D346" s="167"/>
      <c r="E346" s="167"/>
      <c r="F346" s="167"/>
      <c r="G346" s="812" t="s">
        <v>2984</v>
      </c>
      <c r="H346" s="813"/>
      <c r="I346" s="813" t="s">
        <v>2755</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3183</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3172</v>
      </c>
      <c r="H350" s="813"/>
      <c r="I350" s="813" t="s">
        <v>1624</v>
      </c>
      <c r="J350" s="167"/>
      <c r="K350" s="167"/>
      <c r="L350" s="167"/>
      <c r="M350" s="248"/>
      <c r="N350" s="249"/>
    </row>
    <row r="351" spans="1:14">
      <c r="A351" s="156"/>
      <c r="B351" s="156"/>
      <c r="C351" s="167"/>
      <c r="D351" s="167"/>
      <c r="E351" s="167"/>
      <c r="F351" s="167"/>
      <c r="G351" s="812" t="s">
        <v>3174</v>
      </c>
      <c r="H351" s="813"/>
      <c r="I351" s="813" t="s">
        <v>3066</v>
      </c>
      <c r="J351" s="167"/>
      <c r="K351" s="167"/>
      <c r="L351" s="167"/>
      <c r="M351" s="248"/>
      <c r="N351" s="249"/>
    </row>
    <row r="352" spans="1:14">
      <c r="A352" s="156"/>
      <c r="B352" s="156"/>
      <c r="C352" s="167"/>
      <c r="D352" s="167"/>
      <c r="E352" s="167"/>
      <c r="F352" s="167"/>
      <c r="G352" s="812" t="s">
        <v>3017</v>
      </c>
      <c r="H352" s="813"/>
      <c r="I352" s="813" t="s">
        <v>3071</v>
      </c>
      <c r="J352" s="167"/>
      <c r="K352" s="167"/>
      <c r="L352" s="167"/>
      <c r="M352" s="248"/>
      <c r="N352" s="249"/>
    </row>
    <row r="353" spans="1:14" ht="25.5">
      <c r="A353" s="156"/>
      <c r="B353" s="156"/>
      <c r="C353" s="167"/>
      <c r="D353" s="167"/>
      <c r="E353" s="167"/>
      <c r="F353" s="167"/>
      <c r="G353" s="812" t="s">
        <v>2394</v>
      </c>
      <c r="H353" s="813"/>
      <c r="I353" s="813" t="s">
        <v>3073</v>
      </c>
      <c r="J353" s="167"/>
      <c r="K353" s="167"/>
      <c r="L353" s="167"/>
      <c r="M353" s="248"/>
      <c r="N353" s="249"/>
    </row>
    <row r="354" spans="1:14" ht="13.5">
      <c r="A354" s="156"/>
      <c r="B354" s="156"/>
      <c r="C354" s="640"/>
      <c r="D354" s="640"/>
      <c r="E354" s="167"/>
      <c r="F354" s="167"/>
      <c r="G354" s="812" t="s">
        <v>3258</v>
      </c>
      <c r="H354" s="761"/>
      <c r="I354" s="813" t="s">
        <v>3077</v>
      </c>
      <c r="J354" s="167"/>
      <c r="K354" s="167"/>
      <c r="L354" s="167"/>
      <c r="M354" s="248"/>
      <c r="N354" s="249"/>
    </row>
    <row r="355" spans="1:14" ht="13.5">
      <c r="A355" s="156"/>
      <c r="B355" s="156"/>
      <c r="C355" s="640"/>
      <c r="D355" s="640"/>
      <c r="E355" s="167"/>
      <c r="F355" s="167"/>
      <c r="G355" s="812" t="s">
        <v>3175</v>
      </c>
      <c r="H355" s="761"/>
      <c r="I355" s="813" t="s">
        <v>3081</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2797</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3375</v>
      </c>
      <c r="J361" s="167"/>
      <c r="K361" s="167"/>
      <c r="L361" s="167"/>
      <c r="M361" s="156"/>
    </row>
    <row r="362" spans="1:14" ht="13.5">
      <c r="A362" s="156"/>
      <c r="B362" s="156"/>
      <c r="C362" s="641"/>
      <c r="D362" s="167"/>
      <c r="E362" s="167"/>
      <c r="F362" s="167"/>
      <c r="G362" s="767" t="s">
        <v>364</v>
      </c>
      <c r="H362" s="745"/>
      <c r="I362" s="761" t="s">
        <v>3377</v>
      </c>
      <c r="J362" s="167"/>
      <c r="K362" s="167"/>
      <c r="L362" s="167"/>
      <c r="M362" s="156"/>
    </row>
    <row r="363" spans="1:14" ht="13.5">
      <c r="A363" s="156"/>
      <c r="B363" s="156"/>
      <c r="C363" s="167"/>
      <c r="D363" s="167"/>
      <c r="E363" s="167"/>
      <c r="F363" s="167"/>
      <c r="G363" s="767" t="s">
        <v>2147</v>
      </c>
      <c r="H363" s="745"/>
      <c r="I363" s="761" t="s">
        <v>3379</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Magnolia Pointe Apartments</v>
      </c>
    </row>
    <row r="3" spans="1:6" ht="16.5">
      <c r="A3" s="576" t="str">
        <f>CONCATENATE('Part I-Project Information'!F24,", ", 'Part I-Project Information'!J25," County")</f>
        <v>Montezuma, Macon County</v>
      </c>
    </row>
    <row r="4" spans="1:6" ht="12" customHeight="1"/>
    <row r="5" spans="1:6" ht="113.25" customHeight="1">
      <c r="A5" s="1216" t="s">
        <v>4077</v>
      </c>
      <c r="B5" s="1146" t="s">
        <v>3960</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topLeftCell="A4" zoomScaleNormal="100" workbookViewId="0">
      <selection activeCell="B9" sqref="B9"/>
    </sheetView>
  </sheetViews>
  <sheetFormatPr defaultRowHeight="12.75"/>
  <cols>
    <col min="1" max="1" width="88.42578125" customWidth="1"/>
  </cols>
  <sheetData>
    <row r="1" spans="1:6" ht="15.75">
      <c r="A1" s="577" t="s">
        <v>3942</v>
      </c>
    </row>
    <row r="2" spans="1:6" ht="16.5">
      <c r="A2" s="576" t="str">
        <f>'Part I-Project Information'!F22</f>
        <v>Magnolia Pointe Apartments</v>
      </c>
    </row>
    <row r="3" spans="1:6" ht="16.5">
      <c r="A3" s="576" t="str">
        <f>CONCATENATE('Part I-Project Information'!F24,", ", 'Part I-Project Information'!J25," County")</f>
        <v>Montezuma, Macon County</v>
      </c>
    </row>
    <row r="4" spans="1:6" ht="12" customHeight="1"/>
    <row r="5" spans="1:6" ht="60" customHeight="1">
      <c r="A5" s="1216" t="s">
        <v>4108</v>
      </c>
      <c r="B5" s="1146" t="s">
        <v>3961</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topLeftCell="A28" workbookViewId="0">
      <selection activeCell="H43" sqref="H43:M43"/>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3251</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2783</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3332</v>
      </c>
      <c r="B22" s="1220" t="s">
        <v>953</v>
      </c>
      <c r="C22" s="1220"/>
      <c r="D22" s="1220"/>
      <c r="E22" s="1220"/>
      <c r="F22" s="1220"/>
      <c r="G22" s="1220"/>
      <c r="H22" s="1220"/>
      <c r="I22" s="1220"/>
      <c r="J22" s="1220"/>
      <c r="K22" s="1220"/>
      <c r="L22" s="1220"/>
      <c r="M22" s="1220"/>
    </row>
    <row r="23" spans="1:13" ht="165.6" customHeight="1">
      <c r="A23" s="140" t="s">
        <v>2153</v>
      </c>
      <c r="B23" s="1220" t="s">
        <v>2920</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2860</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60" sqref="A60:XFD60"/>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3392</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3358</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3425</v>
      </c>
      <c r="L10" s="426" t="s">
        <v>3426</v>
      </c>
      <c r="M10" s="426" t="s">
        <v>3427</v>
      </c>
      <c r="N10" s="426" t="s">
        <v>3428</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5153579</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6184304</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5668931</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2784</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3854</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2841</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2914</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2914</v>
      </c>
      <c r="K37" s="241"/>
      <c r="L37" s="241"/>
      <c r="M37" s="241"/>
      <c r="N37" s="241"/>
      <c r="O37" s="241"/>
      <c r="P37" s="239"/>
      <c r="Q37" s="434" t="s">
        <v>1469</v>
      </c>
      <c r="R37" s="422">
        <v>500000</v>
      </c>
      <c r="S37" s="432"/>
      <c r="T37" s="432"/>
      <c r="U37" s="432"/>
    </row>
    <row r="38" spans="1:21" s="416" customFormat="1" ht="11.45" customHeight="1">
      <c r="A38" s="241"/>
      <c r="B38" s="241" t="s">
        <v>2922</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2923</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3855</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3859</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3856</v>
      </c>
      <c r="G46" s="241"/>
      <c r="H46" s="239"/>
      <c r="I46" s="239"/>
      <c r="J46" s="241" t="s">
        <v>3857</v>
      </c>
      <c r="K46" s="241"/>
      <c r="L46" s="241"/>
      <c r="M46" s="241"/>
      <c r="N46" s="241"/>
      <c r="O46" s="241"/>
      <c r="P46" s="239"/>
      <c r="Q46" s="431">
        <v>1500</v>
      </c>
      <c r="R46" s="431" t="s">
        <v>2586</v>
      </c>
      <c r="S46" s="432"/>
      <c r="T46" s="432"/>
      <c r="U46" s="432"/>
    </row>
    <row r="47" spans="1:21" s="416" customFormat="1" ht="11.45" customHeight="1">
      <c r="A47" s="241"/>
      <c r="B47" s="241" t="s">
        <v>2734</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3214</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3344</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3345</v>
      </c>
      <c r="K54" s="241"/>
      <c r="L54" s="241"/>
      <c r="M54" s="241"/>
      <c r="N54" s="241"/>
      <c r="O54" s="241"/>
      <c r="P54" s="239"/>
      <c r="Q54" s="1228" t="s">
        <v>3346</v>
      </c>
      <c r="R54" s="1228"/>
      <c r="S54" s="432"/>
      <c r="T54" s="432"/>
      <c r="U54" s="432"/>
    </row>
    <row r="55" spans="1:21" s="416" customFormat="1" ht="11.45" customHeight="1">
      <c r="A55" s="241"/>
      <c r="B55" s="567"/>
      <c r="C55" s="241"/>
      <c r="D55" s="239"/>
      <c r="E55" s="239"/>
      <c r="F55" s="241" t="s">
        <v>2916</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2915</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2917</v>
      </c>
      <c r="C59" s="241"/>
      <c r="D59" s="239"/>
      <c r="E59" s="239"/>
      <c r="F59" s="241"/>
      <c r="G59" s="241"/>
      <c r="I59" s="239"/>
      <c r="J59" s="241" t="s">
        <v>2918</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3394</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3849</v>
      </c>
      <c r="B72" s="241"/>
      <c r="C72" s="241"/>
      <c r="D72" s="239"/>
      <c r="E72" s="239"/>
      <c r="F72" s="241" t="s">
        <v>3640</v>
      </c>
      <c r="G72" s="241"/>
      <c r="H72" s="239"/>
      <c r="I72" s="239"/>
      <c r="J72" s="241" t="s">
        <v>3852</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3639</v>
      </c>
      <c r="G73" s="241"/>
      <c r="H73" s="239"/>
      <c r="I73" s="239"/>
      <c r="J73" s="241" t="s">
        <v>3852</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3852</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3026</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3850</v>
      </c>
      <c r="J76" s="241" t="s">
        <v>2618</v>
      </c>
      <c r="Q76" s="1229">
        <v>1000000</v>
      </c>
      <c r="R76" s="1230"/>
    </row>
    <row r="77" spans="1:26" s="416" customFormat="1" ht="11.45" customHeight="1">
      <c r="A77" s="241"/>
      <c r="B77" s="241"/>
      <c r="C77" s="241"/>
      <c r="D77" s="239"/>
      <c r="E77" s="239"/>
      <c r="F77" s="241" t="s">
        <v>3851</v>
      </c>
      <c r="G77" s="241"/>
      <c r="H77" s="239"/>
      <c r="I77" s="239"/>
      <c r="J77" s="241" t="s">
        <v>3853</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2928</v>
      </c>
      <c r="D100" s="734">
        <v>64600</v>
      </c>
    </row>
    <row r="101" spans="3:4" ht="10.5" customHeight="1">
      <c r="C101" s="562" t="s">
        <v>3626</v>
      </c>
      <c r="D101" s="734">
        <v>47700</v>
      </c>
    </row>
    <row r="102" spans="3:4" ht="10.5" customHeight="1">
      <c r="C102" s="561" t="s">
        <v>3183</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3488</v>
      </c>
      <c r="D120" s="734">
        <v>44800</v>
      </c>
    </row>
    <row r="121" spans="3:4" ht="10.5" customHeight="1">
      <c r="C121" s="562" t="s">
        <v>3491</v>
      </c>
      <c r="D121" s="734">
        <v>42200</v>
      </c>
    </row>
    <row r="122" spans="3:4" ht="10.5" customHeight="1">
      <c r="C122" s="562" t="s">
        <v>3494</v>
      </c>
      <c r="D122" s="734">
        <v>42900</v>
      </c>
    </row>
    <row r="123" spans="3:4" ht="10.5" customHeight="1">
      <c r="C123" s="562" t="s">
        <v>3543</v>
      </c>
      <c r="D123" s="734">
        <v>40900</v>
      </c>
    </row>
    <row r="124" spans="3:4" ht="10.5" customHeight="1">
      <c r="C124" s="562" t="s">
        <v>3546</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3156</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3624</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3063</v>
      </c>
      <c r="D165" s="734">
        <v>48700</v>
      </c>
    </row>
    <row r="166" spans="3:4" ht="10.5" customHeight="1">
      <c r="C166" s="562" t="s">
        <v>3065</v>
      </c>
      <c r="D166" s="734">
        <v>49700</v>
      </c>
    </row>
    <row r="167" spans="3:4" ht="10.5" customHeight="1">
      <c r="C167" s="561" t="s">
        <v>3067</v>
      </c>
      <c r="D167" s="734">
        <v>45800</v>
      </c>
    </row>
    <row r="168" spans="3:4" ht="10.5" customHeight="1">
      <c r="C168" s="561" t="s">
        <v>3070</v>
      </c>
      <c r="D168" s="734">
        <v>45300</v>
      </c>
    </row>
    <row r="169" spans="3:4" ht="10.5" customHeight="1">
      <c r="C169" s="562" t="s">
        <v>3072</v>
      </c>
      <c r="D169" s="734">
        <v>38700</v>
      </c>
    </row>
    <row r="170" spans="3:4" ht="10.5" customHeight="1">
      <c r="C170" s="562" t="s">
        <v>3074</v>
      </c>
      <c r="D170" s="734">
        <v>41400</v>
      </c>
    </row>
    <row r="171" spans="3:4" ht="10.5" customHeight="1">
      <c r="C171" s="562" t="s">
        <v>3076</v>
      </c>
      <c r="D171" s="734">
        <v>47300</v>
      </c>
    </row>
    <row r="172" spans="3:4" ht="10.5" customHeight="1">
      <c r="C172" s="562" t="s">
        <v>3078</v>
      </c>
      <c r="D172" s="734">
        <v>25600</v>
      </c>
    </row>
    <row r="173" spans="3:4" ht="10.5" customHeight="1">
      <c r="C173" s="562" t="s">
        <v>3080</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2786</v>
      </c>
      <c r="D177" s="734">
        <v>47700</v>
      </c>
    </row>
    <row r="178" spans="3:4" ht="10.5" customHeight="1">
      <c r="C178" s="561" t="s">
        <v>2788</v>
      </c>
      <c r="D178" s="734">
        <v>43800</v>
      </c>
    </row>
    <row r="179" spans="3:4" ht="10.5" customHeight="1">
      <c r="C179" s="561" t="s">
        <v>2790</v>
      </c>
      <c r="D179" s="734">
        <v>51900</v>
      </c>
    </row>
    <row r="180" spans="3:4" ht="10.5" customHeight="1">
      <c r="C180" s="561" t="s">
        <v>2792</v>
      </c>
      <c r="D180" s="734">
        <v>39000</v>
      </c>
    </row>
    <row r="181" spans="3:4" ht="10.5" customHeight="1">
      <c r="C181" s="562" t="s">
        <v>2794</v>
      </c>
      <c r="D181" s="734">
        <v>50800</v>
      </c>
    </row>
    <row r="182" spans="3:4" ht="10.5" customHeight="1">
      <c r="C182" s="561" t="s">
        <v>2796</v>
      </c>
      <c r="D182" s="734">
        <v>41500</v>
      </c>
    </row>
    <row r="183" spans="3:4" ht="10.5" customHeight="1">
      <c r="C183" s="561" t="s">
        <v>2799</v>
      </c>
      <c r="D183" s="734">
        <v>51400</v>
      </c>
    </row>
    <row r="184" spans="3:4" ht="10.5" customHeight="1">
      <c r="C184" s="562" t="s">
        <v>2888</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3374</v>
      </c>
      <c r="D192" s="734">
        <v>41700</v>
      </c>
    </row>
    <row r="193" spans="3:4" ht="10.5" customHeight="1">
      <c r="C193" s="561" t="s">
        <v>3376</v>
      </c>
      <c r="D193" s="734">
        <v>42600</v>
      </c>
    </row>
    <row r="194" spans="3:4" ht="10.5" customHeight="1">
      <c r="C194" s="561" t="s">
        <v>3378</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activeCell="A5" sqref="A5:A23"/>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Magnolia Pointe Apartments</v>
      </c>
    </row>
    <row r="3" spans="1:6" ht="16.5">
      <c r="A3" s="1281" t="str">
        <f>CONCATENATE('Part I-Project Information'!F24,", ", 'Part I-Project Information'!J25," County")</f>
        <v>Montezuma, Macon County</v>
      </c>
    </row>
    <row r="4" spans="1:6" ht="12" customHeight="1"/>
    <row r="5" spans="1:6" ht="111" customHeight="1">
      <c r="A5" s="1282" t="s">
        <v>4075</v>
      </c>
      <c r="B5" s="886" t="s">
        <v>3965</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- 2012-047 Magnolia Pointe Apartments, Montezuma, Macon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3331</v>
      </c>
      <c r="B3" s="450"/>
      <c r="C3" s="450"/>
      <c r="D3" s="451"/>
      <c r="E3" s="400" t="s">
        <v>614</v>
      </c>
      <c r="L3" s="450"/>
      <c r="O3" s="887" t="s">
        <v>3868</v>
      </c>
      <c r="P3" s="887"/>
    </row>
    <row r="4" spans="1:16" s="449" customFormat="1" ht="12" customHeight="1" thickBot="1">
      <c r="A4" s="846"/>
      <c r="B4" s="452"/>
      <c r="C4" s="452"/>
      <c r="D4" s="453"/>
      <c r="E4" s="400" t="s">
        <v>615</v>
      </c>
      <c r="H4" s="839"/>
      <c r="I4" s="839"/>
      <c r="J4" s="839"/>
      <c r="O4" s="1284" t="s">
        <v>4109</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3349</v>
      </c>
      <c r="D6" s="416"/>
      <c r="E6" s="454"/>
      <c r="F6" s="455" t="s">
        <v>2567</v>
      </c>
      <c r="J6" s="906">
        <f ca="1">'Part IV-Uses of Funds'!J165</f>
        <v>479000</v>
      </c>
      <c r="K6" s="907"/>
      <c r="O6" s="888" t="s">
        <v>3867</v>
      </c>
      <c r="P6" s="888"/>
    </row>
    <row r="7" spans="1:16" s="2" customFormat="1" ht="13.15" customHeight="1">
      <c r="A7" s="5"/>
      <c r="C7" s="5"/>
      <c r="D7" s="31"/>
      <c r="E7" s="549"/>
      <c r="F7" s="449" t="s">
        <v>1850</v>
      </c>
      <c r="J7" s="908">
        <f>'Part III A-Sources of Funds'!J5</f>
        <v>0</v>
      </c>
      <c r="K7" s="909"/>
      <c r="M7" s="449"/>
      <c r="N7" s="449"/>
      <c r="O7" s="1286" t="s">
        <v>3968</v>
      </c>
      <c r="P7" s="1287"/>
    </row>
    <row r="8" spans="1:16" s="449" customFormat="1" ht="7.15" customHeight="1">
      <c r="A8" s="452"/>
      <c r="C8" s="452"/>
      <c r="D8" s="416"/>
      <c r="E8" s="454"/>
      <c r="F8" s="454"/>
      <c r="I8" s="456"/>
      <c r="N8" s="457"/>
    </row>
    <row r="9" spans="1:16" s="449" customFormat="1" ht="13.15" customHeight="1">
      <c r="A9" s="456" t="s">
        <v>1136</v>
      </c>
      <c r="C9" s="452" t="s">
        <v>2926</v>
      </c>
      <c r="F9" s="1288" t="s">
        <v>3977</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3220</v>
      </c>
      <c r="F13" s="1292" t="s">
        <v>3981</v>
      </c>
      <c r="G13" s="1293"/>
      <c r="H13" s="1293"/>
      <c r="I13" s="1293"/>
      <c r="J13" s="1293"/>
      <c r="K13" s="1293"/>
      <c r="L13" s="1294"/>
      <c r="M13" s="826" t="s">
        <v>2860</v>
      </c>
      <c r="N13" s="1292" t="s">
        <v>3995</v>
      </c>
      <c r="O13" s="1293"/>
      <c r="P13" s="1294"/>
    </row>
    <row r="14" spans="1:16" s="449" customFormat="1" ht="13.15" customHeight="1">
      <c r="C14" s="455" t="s">
        <v>2861</v>
      </c>
      <c r="F14" s="1292" t="s">
        <v>4013</v>
      </c>
      <c r="G14" s="1293"/>
      <c r="H14" s="1293"/>
      <c r="I14" s="1293"/>
      <c r="J14" s="1293"/>
      <c r="K14" s="1293"/>
      <c r="L14" s="1294"/>
      <c r="M14" s="826" t="s">
        <v>2573</v>
      </c>
      <c r="O14" s="1295">
        <v>8503168516</v>
      </c>
      <c r="P14" s="1296"/>
    </row>
    <row r="15" spans="1:16" s="449" customFormat="1" ht="13.15" customHeight="1">
      <c r="C15" s="455" t="s">
        <v>876</v>
      </c>
      <c r="F15" s="1297" t="s">
        <v>4000</v>
      </c>
      <c r="G15" s="1298"/>
      <c r="H15" s="1299"/>
      <c r="M15" s="826" t="s">
        <v>2658</v>
      </c>
      <c r="O15" s="1300">
        <v>9317624724</v>
      </c>
      <c r="P15" s="1301"/>
    </row>
    <row r="16" spans="1:16" s="449" customFormat="1" ht="13.15" customHeight="1">
      <c r="C16" s="455" t="s">
        <v>2655</v>
      </c>
      <c r="F16" s="1302" t="s">
        <v>1926</v>
      </c>
      <c r="I16" s="839" t="s">
        <v>3139</v>
      </c>
      <c r="J16" s="1303">
        <v>384643415</v>
      </c>
      <c r="K16" s="1304"/>
      <c r="M16" s="826" t="s">
        <v>2859</v>
      </c>
      <c r="O16" s="1300">
        <v>8508321214</v>
      </c>
      <c r="P16" s="1301"/>
    </row>
    <row r="17" spans="1:16" s="449" customFormat="1" ht="13.15" customHeight="1">
      <c r="B17" s="833"/>
      <c r="C17" s="455" t="s">
        <v>2572</v>
      </c>
      <c r="F17" s="1300">
        <v>8503168516</v>
      </c>
      <c r="G17" s="1305"/>
      <c r="H17" s="1301"/>
      <c r="I17" s="830" t="s">
        <v>2571</v>
      </c>
      <c r="J17" s="1306"/>
      <c r="K17" s="839" t="s">
        <v>2864</v>
      </c>
      <c r="L17" s="1292" t="s">
        <v>3993</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3985</v>
      </c>
      <c r="G22" s="1308"/>
      <c r="H22" s="1308"/>
      <c r="I22" s="1308"/>
      <c r="J22" s="1308"/>
      <c r="K22" s="1308"/>
      <c r="L22" s="1309"/>
      <c r="M22" s="826" t="s">
        <v>3088</v>
      </c>
      <c r="O22" s="1292" t="s">
        <v>3978</v>
      </c>
      <c r="P22" s="1294"/>
    </row>
    <row r="23" spans="1:16" s="449" customFormat="1" ht="13.15" customHeight="1">
      <c r="A23" s="462"/>
      <c r="B23" s="452"/>
      <c r="C23" s="449" t="s">
        <v>875</v>
      </c>
      <c r="D23" s="463"/>
      <c r="F23" s="1292" t="s">
        <v>3983</v>
      </c>
      <c r="G23" s="1293"/>
      <c r="H23" s="1293"/>
      <c r="I23" s="1293"/>
      <c r="J23" s="1293"/>
      <c r="K23" s="1293"/>
      <c r="L23" s="1294"/>
      <c r="M23" s="826" t="s">
        <v>2939</v>
      </c>
      <c r="O23" s="1292" t="s">
        <v>3978</v>
      </c>
      <c r="P23" s="1294"/>
    </row>
    <row r="24" spans="1:16" s="449" customFormat="1" ht="13.15" customHeight="1">
      <c r="A24" s="846"/>
      <c r="B24" s="452"/>
      <c r="C24" s="449" t="s">
        <v>876</v>
      </c>
      <c r="F24" s="1292" t="s">
        <v>643</v>
      </c>
      <c r="G24" s="1293"/>
      <c r="H24" s="1294"/>
      <c r="I24" s="839" t="s">
        <v>418</v>
      </c>
      <c r="J24" s="1303">
        <v>310631262</v>
      </c>
      <c r="K24" s="1304"/>
      <c r="L24" s="540" t="str">
        <f>IF(AND(NOT(F22=""),NOT(F24="Select from list"),J24=""),"Enter Zip!","")</f>
        <v/>
      </c>
      <c r="M24" s="826" t="s">
        <v>3198</v>
      </c>
      <c r="O24" s="1292">
        <v>4.29</v>
      </c>
      <c r="P24" s="1294"/>
    </row>
    <row r="25" spans="1:16" s="449" customFormat="1" ht="13.15" customHeight="1">
      <c r="A25" s="846"/>
      <c r="B25" s="452"/>
      <c r="C25" s="889" t="s">
        <v>2938</v>
      </c>
      <c r="D25" s="889"/>
      <c r="F25" s="1310" t="s">
        <v>3976</v>
      </c>
      <c r="I25" s="494" t="s">
        <v>877</v>
      </c>
      <c r="J25" s="1311" t="str">
        <f>IF($F$24="","",VLOOKUP($F$24,$N$181:$O$784,2,FALSE))</f>
        <v>Macon</v>
      </c>
      <c r="K25" s="1312"/>
      <c r="M25" s="465" t="s">
        <v>3213</v>
      </c>
      <c r="O25" s="1292">
        <v>13193000400</v>
      </c>
      <c r="P25" s="1313"/>
    </row>
    <row r="26" spans="1:16" s="449" customFormat="1" ht="13.15" customHeight="1">
      <c r="A26" s="846"/>
      <c r="B26" s="452"/>
      <c r="C26" s="449" t="s">
        <v>2162</v>
      </c>
      <c r="F26" s="1314" t="s">
        <v>3976</v>
      </c>
      <c r="H26" s="457" t="s">
        <v>3657</v>
      </c>
      <c r="I26" s="682" t="str">
        <f>VLOOKUP($J$25,$C$181:$F$340,4)</f>
        <v>Non-MSA</v>
      </c>
      <c r="J26" s="1315" t="str">
        <f>IF($F$24="","",VLOOKUP($J$25,$C$181:$H$340,3,FALSE))</f>
        <v>Macon Co.</v>
      </c>
      <c r="K26" s="1316"/>
      <c r="L26" s="1317"/>
      <c r="M26" s="826" t="s">
        <v>625</v>
      </c>
      <c r="N26" s="1318" t="s">
        <v>3976</v>
      </c>
      <c r="O26" s="457" t="s">
        <v>626</v>
      </c>
      <c r="P26" s="1318" t="s">
        <v>3978</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19">
        <v>2</v>
      </c>
      <c r="G29" s="1320"/>
      <c r="H29" s="1319">
        <v>14</v>
      </c>
      <c r="I29" s="1320"/>
      <c r="J29" s="1319">
        <v>135</v>
      </c>
      <c r="K29" s="1320"/>
    </row>
    <row r="30" spans="1:16" s="449" customFormat="1" ht="13.15" customHeight="1">
      <c r="A30" s="846"/>
      <c r="B30" s="452"/>
      <c r="C30" s="455" t="s">
        <v>1134</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1" t="s">
        <v>3994</v>
      </c>
      <c r="G32" s="1322"/>
      <c r="H32" s="1322"/>
      <c r="I32" s="1322"/>
      <c r="J32" s="1322"/>
      <c r="K32" s="1323"/>
      <c r="L32" s="466"/>
      <c r="M32" s="466"/>
      <c r="N32" s="466"/>
    </row>
    <row r="33" spans="1:19" s="449" customFormat="1" ht="13.15" customHeight="1">
      <c r="A33" s="846"/>
      <c r="B33" s="846"/>
      <c r="C33" s="449" t="s">
        <v>897</v>
      </c>
      <c r="F33" s="1324" t="s">
        <v>4015</v>
      </c>
      <c r="G33" s="1325"/>
      <c r="H33" s="1325"/>
      <c r="I33" s="1325"/>
      <c r="J33" s="1326"/>
      <c r="K33" s="467" t="s">
        <v>2860</v>
      </c>
      <c r="L33" s="1321" t="s">
        <v>3984</v>
      </c>
      <c r="M33" s="1322"/>
      <c r="N33" s="1323"/>
    </row>
    <row r="34" spans="1:19" s="449" customFormat="1" ht="13.15" customHeight="1">
      <c r="A34" s="846"/>
      <c r="B34" s="846"/>
      <c r="C34" s="449" t="s">
        <v>2861</v>
      </c>
      <c r="F34" s="1321" t="s">
        <v>4016</v>
      </c>
      <c r="G34" s="1322"/>
      <c r="H34" s="1322"/>
      <c r="I34" s="1322"/>
      <c r="J34" s="1323"/>
      <c r="K34" s="468" t="s">
        <v>876</v>
      </c>
      <c r="L34" s="1292" t="s">
        <v>643</v>
      </c>
      <c r="M34" s="1293"/>
      <c r="N34" s="1294"/>
    </row>
    <row r="35" spans="1:19" s="449" customFormat="1" ht="13.15" customHeight="1">
      <c r="A35" s="846"/>
      <c r="B35" s="846"/>
      <c r="C35" s="826" t="s">
        <v>3139</v>
      </c>
      <c r="F35" s="1327">
        <v>310631610</v>
      </c>
      <c r="G35" s="1328"/>
      <c r="H35" s="830" t="s">
        <v>2862</v>
      </c>
      <c r="I35" s="1329">
        <v>4784728364</v>
      </c>
      <c r="J35" s="1330"/>
      <c r="K35" s="1331"/>
      <c r="L35" s="830" t="s">
        <v>2658</v>
      </c>
      <c r="M35" s="1329">
        <v>4784725873</v>
      </c>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2650</v>
      </c>
      <c r="C37" s="452" t="s">
        <v>2066</v>
      </c>
      <c r="F37" s="471"/>
      <c r="I37" s="455"/>
      <c r="J37" s="683" t="s">
        <v>3663</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2863</v>
      </c>
      <c r="C39" s="452" t="s">
        <v>3215</v>
      </c>
      <c r="F39" s="1306" t="s">
        <v>3978</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2866</v>
      </c>
      <c r="C41" s="452" t="s">
        <v>996</v>
      </c>
      <c r="J41" s="593" t="s">
        <v>1845</v>
      </c>
      <c r="K41" s="594"/>
      <c r="L41" s="899" t="s">
        <v>1840</v>
      </c>
      <c r="M41" s="899"/>
      <c r="N41" s="899"/>
      <c r="O41" s="899"/>
      <c r="P41" s="900"/>
      <c r="Q41" s="839"/>
    </row>
    <row r="42" spans="1:19" ht="13.15" customHeight="1">
      <c r="B42" s="846"/>
      <c r="C42" s="449" t="s">
        <v>3214</v>
      </c>
      <c r="D42" s="449"/>
      <c r="E42" s="449"/>
      <c r="F42" s="473">
        <f>'Part VI-Revenues &amp; Expenses'!$M$74</f>
        <v>33</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32"/>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3191</v>
      </c>
      <c r="D48" s="833"/>
      <c r="I48" s="896" t="s">
        <v>1993</v>
      </c>
      <c r="J48" s="462" t="s">
        <v>3005</v>
      </c>
      <c r="K48" s="475" t="s">
        <v>3221</v>
      </c>
      <c r="M48" s="833"/>
      <c r="N48" s="833"/>
      <c r="O48" s="833"/>
      <c r="P48" s="839"/>
      <c r="Q48" s="839"/>
      <c r="R48" s="839"/>
      <c r="S48" s="833"/>
    </row>
    <row r="49" spans="1:16" s="449" customFormat="1" ht="13.15" customHeight="1">
      <c r="A49" s="846"/>
      <c r="B49" s="829"/>
      <c r="C49" s="459" t="s">
        <v>3192</v>
      </c>
      <c r="D49" s="833"/>
      <c r="E49" s="833"/>
      <c r="H49" s="476">
        <f>SUM(H50:H51)</f>
        <v>33</v>
      </c>
      <c r="I49" s="897"/>
      <c r="J49" s="846"/>
      <c r="K49" s="459" t="s">
        <v>3222</v>
      </c>
      <c r="M49" s="833"/>
      <c r="N49" s="833"/>
      <c r="O49" s="833"/>
      <c r="P49" s="476">
        <f>'Part VI-Revenues &amp; Expenses'!$M$96</f>
        <v>37322</v>
      </c>
    </row>
    <row r="50" spans="1:16" s="449" customFormat="1" ht="13.15" customHeight="1">
      <c r="A50" s="846"/>
      <c r="B50" s="472"/>
      <c r="D50" s="477" t="s">
        <v>459</v>
      </c>
      <c r="E50" s="477"/>
      <c r="H50" s="476">
        <f>'Part VI-Revenues &amp; Expenses'!$M$57</f>
        <v>5</v>
      </c>
      <c r="I50" s="476">
        <f>'Part VI-Revenues &amp; Expenses'!$M$65</f>
        <v>0</v>
      </c>
      <c r="K50" s="459" t="s">
        <v>306</v>
      </c>
      <c r="M50" s="833"/>
      <c r="N50" s="833"/>
      <c r="O50" s="833"/>
      <c r="P50" s="476">
        <f>'Part VI-Revenues &amp; Expenses'!$M$97</f>
        <v>0</v>
      </c>
    </row>
    <row r="51" spans="1:16" s="449" customFormat="1" ht="13.15" customHeight="1">
      <c r="A51" s="846"/>
      <c r="D51" s="477" t="s">
        <v>2686</v>
      </c>
      <c r="E51" s="477"/>
      <c r="H51" s="476">
        <f>'Part VI-Revenues &amp; Expenses'!$M$56</f>
        <v>28</v>
      </c>
      <c r="I51" s="476">
        <f>'Part VI-Revenues &amp; Expenses'!$M$64</f>
        <v>0</v>
      </c>
      <c r="K51" s="459" t="s">
        <v>3223</v>
      </c>
      <c r="M51" s="833"/>
      <c r="N51" s="833"/>
      <c r="O51" s="833"/>
      <c r="P51" s="476">
        <f>+P49+P50</f>
        <v>37322</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0</v>
      </c>
    </row>
    <row r="53" spans="1:16" s="449" customFormat="1" ht="13.15" customHeight="1">
      <c r="A53" s="846"/>
      <c r="C53" s="459" t="s">
        <v>3390</v>
      </c>
      <c r="D53" s="833"/>
      <c r="E53" s="833"/>
      <c r="H53" s="476">
        <f>+H49+H52</f>
        <v>33</v>
      </c>
      <c r="J53" s="846"/>
      <c r="K53" s="459" t="s">
        <v>1995</v>
      </c>
      <c r="M53" s="833"/>
      <c r="N53" s="833"/>
      <c r="O53" s="833"/>
      <c r="P53" s="476">
        <f>+P51+P52</f>
        <v>37322</v>
      </c>
    </row>
    <row r="54" spans="1:16" s="449" customFormat="1" ht="13.15" customHeight="1">
      <c r="A54" s="846"/>
      <c r="C54" s="459" t="s">
        <v>3391</v>
      </c>
      <c r="D54" s="833"/>
      <c r="E54" s="833"/>
      <c r="H54" s="476">
        <f>'Part VI-Revenues &amp; Expenses'!$M$61</f>
        <v>0</v>
      </c>
      <c r="J54" s="846"/>
    </row>
    <row r="55" spans="1:16" s="449" customFormat="1" ht="13.15" customHeight="1">
      <c r="A55" s="846"/>
      <c r="C55" s="459" t="s">
        <v>2649</v>
      </c>
      <c r="D55" s="833"/>
      <c r="E55" s="833"/>
      <c r="H55" s="476">
        <f>+H53+H54</f>
        <v>33</v>
      </c>
      <c r="J55" s="833"/>
    </row>
    <row r="56" spans="1:16" s="449" customFormat="1" ht="3" customHeight="1">
      <c r="A56" s="846"/>
      <c r="I56" s="839"/>
      <c r="L56" s="839"/>
      <c r="M56" s="839"/>
      <c r="N56" s="833"/>
      <c r="P56" s="460"/>
    </row>
    <row r="57" spans="1:16" s="449" customFormat="1" ht="13.15" customHeight="1">
      <c r="A57" s="846"/>
      <c r="B57" s="846" t="s">
        <v>2588</v>
      </c>
      <c r="C57" s="461" t="s">
        <v>3216</v>
      </c>
      <c r="D57" s="477" t="s">
        <v>2877</v>
      </c>
      <c r="G57" s="833"/>
      <c r="H57" s="1333">
        <v>6</v>
      </c>
      <c r="K57" s="459" t="s">
        <v>1641</v>
      </c>
      <c r="O57" s="833"/>
      <c r="P57" s="1333">
        <v>1706</v>
      </c>
    </row>
    <row r="58" spans="1:16" s="449" customFormat="1" ht="13.15" customHeight="1">
      <c r="A58" s="846"/>
      <c r="B58" s="846"/>
      <c r="D58" s="829" t="s">
        <v>2878</v>
      </c>
      <c r="H58" s="1333">
        <v>1</v>
      </c>
      <c r="I58" s="833"/>
      <c r="K58" s="459" t="s">
        <v>305</v>
      </c>
      <c r="O58" s="833"/>
      <c r="P58" s="476">
        <f>+P53+P57</f>
        <v>39028</v>
      </c>
    </row>
    <row r="59" spans="1:16" s="449" customFormat="1" ht="13.15" customHeight="1">
      <c r="A59" s="846"/>
      <c r="B59" s="846"/>
      <c r="D59" s="829" t="s">
        <v>2879</v>
      </c>
      <c r="H59" s="476">
        <f>+H57+H58</f>
        <v>7</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3">
        <v>72</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2863</v>
      </c>
      <c r="C65" s="394" t="s">
        <v>3964</v>
      </c>
      <c r="D65" s="827"/>
      <c r="E65" s="827"/>
      <c r="F65" s="833"/>
      <c r="G65" s="839"/>
      <c r="H65" s="1334" t="s">
        <v>3979</v>
      </c>
      <c r="I65" s="1335"/>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2866</v>
      </c>
      <c r="C67" s="461" t="s">
        <v>1985</v>
      </c>
      <c r="D67" s="833"/>
      <c r="E67" s="477"/>
      <c r="G67" s="479" t="s">
        <v>1282</v>
      </c>
      <c r="H67" s="1333">
        <v>2</v>
      </c>
      <c r="K67" s="889" t="s">
        <v>755</v>
      </c>
      <c r="L67" s="889"/>
      <c r="P67" s="480">
        <f>IF('Part VI-Revenues &amp; Expenses'!$M$62=0,0,$H67/'Part VI-Revenues &amp; Expenses'!$M$62)</f>
        <v>6.0606060606060608E-2</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2712</v>
      </c>
      <c r="D69" s="477"/>
      <c r="E69" s="477"/>
      <c r="G69" s="479" t="s">
        <v>1282</v>
      </c>
      <c r="H69" s="1333">
        <v>1</v>
      </c>
      <c r="K69" s="889" t="s">
        <v>755</v>
      </c>
      <c r="L69" s="889"/>
      <c r="P69" s="480">
        <f>IF('Part VI-Revenues &amp; Expenses'!$M$62=0,0,$H69/'Part VI-Revenues &amp; Expenses'!$M$62)</f>
        <v>3.0303030303030304E-2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3005</v>
      </c>
      <c r="C71" s="461" t="s">
        <v>1847</v>
      </c>
      <c r="D71" s="477"/>
      <c r="E71" s="477"/>
      <c r="G71" s="479" t="s">
        <v>1848</v>
      </c>
      <c r="H71" s="1333"/>
      <c r="K71" s="889" t="s">
        <v>755</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3351</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2863</v>
      </c>
      <c r="C75" s="394" t="s">
        <v>3350</v>
      </c>
      <c r="D75" s="829"/>
      <c r="E75" s="829"/>
      <c r="F75" s="829"/>
      <c r="H75" s="1336" t="s">
        <v>1359</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2866</v>
      </c>
      <c r="C77" s="452" t="s">
        <v>2135</v>
      </c>
      <c r="K77" s="455" t="s">
        <v>1358</v>
      </c>
      <c r="N77" s="482"/>
      <c r="P77" s="1306"/>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2927</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3976</v>
      </c>
      <c r="F81" s="477" t="s">
        <v>3640</v>
      </c>
      <c r="H81" s="1306" t="s">
        <v>3976</v>
      </c>
      <c r="I81" s="826" t="s">
        <v>3639</v>
      </c>
      <c r="K81" s="1306" t="s">
        <v>3978</v>
      </c>
      <c r="L81" s="449" t="s">
        <v>339</v>
      </c>
    </row>
    <row r="82" spans="1:16" s="449" customFormat="1" ht="13.15" customHeight="1">
      <c r="A82" s="846"/>
      <c r="B82" s="846"/>
      <c r="D82" s="470"/>
      <c r="E82" s="1306" t="s">
        <v>3978</v>
      </c>
      <c r="F82" s="826" t="s">
        <v>611</v>
      </c>
      <c r="H82" s="1306" t="s">
        <v>3978</v>
      </c>
      <c r="I82" s="829" t="s">
        <v>3026</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8" t="s">
        <v>789</v>
      </c>
      <c r="N86" s="898"/>
      <c r="O86" s="1339"/>
      <c r="P86" s="1340"/>
    </row>
    <row r="87" spans="1:16" s="449" customFormat="1" ht="13.15" customHeight="1">
      <c r="C87" s="455" t="s">
        <v>1527</v>
      </c>
      <c r="D87" s="463"/>
      <c r="E87" s="1292"/>
      <c r="F87" s="1293"/>
      <c r="G87" s="1293"/>
      <c r="H87" s="1293"/>
      <c r="I87" s="1293"/>
      <c r="J87" s="1293"/>
      <c r="K87" s="1293"/>
      <c r="L87" s="1294"/>
      <c r="M87" s="898" t="s">
        <v>1294</v>
      </c>
      <c r="N87" s="898"/>
      <c r="O87" s="1307"/>
      <c r="P87" s="1309"/>
    </row>
    <row r="88" spans="1:16" s="449" customFormat="1" ht="13.15" customHeight="1">
      <c r="C88" s="455" t="s">
        <v>876</v>
      </c>
      <c r="E88" s="1292"/>
      <c r="F88" s="1341"/>
      <c r="G88" s="1342"/>
      <c r="H88" s="830" t="s">
        <v>2655</v>
      </c>
      <c r="I88" s="1306"/>
      <c r="J88" s="483" t="s">
        <v>3139</v>
      </c>
      <c r="K88" s="1303"/>
      <c r="L88" s="1342"/>
      <c r="M88" s="416"/>
      <c r="N88" s="416"/>
      <c r="O88" s="416"/>
      <c r="P88" s="416"/>
    </row>
    <row r="89" spans="1:16" s="449" customFormat="1" ht="13.15" customHeight="1">
      <c r="C89" s="449" t="s">
        <v>3090</v>
      </c>
      <c r="E89" s="1292"/>
      <c r="F89" s="1341"/>
      <c r="G89" s="1342"/>
      <c r="H89" s="839" t="s">
        <v>2860</v>
      </c>
      <c r="I89" s="1292"/>
      <c r="J89" s="1341"/>
      <c r="K89" s="1342"/>
      <c r="L89" s="844" t="s">
        <v>2864</v>
      </c>
      <c r="M89" s="1292"/>
      <c r="N89" s="1341"/>
      <c r="O89" s="1341"/>
      <c r="P89" s="1342"/>
    </row>
    <row r="90" spans="1:16" s="449" customFormat="1" ht="13.15" customHeight="1">
      <c r="C90" s="455" t="s">
        <v>3089</v>
      </c>
      <c r="E90" s="1300"/>
      <c r="F90" s="1305"/>
      <c r="G90" s="1301"/>
      <c r="H90" s="839" t="s">
        <v>2658</v>
      </c>
      <c r="I90" s="1329"/>
      <c r="J90" s="1342"/>
      <c r="K90" s="483" t="s">
        <v>2659</v>
      </c>
      <c r="L90" s="1329"/>
      <c r="M90" s="1342"/>
      <c r="N90" s="483" t="s">
        <v>2859</v>
      </c>
      <c r="O90" s="1329"/>
      <c r="P90" s="1342"/>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3046</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2863</v>
      </c>
      <c r="C96" s="827" t="s">
        <v>1986</v>
      </c>
      <c r="D96" s="829"/>
      <c r="E96" s="829"/>
      <c r="F96" s="839"/>
      <c r="G96" s="839"/>
      <c r="H96" s="1343">
        <v>1</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2866</v>
      </c>
      <c r="C98" s="827" t="s">
        <v>493</v>
      </c>
      <c r="D98" s="829"/>
      <c r="E98" s="829"/>
      <c r="F98" s="839"/>
      <c r="G98" s="839"/>
      <c r="H98" s="1344">
        <v>1</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3027</v>
      </c>
      <c r="D101" s="829"/>
      <c r="F101" s="829" t="s">
        <v>1652</v>
      </c>
      <c r="G101" s="839"/>
      <c r="H101" s="839"/>
      <c r="I101" s="839"/>
      <c r="J101" s="829" t="s">
        <v>3027</v>
      </c>
      <c r="K101" s="829"/>
      <c r="M101" s="829" t="s">
        <v>1652</v>
      </c>
      <c r="N101" s="839"/>
      <c r="O101" s="839"/>
      <c r="P101" s="839"/>
    </row>
    <row r="102" spans="1:16" s="449" customFormat="1" ht="13.15" customHeight="1">
      <c r="A102" s="846"/>
      <c r="B102" s="846"/>
      <c r="C102" s="1345" t="s">
        <v>4083</v>
      </c>
      <c r="D102" s="1346"/>
      <c r="E102" s="1346"/>
      <c r="F102" s="1346" t="s">
        <v>3985</v>
      </c>
      <c r="G102" s="1346"/>
      <c r="H102" s="1346"/>
      <c r="I102" s="1347"/>
      <c r="J102" s="1345">
        <v>8</v>
      </c>
      <c r="K102" s="1346"/>
      <c r="L102" s="1346"/>
      <c r="M102" s="1346"/>
      <c r="N102" s="1346"/>
      <c r="O102" s="1346"/>
      <c r="P102" s="1347"/>
    </row>
    <row r="103" spans="1:16" s="449" customFormat="1" ht="13.15" customHeight="1">
      <c r="A103" s="846"/>
      <c r="B103" s="846"/>
      <c r="C103" s="1348" t="s">
        <v>4082</v>
      </c>
      <c r="D103" s="1349"/>
      <c r="E103" s="1349"/>
      <c r="F103" s="1349" t="s">
        <v>3985</v>
      </c>
      <c r="G103" s="1349"/>
      <c r="H103" s="1349"/>
      <c r="I103" s="1350"/>
      <c r="J103" s="1348">
        <v>9</v>
      </c>
      <c r="K103" s="1349"/>
      <c r="L103" s="1349"/>
      <c r="M103" s="1349"/>
      <c r="N103" s="1349"/>
      <c r="O103" s="1349"/>
      <c r="P103" s="1350"/>
    </row>
    <row r="104" spans="1:16" s="449" customFormat="1" ht="13.15" customHeight="1">
      <c r="A104" s="846"/>
      <c r="B104" s="846"/>
      <c r="C104" s="1348">
        <v>3</v>
      </c>
      <c r="D104" s="1349"/>
      <c r="E104" s="1349"/>
      <c r="F104" s="1349"/>
      <c r="G104" s="1349"/>
      <c r="H104" s="1349"/>
      <c r="I104" s="1350"/>
      <c r="J104" s="1348">
        <v>10</v>
      </c>
      <c r="K104" s="1349"/>
      <c r="L104" s="1349"/>
      <c r="M104" s="1349"/>
      <c r="N104" s="1349"/>
      <c r="O104" s="1349"/>
      <c r="P104" s="1350"/>
    </row>
    <row r="105" spans="1:16" s="449" customFormat="1" ht="13.15" customHeight="1">
      <c r="A105" s="846"/>
      <c r="B105" s="846"/>
      <c r="C105" s="1348">
        <v>4</v>
      </c>
      <c r="D105" s="1349"/>
      <c r="E105" s="1349"/>
      <c r="F105" s="1349"/>
      <c r="G105" s="1349"/>
      <c r="H105" s="1349"/>
      <c r="I105" s="1350"/>
      <c r="J105" s="1348">
        <v>11</v>
      </c>
      <c r="K105" s="1349"/>
      <c r="L105" s="1349"/>
      <c r="M105" s="1349"/>
      <c r="N105" s="1349"/>
      <c r="O105" s="1349"/>
      <c r="P105" s="1350"/>
    </row>
    <row r="106" spans="1:16" s="449" customFormat="1" ht="13.15" customHeight="1">
      <c r="A106" s="846"/>
      <c r="B106" s="846"/>
      <c r="C106" s="1348">
        <v>5</v>
      </c>
      <c r="D106" s="1349"/>
      <c r="E106" s="1349"/>
      <c r="F106" s="1349"/>
      <c r="G106" s="1349"/>
      <c r="H106" s="1349"/>
      <c r="I106" s="1350"/>
      <c r="J106" s="1348">
        <v>12</v>
      </c>
      <c r="K106" s="1349"/>
      <c r="L106" s="1349"/>
      <c r="M106" s="1349"/>
      <c r="N106" s="1349"/>
      <c r="O106" s="1349"/>
      <c r="P106" s="1350"/>
    </row>
    <row r="107" spans="1:16" s="449" customFormat="1" ht="13.15" customHeight="1">
      <c r="A107" s="846"/>
      <c r="B107" s="846"/>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3005</v>
      </c>
      <c r="C110" s="895" t="s">
        <v>2719</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3027</v>
      </c>
      <c r="D112" s="829"/>
      <c r="F112" s="829" t="s">
        <v>1652</v>
      </c>
      <c r="G112" s="839"/>
      <c r="H112" s="839"/>
      <c r="I112" s="839"/>
      <c r="J112" s="829" t="s">
        <v>3027</v>
      </c>
      <c r="K112" s="829"/>
      <c r="M112" s="829" t="s">
        <v>1652</v>
      </c>
      <c r="N112" s="839"/>
      <c r="O112" s="839"/>
      <c r="P112" s="839"/>
    </row>
    <row r="113" spans="1:16" s="449" customFormat="1" ht="13.15" customHeight="1">
      <c r="A113" s="846"/>
      <c r="B113" s="846"/>
      <c r="C113" s="1345" t="s">
        <v>3980</v>
      </c>
      <c r="D113" s="1346"/>
      <c r="E113" s="1346"/>
      <c r="F113" s="1346" t="s">
        <v>3985</v>
      </c>
      <c r="G113" s="1346"/>
      <c r="H113" s="1346"/>
      <c r="I113" s="1347"/>
      <c r="J113" s="1345">
        <v>8</v>
      </c>
      <c r="K113" s="1346"/>
      <c r="L113" s="1346"/>
      <c r="M113" s="1346"/>
      <c r="N113" s="1346"/>
      <c r="O113" s="1346"/>
      <c r="P113" s="1347"/>
    </row>
    <row r="114" spans="1:16" s="449" customFormat="1" ht="13.15" customHeight="1">
      <c r="A114" s="846"/>
      <c r="B114" s="846"/>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6"/>
      <c r="B115" s="846"/>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6"/>
      <c r="B116" s="846"/>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6"/>
      <c r="B117" s="846"/>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6"/>
      <c r="B118" s="846"/>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3403</v>
      </c>
      <c r="D121" s="478"/>
      <c r="E121" s="478"/>
      <c r="F121" s="478"/>
      <c r="H121" s="1306"/>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2863</v>
      </c>
      <c r="C123" s="456" t="s">
        <v>2560</v>
      </c>
      <c r="H123" s="1306"/>
      <c r="M123" s="839"/>
      <c r="N123" s="833"/>
      <c r="O123" s="833"/>
      <c r="P123" s="460"/>
    </row>
    <row r="124" spans="1:16" s="449" customFormat="1" ht="13.15" customHeight="1">
      <c r="A124" s="846"/>
      <c r="B124" s="846"/>
      <c r="C124" s="829" t="s">
        <v>3405</v>
      </c>
      <c r="D124" s="829"/>
      <c r="E124" s="829"/>
      <c r="F124" s="839"/>
      <c r="H124" s="1354"/>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3406</v>
      </c>
      <c r="D126" s="829"/>
      <c r="E126" s="829"/>
      <c r="F126" s="839"/>
      <c r="H126" s="1354"/>
      <c r="K126" s="416" t="s">
        <v>3158</v>
      </c>
      <c r="O126" s="1292" t="s">
        <v>671</v>
      </c>
      <c r="P126" s="1294"/>
    </row>
    <row r="127" spans="1:16" s="449" customFormat="1" ht="13.15" customHeight="1">
      <c r="A127" s="846"/>
      <c r="B127" s="846"/>
      <c r="C127" s="829" t="s">
        <v>3404</v>
      </c>
      <c r="F127" s="839"/>
      <c r="H127" s="1343"/>
      <c r="K127" s="416" t="s">
        <v>3159</v>
      </c>
      <c r="O127" s="1292" t="s">
        <v>671</v>
      </c>
      <c r="P127" s="1294"/>
    </row>
    <row r="128" spans="1:16" s="449" customFormat="1" ht="13.15" customHeight="1">
      <c r="A128" s="846"/>
      <c r="B128" s="846"/>
      <c r="C128" s="829" t="s">
        <v>3061</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2866</v>
      </c>
      <c r="C130" s="827" t="s">
        <v>3498</v>
      </c>
      <c r="D130" s="829"/>
      <c r="E130" s="829"/>
      <c r="F130" s="839"/>
      <c r="H130" s="1343"/>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3"/>
      <c r="K133" s="829" t="s">
        <v>2136</v>
      </c>
      <c r="L133" s="829"/>
      <c r="M133" s="839"/>
      <c r="N133" s="839"/>
      <c r="O133" s="1343"/>
      <c r="P133" s="460"/>
    </row>
    <row r="134" spans="1:16" s="449" customFormat="1" ht="13.15" customHeight="1">
      <c r="A134" s="846"/>
      <c r="B134" s="846"/>
      <c r="C134" s="829" t="s">
        <v>999</v>
      </c>
      <c r="D134" s="829"/>
      <c r="E134" s="829"/>
      <c r="F134" s="839"/>
      <c r="G134" s="839"/>
      <c r="H134" s="1343"/>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2863</v>
      </c>
      <c r="C138" s="469" t="s">
        <v>2687</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3" t="s">
        <v>3978</v>
      </c>
      <c r="N139" s="833"/>
      <c r="O139" s="833"/>
      <c r="P139" s="460"/>
    </row>
    <row r="140" spans="1:16" s="449" customFormat="1" ht="12.6" customHeight="1">
      <c r="A140" s="846"/>
      <c r="B140" s="846"/>
      <c r="C140" s="449" t="s">
        <v>872</v>
      </c>
      <c r="K140" s="1333"/>
      <c r="L140" s="455" t="s">
        <v>2651</v>
      </c>
      <c r="P140" s="487">
        <f>IF('Part VI-Revenues &amp; Expenses'!$M$60=0,0,$K140/'Part VI-Revenues &amp; Expenses'!$M$60)</f>
        <v>0</v>
      </c>
    </row>
    <row r="141" spans="1:16" s="449" customFormat="1" ht="12.6" customHeight="1">
      <c r="A141" s="846"/>
      <c r="B141" s="846"/>
      <c r="C141" s="449" t="s">
        <v>3062</v>
      </c>
      <c r="K141" s="1333"/>
      <c r="L141" s="455" t="s">
        <v>2651</v>
      </c>
      <c r="P141" s="487">
        <f>IF('Part VI-Revenues &amp; Expenses'!$M$60=0,0,$K141/'Part VI-Revenues &amp; Expenses'!$M$60)</f>
        <v>0</v>
      </c>
    </row>
    <row r="142" spans="1:16" s="449" customFormat="1" ht="12.6" customHeight="1">
      <c r="A142" s="846"/>
      <c r="B142" s="846"/>
      <c r="C142" s="449" t="s">
        <v>2652</v>
      </c>
      <c r="E142" s="1292"/>
      <c r="F142" s="1293"/>
      <c r="G142" s="1293"/>
      <c r="H142" s="1293"/>
      <c r="I142" s="1293"/>
      <c r="J142" s="1293"/>
      <c r="K142" s="1294"/>
      <c r="L142" s="488" t="s">
        <v>2653</v>
      </c>
      <c r="M142" s="1292"/>
      <c r="N142" s="1293"/>
      <c r="O142" s="1293"/>
      <c r="P142" s="1294"/>
    </row>
    <row r="143" spans="1:16" s="449" customFormat="1" ht="12.6" customHeight="1">
      <c r="A143" s="846"/>
      <c r="B143" s="846"/>
      <c r="C143" s="455" t="s">
        <v>2654</v>
      </c>
      <c r="D143" s="463"/>
      <c r="E143" s="1292"/>
      <c r="F143" s="1293"/>
      <c r="G143" s="1293"/>
      <c r="H143" s="1293"/>
      <c r="I143" s="1293"/>
      <c r="J143" s="1293"/>
      <c r="K143" s="1355"/>
      <c r="L143" s="826" t="s">
        <v>2656</v>
      </c>
      <c r="M143" s="1307"/>
      <c r="N143" s="1308"/>
      <c r="O143" s="1308"/>
      <c r="P143" s="1309"/>
    </row>
    <row r="144" spans="1:16" s="449" customFormat="1" ht="12.6" customHeight="1">
      <c r="A144" s="846"/>
      <c r="B144" s="846"/>
      <c r="C144" s="455" t="s">
        <v>876</v>
      </c>
      <c r="E144" s="1292"/>
      <c r="F144" s="1293"/>
      <c r="G144" s="1293"/>
      <c r="H144" s="1294"/>
      <c r="I144" s="483" t="s">
        <v>3139</v>
      </c>
      <c r="J144" s="1303"/>
      <c r="K144" s="1304"/>
      <c r="L144" s="488" t="s">
        <v>2659</v>
      </c>
      <c r="M144" s="1300"/>
      <c r="N144" s="1305"/>
      <c r="O144" s="1301"/>
    </row>
    <row r="145" spans="1:16" s="449" customFormat="1" ht="12.6" customHeight="1">
      <c r="A145" s="846"/>
      <c r="B145" s="846"/>
      <c r="C145" s="455" t="s">
        <v>2657</v>
      </c>
      <c r="E145" s="1300"/>
      <c r="F145" s="1305"/>
      <c r="G145" s="1301"/>
      <c r="H145" s="489" t="s">
        <v>2658</v>
      </c>
      <c r="I145" s="1300"/>
      <c r="J145" s="1305"/>
      <c r="K145" s="1301"/>
      <c r="L145" s="490" t="s">
        <v>2859</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2866</v>
      </c>
      <c r="C147" s="827" t="s">
        <v>2219</v>
      </c>
      <c r="D147" s="827"/>
      <c r="E147" s="827"/>
      <c r="F147" s="827"/>
      <c r="G147" s="827"/>
      <c r="I147" s="1343" t="s">
        <v>3978</v>
      </c>
      <c r="J147" s="893" t="s">
        <v>1158</v>
      </c>
      <c r="K147" s="894"/>
      <c r="L147" s="1343"/>
      <c r="M147" s="890" t="s">
        <v>3248</v>
      </c>
      <c r="N147" s="891"/>
      <c r="O147" s="892"/>
      <c r="P147" s="1354"/>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3" t="s">
        <v>3978</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3005</v>
      </c>
      <c r="C151" s="914" t="s">
        <v>2858</v>
      </c>
      <c r="D151" s="914"/>
      <c r="E151" s="914"/>
      <c r="F151" s="914"/>
      <c r="G151" s="827"/>
      <c r="H151" s="1343" t="s">
        <v>3978</v>
      </c>
    </row>
    <row r="152" spans="1:16" s="449" customFormat="1" ht="12.6" customHeight="1">
      <c r="B152" s="846"/>
      <c r="C152" s="913" t="s">
        <v>2067</v>
      </c>
      <c r="D152" s="913"/>
      <c r="E152" s="827"/>
      <c r="F152" s="827"/>
      <c r="G152" s="827"/>
      <c r="H152" s="1356"/>
    </row>
    <row r="153" spans="1:16" s="449" customFormat="1" ht="12.6" customHeight="1">
      <c r="A153" s="846"/>
      <c r="B153" s="846"/>
      <c r="C153" s="889" t="s">
        <v>1283</v>
      </c>
      <c r="D153" s="889"/>
      <c r="E153" s="452"/>
      <c r="F153" s="827"/>
      <c r="G153" s="827"/>
      <c r="H153" s="1356">
        <v>0</v>
      </c>
      <c r="K153" s="459"/>
      <c r="P153" s="460"/>
    </row>
    <row r="154" spans="1:16" s="449" customFormat="1" ht="12.6" customHeight="1">
      <c r="B154" s="846"/>
      <c r="C154" s="889" t="s">
        <v>2647</v>
      </c>
      <c r="D154" s="889"/>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3114</v>
      </c>
      <c r="D157" s="461"/>
      <c r="E157" s="833"/>
      <c r="F157" s="833"/>
      <c r="H157" s="1343" t="s">
        <v>3978</v>
      </c>
      <c r="L157" s="833" t="s">
        <v>3908</v>
      </c>
      <c r="P157" s="1343" t="s">
        <v>3978</v>
      </c>
    </row>
    <row r="158" spans="1:16" s="449" customFormat="1" ht="12.6" customHeight="1">
      <c r="A158" s="846"/>
      <c r="B158" s="846"/>
      <c r="C158" s="833" t="s">
        <v>3116</v>
      </c>
      <c r="H158" s="1343" t="s">
        <v>3978</v>
      </c>
      <c r="L158" s="833" t="s">
        <v>2222</v>
      </c>
      <c r="P158" s="1343" t="s">
        <v>3978</v>
      </c>
    </row>
    <row r="159" spans="1:16" s="449" customFormat="1" ht="12.6" customHeight="1">
      <c r="A159" s="846"/>
      <c r="C159" s="833" t="s">
        <v>1849</v>
      </c>
      <c r="D159" s="495"/>
      <c r="H159" s="1343" t="s">
        <v>3978</v>
      </c>
      <c r="L159" s="833" t="s">
        <v>2387</v>
      </c>
      <c r="P159" s="1343" t="s">
        <v>3978</v>
      </c>
    </row>
    <row r="160" spans="1:16" s="449" customFormat="1" ht="12.6" customHeight="1">
      <c r="A160" s="846"/>
      <c r="B160" s="846"/>
      <c r="C160" s="833" t="s">
        <v>2221</v>
      </c>
      <c r="D160" s="461"/>
      <c r="E160" s="833"/>
      <c r="F160" s="833"/>
      <c r="H160" s="1343" t="s">
        <v>3978</v>
      </c>
      <c r="K160" s="461"/>
      <c r="L160" s="449" t="s">
        <v>3909</v>
      </c>
      <c r="M160" s="833"/>
      <c r="P160" s="1343" t="s">
        <v>3978</v>
      </c>
    </row>
    <row r="161" spans="1:21" s="449" customFormat="1" ht="12.6" customHeight="1">
      <c r="A161" s="846"/>
      <c r="B161" s="452"/>
      <c r="C161" s="833" t="s">
        <v>2139</v>
      </c>
      <c r="D161" s="461"/>
      <c r="H161" s="1343" t="s">
        <v>3978</v>
      </c>
      <c r="L161" s="833" t="s">
        <v>3955</v>
      </c>
      <c r="M161" s="833"/>
      <c r="P161" s="1343" t="s">
        <v>3978</v>
      </c>
    </row>
    <row r="162" spans="1:21" s="449" customFormat="1" ht="12.6" customHeight="1">
      <c r="A162" s="846"/>
      <c r="B162" s="846"/>
      <c r="C162" s="833" t="s">
        <v>2668</v>
      </c>
      <c r="D162" s="461"/>
      <c r="E162" s="833"/>
      <c r="F162" s="833"/>
      <c r="H162" s="1343" t="s">
        <v>3978</v>
      </c>
      <c r="I162" s="494" t="s">
        <v>3702</v>
      </c>
      <c r="O162" s="1357"/>
      <c r="P162" s="1358"/>
    </row>
    <row r="163" spans="1:21" s="449" customFormat="1" ht="12.6" customHeight="1">
      <c r="A163" s="846"/>
      <c r="B163" s="846"/>
      <c r="C163" s="833" t="s">
        <v>3957</v>
      </c>
      <c r="E163" s="1334"/>
      <c r="F163" s="1359"/>
      <c r="G163" s="1335"/>
      <c r="H163" s="1343"/>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39"/>
      <c r="I166" s="1340"/>
      <c r="N166" s="833"/>
      <c r="O166" s="833"/>
      <c r="P166" s="460"/>
    </row>
    <row r="167" spans="1:21" s="449" customFormat="1" ht="12.6" customHeight="1">
      <c r="A167" s="846"/>
      <c r="B167" s="846"/>
      <c r="C167" s="455" t="s">
        <v>341</v>
      </c>
      <c r="D167" s="829"/>
      <c r="E167" s="829"/>
      <c r="F167" s="839"/>
      <c r="G167" s="839"/>
      <c r="H167" s="1339"/>
      <c r="I167" s="1340"/>
      <c r="N167" s="833"/>
      <c r="O167" s="833"/>
      <c r="P167" s="460"/>
    </row>
    <row r="168" spans="1:21" s="449" customFormat="1" ht="12.6" customHeight="1">
      <c r="A168" s="846"/>
      <c r="B168" s="846"/>
      <c r="C168" s="455" t="s">
        <v>3214</v>
      </c>
      <c r="D168" s="829"/>
      <c r="E168" s="829"/>
      <c r="F168" s="839"/>
      <c r="G168" s="839"/>
      <c r="H168" s="1339">
        <v>41791</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3164</v>
      </c>
      <c r="L170" s="481" t="s">
        <v>85</v>
      </c>
    </row>
    <row r="171" spans="1:21" ht="51" customHeight="1">
      <c r="A171" s="1360" t="s">
        <v>4028</v>
      </c>
      <c r="B171" s="1361"/>
      <c r="C171" s="1361"/>
      <c r="D171" s="1361"/>
      <c r="E171" s="1361"/>
      <c r="F171" s="1361"/>
      <c r="G171" s="1361"/>
      <c r="H171" s="1361"/>
      <c r="I171" s="1361"/>
      <c r="J171" s="1362"/>
      <c r="K171" s="1363"/>
      <c r="L171" s="1364"/>
      <c r="M171" s="1364"/>
      <c r="N171" s="1364"/>
      <c r="O171" s="1364"/>
      <c r="P171" s="1365"/>
      <c r="Q171" s="886" t="s">
        <v>3965</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3380</v>
      </c>
      <c r="K180" s="608"/>
      <c r="L180" s="609"/>
      <c r="M180" s="610"/>
      <c r="N180" s="610" t="s">
        <v>876</v>
      </c>
      <c r="O180" s="611" t="s">
        <v>877</v>
      </c>
      <c r="P180" s="610" t="s">
        <v>3034</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3658</v>
      </c>
      <c r="G181" s="763" t="s">
        <v>1680</v>
      </c>
      <c r="H181" s="764" t="s">
        <v>500</v>
      </c>
      <c r="I181" s="680"/>
      <c r="J181" s="613" t="s">
        <v>2123</v>
      </c>
      <c r="K181" s="614"/>
      <c r="L181" s="609"/>
      <c r="M181" s="610"/>
      <c r="N181" s="615" t="s">
        <v>3381</v>
      </c>
      <c r="O181" s="615" t="s">
        <v>2830</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3658</v>
      </c>
      <c r="G182" s="763" t="s">
        <v>1681</v>
      </c>
      <c r="H182" s="764" t="s">
        <v>500</v>
      </c>
      <c r="I182" s="680"/>
      <c r="J182" s="613" t="s">
        <v>2125</v>
      </c>
      <c r="K182" s="614"/>
      <c r="L182" s="609"/>
      <c r="M182" s="610"/>
      <c r="N182" s="615" t="s">
        <v>2124</v>
      </c>
      <c r="O182" s="615" t="s">
        <v>3492</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3658</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3659</v>
      </c>
      <c r="G184" s="763" t="s">
        <v>1683</v>
      </c>
      <c r="H184" s="764" t="s">
        <v>501</v>
      </c>
      <c r="I184" s="681"/>
      <c r="J184" s="613" t="s">
        <v>2969</v>
      </c>
      <c r="K184" s="614"/>
      <c r="L184" s="609"/>
      <c r="M184" s="610"/>
      <c r="N184" s="615" t="s">
        <v>637</v>
      </c>
      <c r="O184" s="615" t="s">
        <v>3545</v>
      </c>
      <c r="P184" s="497" t="s">
        <v>2227</v>
      </c>
      <c r="Q184" s="596"/>
      <c r="S184" s="596"/>
      <c r="T184" s="615" t="s">
        <v>2216</v>
      </c>
      <c r="U184" s="615" t="s">
        <v>3544</v>
      </c>
      <c r="V184" s="596"/>
      <c r="W184" s="596"/>
      <c r="X184" s="596"/>
      <c r="Y184" s="596"/>
      <c r="Z184" s="596"/>
      <c r="AA184" s="596"/>
    </row>
    <row r="185" spans="2:27" ht="12" customHeight="1">
      <c r="B185" s="761" t="s">
        <v>1331</v>
      </c>
      <c r="C185" s="761" t="s">
        <v>2638</v>
      </c>
      <c r="D185" s="761" t="s">
        <v>1902</v>
      </c>
      <c r="E185" s="765" t="s">
        <v>193</v>
      </c>
      <c r="F185" s="765" t="s">
        <v>3658</v>
      </c>
      <c r="G185" s="763" t="s">
        <v>1684</v>
      </c>
      <c r="H185" s="764" t="s">
        <v>500</v>
      </c>
      <c r="I185" s="681"/>
      <c r="J185" s="613" t="s">
        <v>2971</v>
      </c>
      <c r="K185" s="614"/>
      <c r="L185" s="609"/>
      <c r="M185" s="610"/>
      <c r="N185" s="615" t="s">
        <v>2970</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3658</v>
      </c>
      <c r="G186" s="763" t="s">
        <v>2688</v>
      </c>
      <c r="H186" s="764" t="s">
        <v>500</v>
      </c>
      <c r="I186" s="680"/>
      <c r="J186" s="613" t="s">
        <v>2973</v>
      </c>
      <c r="K186" s="614"/>
      <c r="L186" s="609"/>
      <c r="M186" s="610"/>
      <c r="N186" s="615" t="s">
        <v>2972</v>
      </c>
      <c r="O186" s="615" t="s">
        <v>222</v>
      </c>
      <c r="P186" s="497" t="s">
        <v>2229</v>
      </c>
      <c r="Q186" s="596"/>
      <c r="S186" s="596"/>
      <c r="T186" s="615" t="s">
        <v>3015</v>
      </c>
      <c r="U186" s="615" t="s">
        <v>115</v>
      </c>
      <c r="V186" s="596"/>
      <c r="W186" s="596"/>
      <c r="X186" s="596"/>
      <c r="Y186" s="596"/>
      <c r="Z186" s="596"/>
      <c r="AA186" s="596"/>
    </row>
    <row r="187" spans="2:27" ht="12" customHeight="1">
      <c r="B187" s="761" t="s">
        <v>1333</v>
      </c>
      <c r="C187" s="761" t="s">
        <v>1880</v>
      </c>
      <c r="D187" s="761" t="s">
        <v>1902</v>
      </c>
      <c r="E187" s="765" t="s">
        <v>1244</v>
      </c>
      <c r="F187" s="765" t="s">
        <v>3659</v>
      </c>
      <c r="G187" s="763" t="s">
        <v>3613</v>
      </c>
      <c r="H187" s="764" t="s">
        <v>501</v>
      </c>
      <c r="I187" s="681"/>
      <c r="J187" s="613" t="s">
        <v>2975</v>
      </c>
      <c r="K187" s="614"/>
      <c r="L187" s="609"/>
      <c r="M187" s="610"/>
      <c r="N187" s="615" t="s">
        <v>2974</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3659</v>
      </c>
      <c r="G188" s="763" t="s">
        <v>3613</v>
      </c>
      <c r="H188" s="764" t="s">
        <v>501</v>
      </c>
      <c r="I188" s="681"/>
      <c r="J188" s="613" t="s">
        <v>2977</v>
      </c>
      <c r="K188" s="614"/>
      <c r="L188" s="609"/>
      <c r="M188" s="610"/>
      <c r="N188" s="615" t="s">
        <v>2976</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3658</v>
      </c>
      <c r="G189" s="763" t="s">
        <v>3614</v>
      </c>
      <c r="H189" s="764" t="s">
        <v>500</v>
      </c>
      <c r="I189" s="680"/>
      <c r="J189" s="613" t="s">
        <v>2842</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3658</v>
      </c>
      <c r="G190" s="763" t="s">
        <v>3615</v>
      </c>
      <c r="H190" s="764" t="s">
        <v>500</v>
      </c>
      <c r="I190" s="680"/>
      <c r="J190" s="613" t="s">
        <v>218</v>
      </c>
      <c r="K190" s="616"/>
      <c r="L190" s="497"/>
      <c r="M190" s="610"/>
      <c r="N190" s="615" t="s">
        <v>2843</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3659</v>
      </c>
      <c r="G191" s="763" t="s">
        <v>3616</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3658</v>
      </c>
      <c r="G192" s="763" t="s">
        <v>3617</v>
      </c>
      <c r="H192" s="764" t="s">
        <v>500</v>
      </c>
      <c r="I192" s="681"/>
      <c r="J192" s="613" t="s">
        <v>617</v>
      </c>
      <c r="K192" s="614"/>
      <c r="L192" s="609"/>
      <c r="M192" s="610"/>
      <c r="N192" s="615" t="s">
        <v>221</v>
      </c>
      <c r="O192" s="615" t="s">
        <v>3377</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3659</v>
      </c>
      <c r="G193" s="763" t="s">
        <v>3618</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3659</v>
      </c>
      <c r="G194" s="763" t="s">
        <v>3619</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3659</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3658</v>
      </c>
      <c r="G196" s="763" t="s">
        <v>3637</v>
      </c>
      <c r="H196" s="764" t="s">
        <v>500</v>
      </c>
      <c r="I196" s="681"/>
      <c r="J196" s="613" t="s">
        <v>3176</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3659</v>
      </c>
      <c r="G197" s="763" t="s">
        <v>3638</v>
      </c>
      <c r="H197" s="764" t="s">
        <v>501</v>
      </c>
      <c r="I197" s="681"/>
      <c r="J197" s="613" t="s">
        <v>3178</v>
      </c>
      <c r="K197" s="614"/>
      <c r="L197" s="609"/>
      <c r="M197" s="610"/>
      <c r="N197" s="615" t="s">
        <v>3177</v>
      </c>
      <c r="O197" s="615" t="s">
        <v>3493</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3659</v>
      </c>
      <c r="G198" s="763" t="s">
        <v>1812</v>
      </c>
      <c r="H198" s="764" t="s">
        <v>501</v>
      </c>
      <c r="I198" s="681"/>
      <c r="J198" s="613" t="s">
        <v>442</v>
      </c>
      <c r="K198" s="614"/>
      <c r="L198" s="609"/>
      <c r="M198" s="610"/>
      <c r="N198" s="615" t="s">
        <v>2720</v>
      </c>
      <c r="O198" s="615" t="s">
        <v>3073</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3658</v>
      </c>
      <c r="G199" s="763" t="s">
        <v>1813</v>
      </c>
      <c r="H199" s="764" t="s">
        <v>500</v>
      </c>
      <c r="I199" s="680"/>
      <c r="J199" s="613" t="s">
        <v>444</v>
      </c>
      <c r="K199" s="614"/>
      <c r="L199" s="609"/>
      <c r="M199" s="610"/>
      <c r="N199" s="615" t="s">
        <v>443</v>
      </c>
      <c r="O199" s="615" t="s">
        <v>3073</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3658</v>
      </c>
      <c r="G200" s="763" t="s">
        <v>1814</v>
      </c>
      <c r="H200" s="764" t="s">
        <v>500</v>
      </c>
      <c r="I200" s="681"/>
      <c r="J200" s="613" t="s">
        <v>3571</v>
      </c>
      <c r="K200" s="614"/>
      <c r="L200" s="609"/>
      <c r="M200" s="610"/>
      <c r="N200" s="615" t="s">
        <v>3572</v>
      </c>
      <c r="O200" s="615" t="s">
        <v>3549</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3658</v>
      </c>
      <c r="G201" s="763" t="s">
        <v>2558</v>
      </c>
      <c r="H201" s="764" t="s">
        <v>500</v>
      </c>
      <c r="I201" s="680"/>
      <c r="J201" s="613" t="s">
        <v>3573</v>
      </c>
      <c r="K201" s="614"/>
      <c r="L201" s="609"/>
      <c r="M201" s="610"/>
      <c r="N201" s="615" t="s">
        <v>3574</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3659</v>
      </c>
      <c r="G202" s="763" t="s">
        <v>3613</v>
      </c>
      <c r="H202" s="764" t="s">
        <v>501</v>
      </c>
      <c r="I202" s="681"/>
      <c r="J202" s="613" t="s">
        <v>3575</v>
      </c>
      <c r="K202" s="614"/>
      <c r="L202" s="609"/>
      <c r="M202" s="610"/>
      <c r="N202" s="615" t="s">
        <v>3576</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3659</v>
      </c>
      <c r="G203" s="763" t="s">
        <v>2527</v>
      </c>
      <c r="H203" s="764" t="s">
        <v>501</v>
      </c>
      <c r="I203" s="681"/>
      <c r="J203" s="613" t="s">
        <v>3577</v>
      </c>
      <c r="K203" s="614"/>
      <c r="L203" s="609"/>
      <c r="M203" s="610"/>
      <c r="N203" s="615" t="s">
        <v>3578</v>
      </c>
      <c r="O203" s="615" t="s">
        <v>3490</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3658</v>
      </c>
      <c r="G204" s="763" t="s">
        <v>2528</v>
      </c>
      <c r="H204" s="764" t="s">
        <v>500</v>
      </c>
      <c r="I204" s="680"/>
      <c r="J204" s="613" t="s">
        <v>3579</v>
      </c>
      <c r="K204" s="614"/>
      <c r="L204" s="609"/>
      <c r="M204" s="610"/>
      <c r="N204" s="615" t="s">
        <v>3580</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3659</v>
      </c>
      <c r="G205" s="763" t="s">
        <v>2048</v>
      </c>
      <c r="H205" s="764" t="s">
        <v>501</v>
      </c>
      <c r="I205" s="681"/>
      <c r="J205" s="613" t="s">
        <v>3581</v>
      </c>
      <c r="K205" s="614"/>
      <c r="L205" s="609"/>
      <c r="M205" s="610"/>
      <c r="N205" s="615" t="s">
        <v>3583</v>
      </c>
      <c r="O205" s="615" t="s">
        <v>3630</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3659</v>
      </c>
      <c r="G206" s="763" t="s">
        <v>2529</v>
      </c>
      <c r="H206" s="764" t="s">
        <v>501</v>
      </c>
      <c r="I206" s="681"/>
      <c r="J206" s="613" t="s">
        <v>3582</v>
      </c>
      <c r="K206" s="614"/>
      <c r="L206" s="609"/>
      <c r="M206" s="610"/>
      <c r="N206" s="615" t="s">
        <v>3585</v>
      </c>
      <c r="O206" s="615" t="s">
        <v>2795</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3658</v>
      </c>
      <c r="G207" s="763" t="s">
        <v>2530</v>
      </c>
      <c r="H207" s="764" t="s">
        <v>500</v>
      </c>
      <c r="I207" s="680"/>
      <c r="J207" s="613" t="s">
        <v>3584</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3659</v>
      </c>
      <c r="G208" s="763" t="s">
        <v>3613</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2929</v>
      </c>
      <c r="F209" s="762" t="s">
        <v>3659</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3487</v>
      </c>
      <c r="D210" s="761" t="s">
        <v>1749</v>
      </c>
      <c r="E210" s="762" t="s">
        <v>3488</v>
      </c>
      <c r="F210" s="762" t="s">
        <v>3658</v>
      </c>
      <c r="G210" s="763" t="s">
        <v>880</v>
      </c>
      <c r="H210" s="764" t="s">
        <v>500</v>
      </c>
      <c r="I210" s="680"/>
      <c r="J210" s="613" t="s">
        <v>1261</v>
      </c>
      <c r="K210" s="616"/>
      <c r="L210" s="609"/>
      <c r="M210" s="610"/>
      <c r="N210" s="615" t="s">
        <v>2960</v>
      </c>
      <c r="O210" s="615" t="s">
        <v>1880</v>
      </c>
      <c r="P210" s="497" t="s">
        <v>2252</v>
      </c>
      <c r="Q210" s="1366"/>
      <c r="S210" s="596"/>
      <c r="T210" s="596"/>
      <c r="U210" s="596"/>
      <c r="V210" s="596"/>
      <c r="W210" s="596"/>
      <c r="X210" s="596"/>
      <c r="Y210" s="596"/>
      <c r="Z210" s="596"/>
      <c r="AA210" s="596"/>
    </row>
    <row r="211" spans="2:27" ht="12" customHeight="1">
      <c r="B211" s="761" t="s">
        <v>1914</v>
      </c>
      <c r="C211" s="761" t="s">
        <v>3489</v>
      </c>
      <c r="D211" s="761" t="s">
        <v>1902</v>
      </c>
      <c r="E211" s="765" t="s">
        <v>1244</v>
      </c>
      <c r="F211" s="765" t="s">
        <v>3659</v>
      </c>
      <c r="G211" s="763" t="s">
        <v>3613</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3490</v>
      </c>
      <c r="D212" s="761" t="s">
        <v>1749</v>
      </c>
      <c r="E212" s="762" t="s">
        <v>3491</v>
      </c>
      <c r="F212" s="762" t="s">
        <v>3658</v>
      </c>
      <c r="G212" s="763" t="s">
        <v>881</v>
      </c>
      <c r="H212" s="764" t="s">
        <v>500</v>
      </c>
      <c r="I212" s="680"/>
      <c r="J212" s="613" t="s">
        <v>2961</v>
      </c>
      <c r="K212" s="616"/>
      <c r="L212" s="609"/>
      <c r="M212" s="610"/>
      <c r="N212" s="615" t="s">
        <v>2963</v>
      </c>
      <c r="O212" s="615" t="s">
        <v>3492</v>
      </c>
      <c r="P212" s="497" t="s">
        <v>2253</v>
      </c>
      <c r="Q212" s="1366"/>
      <c r="S212" s="596"/>
      <c r="T212" s="596"/>
      <c r="U212" s="596"/>
      <c r="V212" s="596"/>
      <c r="W212" s="596"/>
      <c r="X212" s="596"/>
      <c r="Y212" s="596"/>
      <c r="Z212" s="596"/>
      <c r="AA212" s="596"/>
    </row>
    <row r="213" spans="2:27" ht="12" customHeight="1">
      <c r="B213" s="761" t="s">
        <v>1916</v>
      </c>
      <c r="C213" s="761" t="s">
        <v>3492</v>
      </c>
      <c r="D213" s="761" t="s">
        <v>1878</v>
      </c>
      <c r="E213" s="765" t="s">
        <v>1244</v>
      </c>
      <c r="F213" s="765" t="s">
        <v>3659</v>
      </c>
      <c r="G213" s="763" t="s">
        <v>3613</v>
      </c>
      <c r="H213" s="764" t="s">
        <v>501</v>
      </c>
      <c r="I213" s="681"/>
      <c r="J213" s="613" t="s">
        <v>2962</v>
      </c>
      <c r="K213" s="616"/>
      <c r="L213" s="609"/>
      <c r="M213" s="610"/>
      <c r="N213" s="615" t="s">
        <v>2880</v>
      </c>
      <c r="O213" s="615" t="s">
        <v>3069</v>
      </c>
      <c r="P213" s="497" t="s">
        <v>2254</v>
      </c>
      <c r="Q213" s="1366"/>
      <c r="S213" s="596"/>
      <c r="T213" s="596"/>
      <c r="U213" s="596"/>
      <c r="V213" s="596"/>
      <c r="W213" s="596"/>
      <c r="X213" s="596"/>
      <c r="Y213" s="596"/>
      <c r="Z213" s="596"/>
      <c r="AA213" s="596"/>
    </row>
    <row r="214" spans="2:27" ht="12" customHeight="1">
      <c r="B214" s="761" t="s">
        <v>1917</v>
      </c>
      <c r="C214" s="761" t="s">
        <v>3493</v>
      </c>
      <c r="D214" s="761" t="s">
        <v>1749</v>
      </c>
      <c r="E214" s="762" t="s">
        <v>3494</v>
      </c>
      <c r="F214" s="762" t="s">
        <v>3658</v>
      </c>
      <c r="G214" s="763" t="s">
        <v>882</v>
      </c>
      <c r="H214" s="764" t="s">
        <v>500</v>
      </c>
      <c r="I214" s="680"/>
      <c r="J214" s="613" t="s">
        <v>2964</v>
      </c>
      <c r="K214" s="616"/>
      <c r="L214" s="609"/>
      <c r="M214" s="610"/>
      <c r="N214" s="615" t="s">
        <v>2965</v>
      </c>
      <c r="O214" s="615" t="s">
        <v>397</v>
      </c>
      <c r="P214" s="497" t="s">
        <v>2255</v>
      </c>
      <c r="Q214" s="1366"/>
      <c r="S214" s="596"/>
      <c r="T214" s="596"/>
      <c r="U214" s="596"/>
      <c r="V214" s="596"/>
      <c r="W214" s="596"/>
      <c r="X214" s="596"/>
      <c r="Y214" s="596"/>
      <c r="Z214" s="596"/>
      <c r="AA214" s="596"/>
    </row>
    <row r="215" spans="2:27" ht="12" customHeight="1">
      <c r="B215" s="761" t="s">
        <v>1918</v>
      </c>
      <c r="C215" s="761" t="s">
        <v>3495</v>
      </c>
      <c r="D215" s="761" t="s">
        <v>1749</v>
      </c>
      <c r="E215" s="762" t="s">
        <v>3543</v>
      </c>
      <c r="F215" s="762" t="s">
        <v>3658</v>
      </c>
      <c r="G215" s="763" t="s">
        <v>883</v>
      </c>
      <c r="H215" s="764" t="s">
        <v>500</v>
      </c>
      <c r="I215" s="680"/>
      <c r="J215" s="613" t="s">
        <v>2996</v>
      </c>
      <c r="K215" s="616"/>
      <c r="L215" s="609"/>
      <c r="M215" s="610"/>
      <c r="N215" s="615" t="s">
        <v>2997</v>
      </c>
      <c r="O215" s="615" t="s">
        <v>887</v>
      </c>
      <c r="P215" s="497" t="s">
        <v>2256</v>
      </c>
      <c r="Q215" s="1366"/>
      <c r="S215" s="596"/>
      <c r="T215" s="596"/>
      <c r="U215" s="596"/>
      <c r="V215" s="596"/>
      <c r="W215" s="596"/>
      <c r="X215" s="596"/>
      <c r="Y215" s="596"/>
      <c r="Z215" s="596"/>
      <c r="AA215" s="596"/>
    </row>
    <row r="216" spans="2:27" ht="12" customHeight="1">
      <c r="B216" s="761" t="s">
        <v>1919</v>
      </c>
      <c r="C216" s="761" t="s">
        <v>3544</v>
      </c>
      <c r="D216" s="761" t="s">
        <v>1902</v>
      </c>
      <c r="E216" s="765" t="s">
        <v>1245</v>
      </c>
      <c r="F216" s="765" t="s">
        <v>3659</v>
      </c>
      <c r="G216" s="763" t="s">
        <v>3638</v>
      </c>
      <c r="H216" s="764" t="s">
        <v>501</v>
      </c>
      <c r="I216" s="681"/>
      <c r="J216" s="613" t="s">
        <v>2998</v>
      </c>
      <c r="K216" s="616"/>
      <c r="L216" s="609"/>
      <c r="M216" s="610"/>
      <c r="N216" s="615" t="s">
        <v>2999</v>
      </c>
      <c r="O216" s="615" t="s">
        <v>2384</v>
      </c>
      <c r="P216" s="497" t="s">
        <v>2257</v>
      </c>
      <c r="Q216" s="1366"/>
      <c r="S216" s="596"/>
      <c r="T216" s="596"/>
      <c r="U216" s="596"/>
      <c r="V216" s="596"/>
      <c r="W216" s="596"/>
      <c r="X216" s="596"/>
      <c r="Y216" s="596"/>
      <c r="Z216" s="596"/>
      <c r="AA216" s="596"/>
    </row>
    <row r="217" spans="2:27" ht="12" customHeight="1">
      <c r="B217" s="761" t="s">
        <v>1920</v>
      </c>
      <c r="C217" s="761" t="s">
        <v>3545</v>
      </c>
      <c r="D217" s="761" t="s">
        <v>1749</v>
      </c>
      <c r="E217" s="762" t="s">
        <v>3546</v>
      </c>
      <c r="F217" s="762" t="s">
        <v>3658</v>
      </c>
      <c r="G217" s="763" t="s">
        <v>884</v>
      </c>
      <c r="H217" s="764" t="s">
        <v>500</v>
      </c>
      <c r="I217" s="680"/>
      <c r="J217" s="613" t="s">
        <v>3000</v>
      </c>
      <c r="K217" s="616"/>
      <c r="L217" s="609"/>
      <c r="M217" s="610"/>
      <c r="N217" s="615" t="s">
        <v>3001</v>
      </c>
      <c r="O217" s="615" t="s">
        <v>235</v>
      </c>
      <c r="P217" s="497" t="s">
        <v>2258</v>
      </c>
      <c r="Q217" s="1366"/>
      <c r="S217" s="596"/>
      <c r="T217" s="596"/>
      <c r="U217" s="596"/>
      <c r="V217" s="596"/>
      <c r="W217" s="596"/>
      <c r="X217" s="596"/>
      <c r="Y217" s="596"/>
      <c r="Z217" s="596"/>
      <c r="AA217" s="596"/>
    </row>
    <row r="218" spans="2:27" ht="12" customHeight="1">
      <c r="B218" s="761" t="s">
        <v>1921</v>
      </c>
      <c r="C218" s="761" t="s">
        <v>3547</v>
      </c>
      <c r="D218" s="761" t="s">
        <v>1902</v>
      </c>
      <c r="E218" s="765" t="s">
        <v>1244</v>
      </c>
      <c r="F218" s="765" t="s">
        <v>3659</v>
      </c>
      <c r="G218" s="763" t="s">
        <v>3613</v>
      </c>
      <c r="H218" s="764" t="s">
        <v>501</v>
      </c>
      <c r="I218" s="681"/>
      <c r="J218" s="613" t="s">
        <v>3002</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3548</v>
      </c>
      <c r="D219" s="761" t="s">
        <v>1902</v>
      </c>
      <c r="E219" s="765" t="s">
        <v>1887</v>
      </c>
      <c r="F219" s="765" t="s">
        <v>3659</v>
      </c>
      <c r="G219" s="763" t="s">
        <v>3616</v>
      </c>
      <c r="H219" s="764" t="s">
        <v>501</v>
      </c>
      <c r="I219" s="681"/>
      <c r="J219" s="613" t="s">
        <v>3565</v>
      </c>
      <c r="K219" s="616"/>
      <c r="L219" s="609"/>
      <c r="M219" s="610"/>
      <c r="N219" s="615" t="s">
        <v>3566</v>
      </c>
      <c r="O219" s="615" t="s">
        <v>201</v>
      </c>
      <c r="P219" s="497" t="s">
        <v>2260</v>
      </c>
      <c r="Q219" s="1366"/>
      <c r="S219" s="596"/>
      <c r="T219" s="596"/>
      <c r="U219" s="596"/>
      <c r="V219" s="596"/>
      <c r="W219" s="596"/>
      <c r="X219" s="596"/>
      <c r="Y219" s="596"/>
      <c r="Z219" s="596"/>
      <c r="AA219" s="596"/>
    </row>
    <row r="220" spans="2:27" ht="12" customHeight="1">
      <c r="B220" s="761" t="s">
        <v>1923</v>
      </c>
      <c r="C220" s="761" t="s">
        <v>3549</v>
      </c>
      <c r="D220" s="761" t="s">
        <v>1749</v>
      </c>
      <c r="E220" s="762" t="s">
        <v>232</v>
      </c>
      <c r="F220" s="762" t="s">
        <v>3658</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3659</v>
      </c>
      <c r="G221" s="763" t="s">
        <v>2527</v>
      </c>
      <c r="H221" s="764" t="s">
        <v>501</v>
      </c>
      <c r="I221" s="681"/>
      <c r="J221" s="613" t="s">
        <v>2884</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3659</v>
      </c>
      <c r="G222" s="763" t="s">
        <v>3613</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3658</v>
      </c>
      <c r="G223" s="763" t="s">
        <v>886</v>
      </c>
      <c r="H223" s="764" t="s">
        <v>500</v>
      </c>
      <c r="I223" s="680"/>
      <c r="J223" s="613" t="s">
        <v>3148</v>
      </c>
      <c r="K223" s="616"/>
      <c r="L223" s="609"/>
      <c r="M223" s="610"/>
      <c r="N223" s="615" t="s">
        <v>3149</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3659</v>
      </c>
      <c r="G224" s="763" t="s">
        <v>3613</v>
      </c>
      <c r="H224" s="764" t="s">
        <v>501</v>
      </c>
      <c r="I224" s="681"/>
      <c r="J224" s="613" t="s">
        <v>3150</v>
      </c>
      <c r="K224" s="616"/>
      <c r="L224" s="609"/>
      <c r="M224" s="610"/>
      <c r="N224" s="615" t="s">
        <v>3151</v>
      </c>
      <c r="O224" s="615" t="s">
        <v>3157</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3658</v>
      </c>
      <c r="G225" s="763" t="s">
        <v>2838</v>
      </c>
      <c r="H225" s="764" t="s">
        <v>500</v>
      </c>
      <c r="I225" s="680"/>
      <c r="J225" s="613" t="s">
        <v>3152</v>
      </c>
      <c r="K225" s="616"/>
      <c r="L225" s="609"/>
      <c r="M225" s="610"/>
      <c r="N225" s="497" t="s">
        <v>3592</v>
      </c>
      <c r="O225" s="497" t="s">
        <v>887</v>
      </c>
      <c r="P225" s="1368" t="s">
        <v>3033</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3658</v>
      </c>
      <c r="G226" s="763" t="s">
        <v>2839</v>
      </c>
      <c r="H226" s="764" t="s">
        <v>500</v>
      </c>
      <c r="I226" s="680"/>
      <c r="J226" s="613" t="s">
        <v>3184</v>
      </c>
      <c r="K226" s="616"/>
      <c r="L226" s="609"/>
      <c r="M226" s="610"/>
      <c r="N226" s="615" t="s">
        <v>3153</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3659</v>
      </c>
      <c r="G227" s="763" t="s">
        <v>1683</v>
      </c>
      <c r="H227" s="764" t="s">
        <v>501</v>
      </c>
      <c r="I227" s="681"/>
      <c r="J227" s="613" t="s">
        <v>2628</v>
      </c>
      <c r="K227" s="616"/>
      <c r="L227" s="609"/>
      <c r="M227" s="610"/>
      <c r="N227" s="615" t="s">
        <v>2603</v>
      </c>
      <c r="O227" s="615" t="s">
        <v>3495</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3659</v>
      </c>
      <c r="G228" s="763" t="s">
        <v>3613</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3658</v>
      </c>
      <c r="G229" s="763" t="s">
        <v>2840</v>
      </c>
      <c r="H229" s="764" t="s">
        <v>500</v>
      </c>
      <c r="I229" s="680"/>
      <c r="J229" s="613" t="s">
        <v>3052</v>
      </c>
      <c r="K229" s="616"/>
      <c r="L229" s="609"/>
      <c r="M229" s="610"/>
      <c r="N229" s="615" t="s">
        <v>2631</v>
      </c>
      <c r="O229" s="615" t="s">
        <v>2890</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3659</v>
      </c>
      <c r="G230" s="763" t="s">
        <v>3619</v>
      </c>
      <c r="H230" s="764" t="s">
        <v>501</v>
      </c>
      <c r="I230" s="680"/>
      <c r="J230" s="613" t="s">
        <v>3053</v>
      </c>
      <c r="K230" s="616"/>
      <c r="L230" s="609"/>
      <c r="M230" s="610"/>
      <c r="N230" s="615" t="s">
        <v>1312</v>
      </c>
      <c r="O230" s="615" t="s">
        <v>3627</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3659</v>
      </c>
      <c r="G231" s="763" t="s">
        <v>2048</v>
      </c>
      <c r="H231" s="764" t="s">
        <v>501</v>
      </c>
      <c r="I231" s="681"/>
      <c r="J231" s="613" t="s">
        <v>3429</v>
      </c>
      <c r="K231" s="614"/>
      <c r="L231" s="609"/>
      <c r="M231" s="610"/>
      <c r="N231" s="615" t="s">
        <v>3054</v>
      </c>
      <c r="O231" s="615" t="s">
        <v>3629</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3658</v>
      </c>
      <c r="G232" s="763" t="s">
        <v>1903</v>
      </c>
      <c r="H232" s="764" t="s">
        <v>500</v>
      </c>
      <c r="I232" s="680"/>
      <c r="J232" s="613" t="s">
        <v>3431</v>
      </c>
      <c r="K232" s="614"/>
      <c r="L232" s="609"/>
      <c r="M232" s="610"/>
      <c r="N232" s="615" t="s">
        <v>3430</v>
      </c>
      <c r="O232" s="615" t="s">
        <v>1607</v>
      </c>
      <c r="P232" s="497" t="s">
        <v>2271</v>
      </c>
      <c r="Q232" s="1366"/>
      <c r="S232" s="596"/>
      <c r="T232" s="596"/>
      <c r="U232" s="596"/>
      <c r="V232" s="596"/>
      <c r="W232" s="596"/>
      <c r="X232" s="596"/>
      <c r="Y232" s="596"/>
      <c r="Z232" s="596"/>
      <c r="AA232" s="596"/>
    </row>
    <row r="233" spans="2:27" ht="12" customHeight="1">
      <c r="B233" s="766"/>
      <c r="C233" s="761" t="s">
        <v>3155</v>
      </c>
      <c r="D233" s="761" t="s">
        <v>1749</v>
      </c>
      <c r="E233" s="762" t="s">
        <v>3156</v>
      </c>
      <c r="F233" s="762" t="s">
        <v>3658</v>
      </c>
      <c r="G233" s="763" t="s">
        <v>1904</v>
      </c>
      <c r="H233" s="764" t="s">
        <v>500</v>
      </c>
      <c r="I233" s="680"/>
      <c r="J233" s="613" t="s">
        <v>3433</v>
      </c>
      <c r="K233" s="614"/>
      <c r="L233" s="609"/>
      <c r="M233" s="610"/>
      <c r="N233" s="497" t="s">
        <v>3593</v>
      </c>
      <c r="O233" s="497" t="s">
        <v>388</v>
      </c>
      <c r="P233" s="1368" t="s">
        <v>3033</v>
      </c>
      <c r="Q233" s="1366"/>
      <c r="S233" s="596"/>
      <c r="T233" s="596"/>
      <c r="U233" s="596"/>
      <c r="V233" s="596"/>
      <c r="W233" s="596"/>
      <c r="X233" s="596"/>
      <c r="Y233" s="596"/>
      <c r="Z233" s="596"/>
      <c r="AA233" s="596"/>
    </row>
    <row r="234" spans="2:27" ht="12" customHeight="1">
      <c r="B234" s="766"/>
      <c r="C234" s="761" t="s">
        <v>3157</v>
      </c>
      <c r="D234" s="761" t="s">
        <v>1749</v>
      </c>
      <c r="E234" s="762" t="s">
        <v>920</v>
      </c>
      <c r="F234" s="762" t="s">
        <v>3658</v>
      </c>
      <c r="G234" s="763" t="s">
        <v>1905</v>
      </c>
      <c r="H234" s="764" t="s">
        <v>500</v>
      </c>
      <c r="I234" s="680"/>
      <c r="J234" s="613" t="s">
        <v>3435</v>
      </c>
      <c r="K234" s="614"/>
      <c r="L234" s="609"/>
      <c r="M234" s="610"/>
      <c r="N234" s="615" t="s">
        <v>3432</v>
      </c>
      <c r="O234" s="615" t="s">
        <v>2798</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3658</v>
      </c>
      <c r="G235" s="763" t="s">
        <v>1906</v>
      </c>
      <c r="H235" s="764" t="s">
        <v>500</v>
      </c>
      <c r="I235" s="680"/>
      <c r="J235" s="613" t="s">
        <v>3436</v>
      </c>
      <c r="K235" s="614"/>
      <c r="L235" s="609"/>
      <c r="M235" s="610"/>
      <c r="N235" s="615" t="s">
        <v>3434</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3659</v>
      </c>
      <c r="G236" s="763" t="s">
        <v>3613</v>
      </c>
      <c r="H236" s="764" t="s">
        <v>501</v>
      </c>
      <c r="I236" s="681"/>
      <c r="J236" s="613" t="s">
        <v>3140</v>
      </c>
      <c r="K236" s="614"/>
      <c r="L236" s="609"/>
      <c r="M236" s="610"/>
      <c r="N236" s="615" t="s">
        <v>3437</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3183</v>
      </c>
      <c r="F237" s="765" t="s">
        <v>3659</v>
      </c>
      <c r="G237" s="763" t="s">
        <v>1907</v>
      </c>
      <c r="H237" s="764" t="s">
        <v>501</v>
      </c>
      <c r="I237" s="681"/>
      <c r="J237" s="613" t="s">
        <v>983</v>
      </c>
      <c r="K237" s="614"/>
      <c r="L237" s="609"/>
      <c r="M237" s="610"/>
      <c r="N237" s="615" t="s">
        <v>3141</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3659</v>
      </c>
      <c r="G238" s="763" t="s">
        <v>3613</v>
      </c>
      <c r="H238" s="764" t="s">
        <v>501</v>
      </c>
      <c r="I238" s="681"/>
      <c r="J238" s="613" t="s">
        <v>985</v>
      </c>
      <c r="K238" s="614"/>
      <c r="L238" s="609"/>
      <c r="M238" s="610"/>
      <c r="N238" s="615" t="s">
        <v>984</v>
      </c>
      <c r="O238" s="615" t="s">
        <v>3487</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3658</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3659</v>
      </c>
      <c r="G240" s="763" t="s">
        <v>3613</v>
      </c>
      <c r="H240" s="764" t="s">
        <v>501</v>
      </c>
      <c r="I240" s="681"/>
      <c r="J240" s="613" t="s">
        <v>989</v>
      </c>
      <c r="K240" s="614"/>
      <c r="L240" s="609"/>
      <c r="M240" s="610"/>
      <c r="N240" s="615" t="s">
        <v>988</v>
      </c>
      <c r="O240" s="615" t="s">
        <v>3629</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3658</v>
      </c>
      <c r="G241" s="763" t="s">
        <v>286</v>
      </c>
      <c r="H241" s="764" t="s">
        <v>500</v>
      </c>
      <c r="I241" s="680"/>
      <c r="J241" s="613" t="s">
        <v>3131</v>
      </c>
      <c r="K241" s="614"/>
      <c r="L241" s="609"/>
      <c r="M241" s="610"/>
      <c r="N241" s="497" t="s">
        <v>3594</v>
      </c>
      <c r="O241" s="497" t="s">
        <v>3489</v>
      </c>
      <c r="P241" s="1368" t="s">
        <v>3033</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3658</v>
      </c>
      <c r="G242" s="763" t="s">
        <v>287</v>
      </c>
      <c r="H242" s="764" t="s">
        <v>500</v>
      </c>
      <c r="I242" s="681"/>
      <c r="J242" s="613" t="s">
        <v>3132</v>
      </c>
      <c r="K242" s="614"/>
      <c r="L242" s="609"/>
      <c r="M242" s="610"/>
      <c r="N242" s="615" t="s">
        <v>3133</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3659</v>
      </c>
      <c r="G243" s="763" t="s">
        <v>3618</v>
      </c>
      <c r="H243" s="764" t="s">
        <v>501</v>
      </c>
      <c r="I243" s="680"/>
      <c r="J243" s="613" t="s">
        <v>3134</v>
      </c>
      <c r="K243" s="614"/>
      <c r="L243" s="609"/>
      <c r="M243" s="610"/>
      <c r="N243" s="615" t="s">
        <v>3135</v>
      </c>
      <c r="O243" s="615" t="s">
        <v>3623</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3658</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3658</v>
      </c>
      <c r="G245" s="763" t="s">
        <v>479</v>
      </c>
      <c r="H245" s="764" t="s">
        <v>500</v>
      </c>
      <c r="I245" s="680"/>
      <c r="J245" s="613" t="s">
        <v>1275</v>
      </c>
      <c r="K245" s="614"/>
      <c r="L245" s="609"/>
      <c r="M245" s="610"/>
      <c r="N245" s="615" t="s">
        <v>3185</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3658</v>
      </c>
      <c r="G246" s="763" t="s">
        <v>480</v>
      </c>
      <c r="H246" s="764" t="s">
        <v>500</v>
      </c>
      <c r="I246" s="680"/>
      <c r="J246" s="613" t="s">
        <v>3186</v>
      </c>
      <c r="K246" s="614"/>
      <c r="L246" s="609"/>
      <c r="M246" s="610"/>
      <c r="N246" s="615" t="s">
        <v>3255</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3659</v>
      </c>
      <c r="G247" s="763" t="s">
        <v>3613</v>
      </c>
      <c r="H247" s="764" t="s">
        <v>501</v>
      </c>
      <c r="I247" s="681"/>
      <c r="J247" s="613" t="s">
        <v>3219</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3658</v>
      </c>
      <c r="G248" s="763" t="s">
        <v>481</v>
      </c>
      <c r="H248" s="764" t="s">
        <v>500</v>
      </c>
      <c r="I248" s="680"/>
      <c r="J248" s="613" t="s">
        <v>51</v>
      </c>
      <c r="K248" s="614"/>
      <c r="L248" s="609"/>
      <c r="M248" s="610"/>
      <c r="N248" s="615" t="s">
        <v>893</v>
      </c>
      <c r="O248" s="615" t="s">
        <v>3631</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3659</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3658</v>
      </c>
      <c r="G250" s="763" t="s">
        <v>483</v>
      </c>
      <c r="H250" s="764" t="s">
        <v>500</v>
      </c>
      <c r="I250" s="680"/>
      <c r="J250" s="613" t="s">
        <v>371</v>
      </c>
      <c r="K250" s="614"/>
      <c r="L250" s="609"/>
      <c r="M250" s="610"/>
      <c r="N250" s="615" t="s">
        <v>3340</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3659</v>
      </c>
      <c r="G251" s="763" t="s">
        <v>484</v>
      </c>
      <c r="H251" s="764" t="s">
        <v>501</v>
      </c>
      <c r="I251" s="681"/>
      <c r="J251" s="613" t="s">
        <v>3339</v>
      </c>
      <c r="K251" s="614"/>
      <c r="L251" s="609"/>
      <c r="M251" s="610"/>
      <c r="N251" s="615" t="s">
        <v>3371</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3659</v>
      </c>
      <c r="G252" s="763" t="s">
        <v>2529</v>
      </c>
      <c r="H252" s="764" t="s">
        <v>501</v>
      </c>
      <c r="I252" s="681"/>
      <c r="J252" s="613" t="s">
        <v>3370</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3658</v>
      </c>
      <c r="G253" s="763" t="s">
        <v>485</v>
      </c>
      <c r="H253" s="764" t="s">
        <v>500</v>
      </c>
      <c r="I253" s="680"/>
      <c r="J253" s="613" t="s">
        <v>3372</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3659</v>
      </c>
      <c r="G254" s="763" t="s">
        <v>3613</v>
      </c>
      <c r="H254" s="764" t="s">
        <v>501</v>
      </c>
      <c r="I254" s="681"/>
      <c r="J254" s="613" t="s">
        <v>3373</v>
      </c>
      <c r="K254" s="614"/>
      <c r="L254" s="609"/>
      <c r="M254" s="610"/>
      <c r="N254" s="615" t="s">
        <v>3329</v>
      </c>
      <c r="O254" s="615" t="s">
        <v>3493</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3659</v>
      </c>
      <c r="G255" s="763" t="s">
        <v>3613</v>
      </c>
      <c r="H255" s="764" t="s">
        <v>501</v>
      </c>
      <c r="I255" s="681"/>
      <c r="J255" s="613" t="s">
        <v>3328</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3659</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3658</v>
      </c>
      <c r="G257" s="763" t="s">
        <v>913</v>
      </c>
      <c r="H257" s="764" t="s">
        <v>500</v>
      </c>
      <c r="I257" s="680"/>
      <c r="J257" s="613" t="s">
        <v>13</v>
      </c>
      <c r="K257" s="614"/>
      <c r="L257" s="609"/>
      <c r="M257" s="610"/>
      <c r="N257" s="615" t="s">
        <v>63</v>
      </c>
      <c r="O257" s="615" t="s">
        <v>3623</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3658</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3659</v>
      </c>
      <c r="G259" s="763" t="s">
        <v>3613</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3658</v>
      </c>
      <c r="G260" s="763" t="s">
        <v>915</v>
      </c>
      <c r="H260" s="764" t="s">
        <v>500</v>
      </c>
      <c r="I260" s="680"/>
      <c r="J260" s="613" t="s">
        <v>66</v>
      </c>
      <c r="K260" s="614"/>
      <c r="L260" s="609"/>
      <c r="M260" s="610"/>
      <c r="N260" s="615" t="s">
        <v>424</v>
      </c>
      <c r="O260" s="615" t="s">
        <v>3081</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3658</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3658</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3658</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3659</v>
      </c>
      <c r="G264" s="763" t="s">
        <v>3616</v>
      </c>
      <c r="H264" s="764" t="s">
        <v>501</v>
      </c>
      <c r="I264" s="681"/>
      <c r="J264" s="613" t="s">
        <v>3207</v>
      </c>
      <c r="K264" s="614"/>
      <c r="L264" s="609"/>
      <c r="M264" s="610"/>
      <c r="N264" s="615" t="s">
        <v>3208</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3659</v>
      </c>
      <c r="G265" s="763" t="s">
        <v>329</v>
      </c>
      <c r="H265" s="764" t="s">
        <v>501</v>
      </c>
      <c r="I265" s="681"/>
      <c r="J265" s="613" t="s">
        <v>3209</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3659</v>
      </c>
      <c r="G266" s="763" t="s">
        <v>3619</v>
      </c>
      <c r="H266" s="764" t="s">
        <v>501</v>
      </c>
      <c r="I266" s="680"/>
      <c r="J266" s="613" t="s">
        <v>3210</v>
      </c>
      <c r="K266" s="614"/>
      <c r="L266" s="609"/>
      <c r="M266" s="610"/>
      <c r="N266" s="615" t="s">
        <v>3212</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3658</v>
      </c>
      <c r="G267" s="763" t="s">
        <v>330</v>
      </c>
      <c r="H267" s="764" t="s">
        <v>500</v>
      </c>
      <c r="I267" s="680"/>
      <c r="J267" s="613" t="s">
        <v>3211</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3659</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3659</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3658</v>
      </c>
      <c r="G270" s="763" t="s">
        <v>3538</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3659</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3659</v>
      </c>
      <c r="G272" s="763" t="s">
        <v>3619</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3658</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3658</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2929</v>
      </c>
      <c r="F275" s="762" t="s">
        <v>3659</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3659</v>
      </c>
      <c r="G276" s="763" t="s">
        <v>2529</v>
      </c>
      <c r="H276" s="764" t="s">
        <v>501</v>
      </c>
      <c r="I276" s="681"/>
      <c r="J276" s="613" t="s">
        <v>1529</v>
      </c>
      <c r="K276" s="614"/>
      <c r="L276" s="609"/>
      <c r="M276" s="610"/>
      <c r="N276" s="615" t="s">
        <v>283</v>
      </c>
      <c r="O276" s="615" t="s">
        <v>3545</v>
      </c>
      <c r="P276" s="497" t="s">
        <v>2313</v>
      </c>
      <c r="Q276" s="1366"/>
      <c r="S276" s="596"/>
      <c r="T276" s="596"/>
      <c r="U276" s="596"/>
      <c r="V276" s="596"/>
      <c r="W276" s="596"/>
      <c r="X276" s="596"/>
      <c r="Y276" s="596"/>
      <c r="Z276" s="596"/>
      <c r="AA276" s="596"/>
    </row>
    <row r="277" spans="2:27" ht="12" customHeight="1">
      <c r="B277" s="766"/>
      <c r="C277" s="761" t="s">
        <v>2753</v>
      </c>
      <c r="D277" s="761" t="s">
        <v>1902</v>
      </c>
      <c r="E277" s="765" t="s">
        <v>1245</v>
      </c>
      <c r="F277" s="765" t="s">
        <v>3659</v>
      </c>
      <c r="G277" s="763" t="s">
        <v>3638</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2754</v>
      </c>
      <c r="D278" s="761" t="s">
        <v>1749</v>
      </c>
      <c r="E278" s="762" t="s">
        <v>12</v>
      </c>
      <c r="F278" s="762" t="s">
        <v>3659</v>
      </c>
      <c r="G278" s="763" t="s">
        <v>3618</v>
      </c>
      <c r="H278" s="764" t="s">
        <v>501</v>
      </c>
      <c r="I278" s="680"/>
      <c r="J278" s="613" t="s">
        <v>282</v>
      </c>
      <c r="K278" s="614"/>
      <c r="L278" s="609"/>
      <c r="M278" s="610"/>
      <c r="N278" s="615" t="s">
        <v>2949</v>
      </c>
      <c r="O278" s="615" t="s">
        <v>389</v>
      </c>
      <c r="P278" s="497" t="s">
        <v>2315</v>
      </c>
      <c r="Q278" s="1366"/>
      <c r="S278" s="596"/>
      <c r="T278" s="596"/>
      <c r="U278" s="596"/>
      <c r="V278" s="596"/>
      <c r="W278" s="596"/>
      <c r="X278" s="596"/>
      <c r="Y278" s="596"/>
      <c r="Z278" s="596"/>
      <c r="AA278" s="596"/>
    </row>
    <row r="279" spans="2:27" ht="12" customHeight="1">
      <c r="B279" s="766"/>
      <c r="C279" s="761" t="s">
        <v>2755</v>
      </c>
      <c r="D279" s="761" t="s">
        <v>1902</v>
      </c>
      <c r="E279" s="765" t="s">
        <v>1249</v>
      </c>
      <c r="F279" s="765" t="s">
        <v>3659</v>
      </c>
      <c r="G279" s="763" t="s">
        <v>970</v>
      </c>
      <c r="H279" s="764" t="s">
        <v>501</v>
      </c>
      <c r="I279" s="681"/>
      <c r="J279" s="613" t="s">
        <v>284</v>
      </c>
      <c r="K279" s="614"/>
      <c r="L279" s="609"/>
      <c r="M279" s="610"/>
      <c r="N279" s="615" t="s">
        <v>2951</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3658</v>
      </c>
      <c r="G280" s="763" t="s">
        <v>971</v>
      </c>
      <c r="H280" s="764" t="s">
        <v>500</v>
      </c>
      <c r="I280" s="680"/>
      <c r="J280" s="613" t="s">
        <v>1818</v>
      </c>
      <c r="K280" s="614"/>
      <c r="L280" s="609"/>
      <c r="M280" s="610"/>
      <c r="N280" s="615" t="s">
        <v>2953</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3658</v>
      </c>
      <c r="G281" s="763" t="s">
        <v>972</v>
      </c>
      <c r="H281" s="764" t="s">
        <v>500</v>
      </c>
      <c r="I281" s="680"/>
      <c r="J281" s="613" t="s">
        <v>2948</v>
      </c>
      <c r="K281" s="614"/>
      <c r="L281" s="609"/>
      <c r="M281" s="610"/>
      <c r="N281" s="615" t="s">
        <v>2955</v>
      </c>
      <c r="O281" s="615" t="s">
        <v>3625</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2928</v>
      </c>
      <c r="F282" s="765" t="s">
        <v>3659</v>
      </c>
      <c r="G282" s="763" t="s">
        <v>973</v>
      </c>
      <c r="H282" s="764" t="s">
        <v>501</v>
      </c>
      <c r="I282" s="681"/>
      <c r="J282" s="613" t="s">
        <v>2950</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3658</v>
      </c>
      <c r="G283" s="763" t="s">
        <v>974</v>
      </c>
      <c r="H283" s="764" t="s">
        <v>500</v>
      </c>
      <c r="I283" s="680"/>
      <c r="J283" s="613" t="s">
        <v>2952</v>
      </c>
      <c r="K283" s="614"/>
      <c r="L283" s="609"/>
      <c r="M283" s="610"/>
      <c r="N283" s="497" t="s">
        <v>3596</v>
      </c>
      <c r="O283" s="497" t="s">
        <v>2889</v>
      </c>
      <c r="P283" s="1368" t="s">
        <v>3033</v>
      </c>
      <c r="Q283" s="1366"/>
      <c r="S283" s="596"/>
      <c r="T283" s="596"/>
      <c r="U283" s="596"/>
      <c r="V283" s="596"/>
      <c r="W283" s="596"/>
      <c r="X283" s="596"/>
      <c r="Y283" s="596"/>
      <c r="Z283" s="596"/>
      <c r="AA283" s="596"/>
    </row>
    <row r="284" spans="2:27" ht="12" customHeight="1">
      <c r="B284" s="766"/>
      <c r="C284" s="761" t="s">
        <v>3623</v>
      </c>
      <c r="D284" s="761" t="s">
        <v>1902</v>
      </c>
      <c r="E284" s="765" t="s">
        <v>3624</v>
      </c>
      <c r="F284" s="765" t="s">
        <v>3658</v>
      </c>
      <c r="G284" s="763" t="s">
        <v>975</v>
      </c>
      <c r="H284" s="764" t="s">
        <v>500</v>
      </c>
      <c r="I284" s="681"/>
      <c r="J284" s="613" t="s">
        <v>2954</v>
      </c>
      <c r="K284" s="614"/>
      <c r="L284" s="609"/>
      <c r="M284" s="610"/>
      <c r="N284" s="615" t="s">
        <v>2957</v>
      </c>
      <c r="O284" s="615" t="s">
        <v>238</v>
      </c>
      <c r="P284" s="497" t="s">
        <v>2320</v>
      </c>
      <c r="Q284" s="1366"/>
      <c r="S284" s="596"/>
      <c r="T284" s="596"/>
      <c r="U284" s="596"/>
      <c r="V284" s="596"/>
      <c r="W284" s="596"/>
      <c r="X284" s="596"/>
      <c r="Y284" s="596"/>
      <c r="Z284" s="596"/>
      <c r="AA284" s="596"/>
    </row>
    <row r="285" spans="2:27" ht="12" customHeight="1">
      <c r="B285" s="766"/>
      <c r="C285" s="761" t="s">
        <v>3625</v>
      </c>
      <c r="D285" s="761" t="s">
        <v>1878</v>
      </c>
      <c r="E285" s="762" t="s">
        <v>3626</v>
      </c>
      <c r="F285" s="762" t="s">
        <v>3659</v>
      </c>
      <c r="G285" s="763" t="s">
        <v>2831</v>
      </c>
      <c r="H285" s="764" t="s">
        <v>501</v>
      </c>
      <c r="I285" s="680"/>
      <c r="J285" s="613" t="s">
        <v>2956</v>
      </c>
      <c r="K285" s="614"/>
      <c r="L285" s="609"/>
      <c r="M285" s="610"/>
      <c r="N285" s="615" t="s">
        <v>2959</v>
      </c>
      <c r="O285" s="615" t="s">
        <v>238</v>
      </c>
      <c r="P285" s="497" t="s">
        <v>2321</v>
      </c>
      <c r="Q285" s="1366"/>
      <c r="S285" s="596"/>
      <c r="T285" s="596"/>
      <c r="U285" s="596"/>
      <c r="V285" s="596"/>
      <c r="W285" s="596"/>
      <c r="X285" s="596"/>
      <c r="Y285" s="596"/>
      <c r="Z285" s="596"/>
      <c r="AA285" s="596"/>
    </row>
    <row r="286" spans="2:27" ht="12" customHeight="1">
      <c r="B286" s="766"/>
      <c r="C286" s="761" t="s">
        <v>3627</v>
      </c>
      <c r="D286" s="761" t="s">
        <v>1902</v>
      </c>
      <c r="E286" s="765" t="s">
        <v>198</v>
      </c>
      <c r="F286" s="765" t="s">
        <v>3659</v>
      </c>
      <c r="G286" s="763" t="s">
        <v>2529</v>
      </c>
      <c r="H286" s="764" t="s">
        <v>501</v>
      </c>
      <c r="I286" s="681"/>
      <c r="J286" s="613" t="s">
        <v>2958</v>
      </c>
      <c r="K286" s="614"/>
      <c r="L286" s="609"/>
      <c r="M286" s="610"/>
      <c r="N286" s="615" t="s">
        <v>942</v>
      </c>
      <c r="O286" s="615" t="s">
        <v>2889</v>
      </c>
      <c r="P286" s="497" t="s">
        <v>2322</v>
      </c>
      <c r="Q286" s="1366"/>
      <c r="S286" s="596"/>
      <c r="T286" s="596"/>
      <c r="U286" s="596"/>
      <c r="V286" s="596"/>
      <c r="W286" s="596"/>
      <c r="X286" s="596"/>
      <c r="Y286" s="596"/>
      <c r="Z286" s="596"/>
      <c r="AA286" s="596"/>
    </row>
    <row r="287" spans="2:27" ht="12" customHeight="1">
      <c r="B287" s="766"/>
      <c r="C287" s="761" t="s">
        <v>3628</v>
      </c>
      <c r="D287" s="761" t="s">
        <v>1902</v>
      </c>
      <c r="E287" s="765" t="s">
        <v>1244</v>
      </c>
      <c r="F287" s="765" t="s">
        <v>3659</v>
      </c>
      <c r="G287" s="763" t="s">
        <v>3613</v>
      </c>
      <c r="H287" s="764" t="s">
        <v>501</v>
      </c>
      <c r="I287" s="681"/>
      <c r="J287" s="613" t="s">
        <v>941</v>
      </c>
      <c r="K287" s="614"/>
      <c r="L287" s="609"/>
      <c r="M287" s="610"/>
      <c r="N287" s="615" t="s">
        <v>3254</v>
      </c>
      <c r="O287" s="615" t="s">
        <v>131</v>
      </c>
      <c r="P287" s="497" t="s">
        <v>2323</v>
      </c>
      <c r="Q287" s="1366"/>
      <c r="S287" s="596"/>
      <c r="T287" s="596"/>
      <c r="U287" s="596"/>
      <c r="V287" s="596"/>
      <c r="W287" s="596"/>
      <c r="X287" s="596"/>
      <c r="Y287" s="596"/>
      <c r="Z287" s="596"/>
      <c r="AA287" s="596"/>
    </row>
    <row r="288" spans="2:27" ht="12" customHeight="1">
      <c r="B288" s="766"/>
      <c r="C288" s="761" t="s">
        <v>3629</v>
      </c>
      <c r="D288" s="761" t="s">
        <v>1902</v>
      </c>
      <c r="E288" s="762" t="s">
        <v>2929</v>
      </c>
      <c r="F288" s="762" t="s">
        <v>3659</v>
      </c>
      <c r="G288" s="763" t="s">
        <v>879</v>
      </c>
      <c r="H288" s="764" t="s">
        <v>501</v>
      </c>
      <c r="I288" s="680"/>
      <c r="J288" s="613" t="s">
        <v>3252</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3630</v>
      </c>
      <c r="D289" s="761" t="s">
        <v>1902</v>
      </c>
      <c r="E289" s="762" t="s">
        <v>2929</v>
      </c>
      <c r="F289" s="762" t="s">
        <v>3659</v>
      </c>
      <c r="G289" s="763" t="s">
        <v>879</v>
      </c>
      <c r="H289" s="764" t="s">
        <v>501</v>
      </c>
      <c r="I289" s="680"/>
      <c r="J289" s="613" t="s">
        <v>3253</v>
      </c>
      <c r="K289" s="614"/>
      <c r="L289" s="609"/>
      <c r="M289" s="610"/>
      <c r="N289" s="615" t="s">
        <v>1801</v>
      </c>
      <c r="O289" s="615" t="s">
        <v>3157</v>
      </c>
      <c r="P289" s="497" t="s">
        <v>2325</v>
      </c>
      <c r="Q289" s="1366"/>
      <c r="S289" s="596"/>
      <c r="T289" s="596"/>
      <c r="U289" s="596"/>
      <c r="V289" s="596"/>
      <c r="W289" s="596"/>
      <c r="X289" s="596"/>
      <c r="Y289" s="596"/>
      <c r="Z289" s="596"/>
      <c r="AA289" s="596"/>
    </row>
    <row r="290" spans="2:27" ht="12" customHeight="1">
      <c r="B290" s="766"/>
      <c r="C290" s="761" t="s">
        <v>3631</v>
      </c>
      <c r="D290" s="761" t="s">
        <v>1878</v>
      </c>
      <c r="E290" s="765" t="s">
        <v>1244</v>
      </c>
      <c r="F290" s="765" t="s">
        <v>3659</v>
      </c>
      <c r="G290" s="763" t="s">
        <v>3613</v>
      </c>
      <c r="H290" s="764" t="s">
        <v>501</v>
      </c>
      <c r="I290" s="681"/>
      <c r="J290" s="613" t="s">
        <v>1798</v>
      </c>
      <c r="K290" s="614"/>
      <c r="L290" s="609"/>
      <c r="M290" s="610"/>
      <c r="N290" s="615" t="s">
        <v>3489</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3658</v>
      </c>
      <c r="G291" s="763" t="s">
        <v>2832</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3659</v>
      </c>
      <c r="G292" s="763" t="s">
        <v>3613</v>
      </c>
      <c r="H292" s="764" t="s">
        <v>501</v>
      </c>
      <c r="I292" s="681"/>
      <c r="J292" s="613" t="s">
        <v>1802</v>
      </c>
      <c r="K292" s="614"/>
      <c r="L292" s="609"/>
      <c r="M292" s="610"/>
      <c r="N292" s="615" t="s">
        <v>3501</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3658</v>
      </c>
      <c r="G293" s="763" t="s">
        <v>2833</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3659</v>
      </c>
      <c r="G294" s="763" t="s">
        <v>3613</v>
      </c>
      <c r="H294" s="764" t="s">
        <v>501</v>
      </c>
      <c r="I294" s="681"/>
      <c r="J294" s="613" t="s">
        <v>1805</v>
      </c>
      <c r="K294" s="614"/>
      <c r="L294" s="609"/>
      <c r="M294" s="610"/>
      <c r="N294" s="615" t="s">
        <v>91</v>
      </c>
      <c r="O294" s="615" t="s">
        <v>3079</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3658</v>
      </c>
      <c r="G295" s="763" t="s">
        <v>2834</v>
      </c>
      <c r="H295" s="764" t="s">
        <v>500</v>
      </c>
      <c r="I295" s="680"/>
      <c r="J295" s="613" t="s">
        <v>3502</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3658</v>
      </c>
      <c r="G296" s="763" t="s">
        <v>2835</v>
      </c>
      <c r="H296" s="764" t="s">
        <v>500</v>
      </c>
      <c r="I296" s="681"/>
      <c r="J296" s="613" t="s">
        <v>88</v>
      </c>
      <c r="K296" s="614"/>
      <c r="L296" s="609"/>
      <c r="M296" s="610"/>
      <c r="N296" s="615" t="s">
        <v>1766</v>
      </c>
      <c r="O296" s="615" t="s">
        <v>2829</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3658</v>
      </c>
      <c r="G297" s="763" t="s">
        <v>2836</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3658</v>
      </c>
      <c r="G298" s="763" t="s">
        <v>2640</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3658</v>
      </c>
      <c r="G299" s="763" t="s">
        <v>2641</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3658</v>
      </c>
      <c r="G300" s="763" t="s">
        <v>2642</v>
      </c>
      <c r="H300" s="764" t="s">
        <v>500</v>
      </c>
      <c r="I300" s="680"/>
      <c r="J300" s="613" t="s">
        <v>1765</v>
      </c>
      <c r="K300" s="614"/>
      <c r="L300" s="609"/>
      <c r="M300" s="610"/>
      <c r="N300" s="615" t="s">
        <v>1774</v>
      </c>
      <c r="O300" s="615" t="s">
        <v>3079</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3659</v>
      </c>
      <c r="G301" s="763" t="s">
        <v>3638</v>
      </c>
      <c r="H301" s="764" t="s">
        <v>501</v>
      </c>
      <c r="I301" s="681"/>
      <c r="J301" s="613" t="s">
        <v>1767</v>
      </c>
      <c r="K301" s="614"/>
      <c r="L301" s="609"/>
      <c r="M301" s="610"/>
      <c r="N301" s="615" t="s">
        <v>3495</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3659</v>
      </c>
      <c r="G302" s="763" t="s">
        <v>3613</v>
      </c>
      <c r="H302" s="764" t="s">
        <v>501</v>
      </c>
      <c r="I302" s="681"/>
      <c r="J302" s="613" t="s">
        <v>1769</v>
      </c>
      <c r="K302" s="614"/>
      <c r="L302" s="609"/>
      <c r="M302" s="610"/>
      <c r="N302" s="615" t="s">
        <v>198</v>
      </c>
      <c r="O302" s="615" t="s">
        <v>3627</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3063</v>
      </c>
      <c r="F303" s="762" t="s">
        <v>3658</v>
      </c>
      <c r="G303" s="763" t="s">
        <v>2643</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3064</v>
      </c>
      <c r="D304" s="761" t="s">
        <v>1749</v>
      </c>
      <c r="E304" s="762" t="s">
        <v>3065</v>
      </c>
      <c r="F304" s="762" t="s">
        <v>3658</v>
      </c>
      <c r="G304" s="763" t="s">
        <v>2644</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3066</v>
      </c>
      <c r="D306" s="761" t="s">
        <v>1749</v>
      </c>
      <c r="E306" s="765" t="s">
        <v>3067</v>
      </c>
      <c r="F306" s="762" t="s">
        <v>3658</v>
      </c>
      <c r="G306" s="763" t="s">
        <v>630</v>
      </c>
      <c r="H306" s="764" t="s">
        <v>500</v>
      </c>
      <c r="I306" s="681"/>
      <c r="J306" s="613" t="s">
        <v>1383</v>
      </c>
      <c r="K306" s="614"/>
      <c r="L306" s="609"/>
      <c r="M306" s="610"/>
      <c r="N306" s="497" t="s">
        <v>3597</v>
      </c>
      <c r="O306" s="497" t="s">
        <v>3489</v>
      </c>
      <c r="P306" s="1368" t="s">
        <v>3033</v>
      </c>
      <c r="Q306" s="596"/>
      <c r="S306" s="596"/>
      <c r="T306" s="596"/>
      <c r="U306" s="596"/>
      <c r="V306" s="596"/>
      <c r="W306" s="596"/>
      <c r="X306" s="596"/>
      <c r="Y306" s="596"/>
      <c r="Z306" s="596"/>
      <c r="AA306" s="596"/>
    </row>
    <row r="307" spans="2:27" ht="12" customHeight="1">
      <c r="B307" s="766"/>
      <c r="C307" s="761" t="s">
        <v>3068</v>
      </c>
      <c r="D307" s="761" t="s">
        <v>1902</v>
      </c>
      <c r="E307" s="765" t="s">
        <v>1244</v>
      </c>
      <c r="F307" s="765" t="s">
        <v>3659</v>
      </c>
      <c r="G307" s="763" t="s">
        <v>3613</v>
      </c>
      <c r="H307" s="764" t="s">
        <v>501</v>
      </c>
      <c r="I307" s="681"/>
      <c r="J307" s="613" t="s">
        <v>1384</v>
      </c>
      <c r="K307" s="614"/>
      <c r="L307" s="609"/>
      <c r="M307" s="610"/>
      <c r="N307" s="615" t="s">
        <v>3032</v>
      </c>
      <c r="O307" s="615" t="s">
        <v>1623</v>
      </c>
      <c r="P307" s="497" t="s">
        <v>2340</v>
      </c>
      <c r="Q307" s="1366"/>
      <c r="S307" s="596"/>
      <c r="T307" s="596"/>
      <c r="U307" s="596"/>
      <c r="V307" s="596"/>
      <c r="W307" s="596"/>
      <c r="X307" s="596"/>
      <c r="Y307" s="596"/>
      <c r="Z307" s="596"/>
      <c r="AA307" s="596"/>
    </row>
    <row r="308" spans="2:27" ht="12" customHeight="1">
      <c r="B308" s="766"/>
      <c r="C308" s="761" t="s">
        <v>3069</v>
      </c>
      <c r="D308" s="761" t="s">
        <v>1878</v>
      </c>
      <c r="E308" s="765" t="s">
        <v>3070</v>
      </c>
      <c r="F308" s="765" t="s">
        <v>3658</v>
      </c>
      <c r="G308" s="763" t="s">
        <v>265</v>
      </c>
      <c r="H308" s="764" t="s">
        <v>500</v>
      </c>
      <c r="I308" s="680"/>
      <c r="J308" s="613" t="s">
        <v>1386</v>
      </c>
      <c r="K308" s="614"/>
      <c r="L308" s="609"/>
      <c r="M308" s="610"/>
      <c r="N308" s="615" t="s">
        <v>2945</v>
      </c>
      <c r="O308" s="615" t="s">
        <v>2500</v>
      </c>
      <c r="P308" s="497" t="s">
        <v>2341</v>
      </c>
      <c r="Q308" s="1366"/>
      <c r="S308" s="596"/>
      <c r="T308" s="596"/>
      <c r="U308" s="596"/>
      <c r="V308" s="596"/>
      <c r="W308" s="596"/>
      <c r="X308" s="596"/>
      <c r="Y308" s="596"/>
      <c r="Z308" s="596"/>
      <c r="AA308" s="596"/>
    </row>
    <row r="309" spans="2:27" ht="12" customHeight="1">
      <c r="B309" s="766"/>
      <c r="C309" s="761" t="s">
        <v>3071</v>
      </c>
      <c r="D309" s="761" t="s">
        <v>1749</v>
      </c>
      <c r="E309" s="762" t="s">
        <v>3072</v>
      </c>
      <c r="F309" s="765" t="s">
        <v>3658</v>
      </c>
      <c r="G309" s="763" t="s">
        <v>1997</v>
      </c>
      <c r="H309" s="764" t="s">
        <v>500</v>
      </c>
      <c r="I309" s="680"/>
      <c r="J309" s="613" t="s">
        <v>1388</v>
      </c>
      <c r="K309" s="614"/>
      <c r="L309" s="609"/>
      <c r="M309" s="610"/>
      <c r="N309" s="615" t="s">
        <v>2947</v>
      </c>
      <c r="O309" s="615" t="s">
        <v>3549</v>
      </c>
      <c r="P309" s="497" t="s">
        <v>2342</v>
      </c>
      <c r="Q309" s="1366"/>
      <c r="S309" s="596"/>
      <c r="T309" s="596"/>
      <c r="U309" s="596"/>
      <c r="V309" s="596"/>
      <c r="W309" s="596"/>
      <c r="X309" s="596"/>
      <c r="Y309" s="596"/>
      <c r="Z309" s="596"/>
      <c r="AA309" s="596"/>
    </row>
    <row r="310" spans="2:27" ht="12" customHeight="1">
      <c r="B310" s="766"/>
      <c r="C310" s="761" t="s">
        <v>3073</v>
      </c>
      <c r="D310" s="761" t="s">
        <v>1749</v>
      </c>
      <c r="E310" s="762" t="s">
        <v>3074</v>
      </c>
      <c r="F310" s="762" t="s">
        <v>3658</v>
      </c>
      <c r="G310" s="763" t="s">
        <v>1998</v>
      </c>
      <c r="H310" s="764" t="s">
        <v>500</v>
      </c>
      <c r="I310" s="680"/>
      <c r="J310" s="613" t="s">
        <v>3030</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3075</v>
      </c>
      <c r="D311" s="761" t="s">
        <v>1902</v>
      </c>
      <c r="E311" s="762" t="s">
        <v>3076</v>
      </c>
      <c r="F311" s="762" t="s">
        <v>3658</v>
      </c>
      <c r="G311" s="763" t="s">
        <v>1999</v>
      </c>
      <c r="H311" s="764" t="s">
        <v>500</v>
      </c>
      <c r="I311" s="680"/>
      <c r="J311" s="613" t="s">
        <v>3031</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3077</v>
      </c>
      <c r="D312" s="761" t="s">
        <v>1902</v>
      </c>
      <c r="E312" s="762" t="s">
        <v>3078</v>
      </c>
      <c r="F312" s="762" t="s">
        <v>3658</v>
      </c>
      <c r="G312" s="763" t="s">
        <v>2894</v>
      </c>
      <c r="H312" s="764" t="s">
        <v>500</v>
      </c>
      <c r="I312" s="680"/>
      <c r="J312" s="613" t="s">
        <v>2944</v>
      </c>
      <c r="K312" s="614"/>
      <c r="L312" s="609"/>
      <c r="M312" s="610"/>
      <c r="N312" s="497" t="s">
        <v>3598</v>
      </c>
      <c r="O312" s="497" t="s">
        <v>1894</v>
      </c>
      <c r="P312" s="1368" t="s">
        <v>3033</v>
      </c>
      <c r="Q312" s="1366"/>
      <c r="S312" s="596"/>
      <c r="T312" s="596"/>
      <c r="U312" s="596"/>
      <c r="V312" s="596"/>
      <c r="W312" s="596"/>
      <c r="X312" s="596"/>
      <c r="Y312" s="596"/>
      <c r="Z312" s="596"/>
      <c r="AA312" s="596"/>
    </row>
    <row r="313" spans="2:27" ht="12" customHeight="1">
      <c r="B313" s="766"/>
      <c r="C313" s="761" t="s">
        <v>3079</v>
      </c>
      <c r="D313" s="761" t="s">
        <v>1749</v>
      </c>
      <c r="E313" s="762" t="s">
        <v>3080</v>
      </c>
      <c r="F313" s="762" t="s">
        <v>3658</v>
      </c>
      <c r="G313" s="763" t="s">
        <v>2895</v>
      </c>
      <c r="H313" s="764" t="s">
        <v>500</v>
      </c>
      <c r="I313" s="680"/>
      <c r="J313" s="613" t="s">
        <v>2946</v>
      </c>
      <c r="K313" s="614"/>
      <c r="L313" s="609"/>
      <c r="M313" s="610"/>
      <c r="N313" s="615" t="s">
        <v>857</v>
      </c>
      <c r="O313" s="615" t="s">
        <v>3628</v>
      </c>
      <c r="P313" s="497" t="s">
        <v>2344</v>
      </c>
      <c r="Q313" s="596"/>
      <c r="S313" s="596"/>
      <c r="T313" s="596"/>
      <c r="U313" s="596"/>
      <c r="V313" s="596"/>
      <c r="W313" s="596"/>
      <c r="X313" s="596"/>
      <c r="Y313" s="596"/>
      <c r="Z313" s="596"/>
      <c r="AA313" s="596"/>
    </row>
    <row r="314" spans="2:27" ht="12" customHeight="1">
      <c r="B314" s="766"/>
      <c r="C314" s="761" t="s">
        <v>3081</v>
      </c>
      <c r="D314" s="761" t="s">
        <v>1902</v>
      </c>
      <c r="E314" s="762" t="s">
        <v>1360</v>
      </c>
      <c r="F314" s="762" t="s">
        <v>3658</v>
      </c>
      <c r="G314" s="763" t="s">
        <v>2896</v>
      </c>
      <c r="H314" s="764" t="s">
        <v>500</v>
      </c>
      <c r="I314" s="680"/>
      <c r="J314" s="613" t="s">
        <v>853</v>
      </c>
      <c r="K314" s="614"/>
      <c r="L314" s="609"/>
      <c r="M314" s="610"/>
      <c r="N314" s="615" t="s">
        <v>3548</v>
      </c>
      <c r="O314" s="615" t="s">
        <v>3630</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3658</v>
      </c>
      <c r="G315" s="763" t="s">
        <v>2897</v>
      </c>
      <c r="H315" s="764" t="s">
        <v>500</v>
      </c>
      <c r="I315" s="681"/>
      <c r="J315" s="613" t="s">
        <v>854</v>
      </c>
      <c r="K315" s="614"/>
      <c r="L315" s="609"/>
      <c r="M315" s="610"/>
      <c r="N315" s="615" t="s">
        <v>861</v>
      </c>
      <c r="O315" s="615" t="s">
        <v>3077</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3659</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3658</v>
      </c>
      <c r="G317" s="763" t="s">
        <v>2898</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2786</v>
      </c>
      <c r="F318" s="765" t="s">
        <v>3658</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2787</v>
      </c>
      <c r="D319" s="761" t="s">
        <v>1749</v>
      </c>
      <c r="E319" s="765" t="s">
        <v>2788</v>
      </c>
      <c r="F319" s="765" t="s">
        <v>3658</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2789</v>
      </c>
      <c r="D320" s="761" t="s">
        <v>1878</v>
      </c>
      <c r="E320" s="765" t="s">
        <v>2790</v>
      </c>
      <c r="F320" s="765" t="s">
        <v>3658</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2791</v>
      </c>
      <c r="D321" s="761" t="s">
        <v>1749</v>
      </c>
      <c r="E321" s="765" t="s">
        <v>2792</v>
      </c>
      <c r="F321" s="765" t="s">
        <v>3658</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2793</v>
      </c>
      <c r="D322" s="761" t="s">
        <v>1902</v>
      </c>
      <c r="E322" s="762" t="s">
        <v>2794</v>
      </c>
      <c r="F322" s="765" t="s">
        <v>3658</v>
      </c>
      <c r="G322" s="763" t="s">
        <v>1692</v>
      </c>
      <c r="H322" s="764" t="s">
        <v>500</v>
      </c>
      <c r="I322" s="681"/>
      <c r="J322" s="613" t="s">
        <v>783</v>
      </c>
      <c r="K322" s="614"/>
      <c r="L322" s="609"/>
      <c r="M322" s="610"/>
      <c r="N322" s="615" t="s">
        <v>2845</v>
      </c>
      <c r="O322" s="615" t="s">
        <v>3157</v>
      </c>
      <c r="P322" s="497" t="s">
        <v>2352</v>
      </c>
      <c r="Q322" s="1366"/>
      <c r="S322" s="596"/>
      <c r="T322" s="596"/>
      <c r="U322" s="596"/>
      <c r="V322" s="596"/>
      <c r="W322" s="596"/>
      <c r="X322" s="596"/>
      <c r="Y322" s="596"/>
      <c r="Z322" s="596"/>
      <c r="AA322" s="596"/>
    </row>
    <row r="323" spans="2:27" ht="12" customHeight="1">
      <c r="B323" s="766"/>
      <c r="C323" s="761" t="s">
        <v>2795</v>
      </c>
      <c r="D323" s="761" t="s">
        <v>1749</v>
      </c>
      <c r="E323" s="765" t="s">
        <v>2796</v>
      </c>
      <c r="F323" s="762" t="s">
        <v>3658</v>
      </c>
      <c r="G323" s="763" t="s">
        <v>1693</v>
      </c>
      <c r="H323" s="764" t="s">
        <v>500</v>
      </c>
      <c r="I323" s="681"/>
      <c r="J323" s="613" t="s">
        <v>1678</v>
      </c>
      <c r="K323" s="614"/>
      <c r="L323" s="609"/>
      <c r="M323" s="610"/>
      <c r="N323" s="615" t="s">
        <v>2847</v>
      </c>
      <c r="O323" s="615" t="s">
        <v>3631</v>
      </c>
      <c r="P323" s="497" t="s">
        <v>2353</v>
      </c>
      <c r="Q323" s="1366"/>
      <c r="S323" s="596"/>
      <c r="T323" s="596"/>
      <c r="U323" s="596"/>
      <c r="V323" s="596"/>
      <c r="W323" s="596"/>
      <c r="X323" s="596"/>
      <c r="Y323" s="596"/>
      <c r="Z323" s="596"/>
      <c r="AA323" s="596"/>
    </row>
    <row r="324" spans="2:27" ht="12" customHeight="1">
      <c r="B324" s="766"/>
      <c r="C324" s="761" t="s">
        <v>2797</v>
      </c>
      <c r="D324" s="761" t="s">
        <v>1902</v>
      </c>
      <c r="E324" s="765" t="s">
        <v>1887</v>
      </c>
      <c r="F324" s="765" t="s">
        <v>3659</v>
      </c>
      <c r="G324" s="763" t="s">
        <v>3616</v>
      </c>
      <c r="H324" s="764" t="s">
        <v>501</v>
      </c>
      <c r="I324" s="681"/>
      <c r="J324" s="613" t="s">
        <v>1143</v>
      </c>
      <c r="K324" s="614"/>
      <c r="L324" s="609"/>
      <c r="M324" s="610"/>
      <c r="N324" s="615" t="s">
        <v>404</v>
      </c>
      <c r="O324" s="615" t="s">
        <v>2829</v>
      </c>
      <c r="P324" s="497" t="s">
        <v>2354</v>
      </c>
      <c r="Q324" s="1366"/>
      <c r="S324" s="596"/>
      <c r="T324" s="596"/>
      <c r="U324" s="596"/>
      <c r="V324" s="596"/>
      <c r="W324" s="596"/>
      <c r="X324" s="596"/>
      <c r="Y324" s="596"/>
      <c r="Z324" s="596"/>
      <c r="AA324" s="596"/>
    </row>
    <row r="325" spans="2:27" ht="12" customHeight="1">
      <c r="B325" s="766"/>
      <c r="C325" s="761" t="s">
        <v>2798</v>
      </c>
      <c r="D325" s="761" t="s">
        <v>1878</v>
      </c>
      <c r="E325" s="765" t="s">
        <v>2799</v>
      </c>
      <c r="F325" s="765" t="s">
        <v>3658</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2887</v>
      </c>
      <c r="D326" s="761" t="s">
        <v>1902</v>
      </c>
      <c r="E326" s="762" t="s">
        <v>2888</v>
      </c>
      <c r="F326" s="765" t="s">
        <v>3658</v>
      </c>
      <c r="G326" s="763" t="s">
        <v>1695</v>
      </c>
      <c r="H326" s="764" t="s">
        <v>500</v>
      </c>
      <c r="I326" s="681"/>
      <c r="J326" s="613" t="s">
        <v>2844</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2889</v>
      </c>
      <c r="D327" s="761" t="s">
        <v>1878</v>
      </c>
      <c r="E327" s="765" t="s">
        <v>2122</v>
      </c>
      <c r="F327" s="762" t="s">
        <v>3659</v>
      </c>
      <c r="G327" s="763" t="s">
        <v>2527</v>
      </c>
      <c r="H327" s="764" t="s">
        <v>501</v>
      </c>
      <c r="I327" s="681"/>
      <c r="J327" s="613" t="s">
        <v>2846</v>
      </c>
      <c r="K327" s="614"/>
      <c r="L327" s="609"/>
      <c r="M327" s="610"/>
      <c r="N327" s="615" t="s">
        <v>410</v>
      </c>
      <c r="O327" s="615" t="s">
        <v>3377</v>
      </c>
      <c r="P327" s="497" t="s">
        <v>2357</v>
      </c>
      <c r="Q327" s="1366"/>
      <c r="S327" s="596"/>
      <c r="T327" s="596"/>
      <c r="U327" s="596"/>
      <c r="V327" s="596"/>
      <c r="W327" s="596"/>
      <c r="X327" s="596"/>
      <c r="Y327" s="596"/>
      <c r="Z327" s="596"/>
      <c r="AA327" s="596"/>
    </row>
    <row r="328" spans="2:27" ht="12" customHeight="1">
      <c r="B328" s="766"/>
      <c r="C328" s="761" t="s">
        <v>2890</v>
      </c>
      <c r="D328" s="761" t="s">
        <v>1902</v>
      </c>
      <c r="E328" s="765" t="s">
        <v>1244</v>
      </c>
      <c r="F328" s="765" t="s">
        <v>3659</v>
      </c>
      <c r="G328" s="763" t="s">
        <v>3613</v>
      </c>
      <c r="H328" s="764" t="s">
        <v>501</v>
      </c>
      <c r="I328" s="681"/>
      <c r="J328" s="613" t="s">
        <v>403</v>
      </c>
      <c r="K328" s="614"/>
      <c r="L328" s="609"/>
      <c r="M328" s="610"/>
      <c r="N328" s="615" t="s">
        <v>412</v>
      </c>
      <c r="O328" s="615" t="s">
        <v>2754</v>
      </c>
      <c r="P328" s="497" t="s">
        <v>2358</v>
      </c>
      <c r="Q328" s="1366"/>
      <c r="S328" s="596"/>
      <c r="T328" s="596"/>
      <c r="U328" s="596"/>
      <c r="V328" s="596"/>
      <c r="W328" s="596"/>
      <c r="X328" s="596"/>
      <c r="Y328" s="596"/>
      <c r="Z328" s="596"/>
      <c r="AA328" s="596"/>
    </row>
    <row r="329" spans="2:27" ht="12" customHeight="1">
      <c r="B329" s="766"/>
      <c r="C329" s="761" t="s">
        <v>2891</v>
      </c>
      <c r="D329" s="761" t="s">
        <v>1749</v>
      </c>
      <c r="E329" s="765" t="s">
        <v>112</v>
      </c>
      <c r="F329" s="765" t="s">
        <v>3658</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3658</v>
      </c>
      <c r="G330" s="763" t="s">
        <v>1697</v>
      </c>
      <c r="H330" s="764" t="s">
        <v>500</v>
      </c>
      <c r="I330" s="681"/>
      <c r="J330" s="613" t="s">
        <v>407</v>
      </c>
      <c r="K330" s="614"/>
      <c r="L330" s="609"/>
      <c r="M330" s="610"/>
      <c r="N330" s="615" t="s">
        <v>2820</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3658</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3658</v>
      </c>
      <c r="G332" s="763" t="s">
        <v>1699</v>
      </c>
      <c r="H332" s="764" t="s">
        <v>500</v>
      </c>
      <c r="I332" s="681"/>
      <c r="J332" s="613" t="s">
        <v>411</v>
      </c>
      <c r="K332" s="614"/>
      <c r="L332" s="609"/>
      <c r="M332" s="610"/>
      <c r="N332" s="615" t="s">
        <v>3048</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3658</v>
      </c>
      <c r="G333" s="763" t="s">
        <v>1700</v>
      </c>
      <c r="H333" s="764" t="s">
        <v>500</v>
      </c>
      <c r="I333" s="681"/>
      <c r="J333" s="613" t="s">
        <v>413</v>
      </c>
      <c r="K333" s="614"/>
      <c r="L333" s="609"/>
      <c r="M333" s="610"/>
      <c r="N333" s="615" t="s">
        <v>963</v>
      </c>
      <c r="O333" s="615" t="s">
        <v>3073</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3658</v>
      </c>
      <c r="G334" s="763" t="s">
        <v>3324</v>
      </c>
      <c r="H334" s="764" t="s">
        <v>500</v>
      </c>
      <c r="I334" s="681"/>
      <c r="J334" s="613" t="s">
        <v>2819</v>
      </c>
      <c r="K334" s="614"/>
      <c r="L334" s="609"/>
      <c r="M334" s="610"/>
      <c r="N334" s="615" t="s">
        <v>192</v>
      </c>
      <c r="O334" s="615" t="s">
        <v>2753</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3658</v>
      </c>
      <c r="G335" s="763" t="s">
        <v>3325</v>
      </c>
      <c r="H335" s="764" t="s">
        <v>500</v>
      </c>
      <c r="I335" s="680"/>
      <c r="J335" s="613" t="s">
        <v>2821</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2829</v>
      </c>
      <c r="D336" s="761" t="s">
        <v>1878</v>
      </c>
      <c r="E336" s="762" t="s">
        <v>404</v>
      </c>
      <c r="F336" s="765" t="s">
        <v>3659</v>
      </c>
      <c r="G336" s="763" t="s">
        <v>3326</v>
      </c>
      <c r="H336" s="764" t="s">
        <v>501</v>
      </c>
      <c r="I336" s="681"/>
      <c r="J336" s="613" t="s">
        <v>3047</v>
      </c>
      <c r="K336" s="614"/>
      <c r="L336" s="609"/>
      <c r="M336" s="610"/>
      <c r="N336" s="497" t="s">
        <v>3599</v>
      </c>
      <c r="O336" s="497" t="s">
        <v>2891</v>
      </c>
      <c r="P336" s="1368" t="s">
        <v>3033</v>
      </c>
      <c r="Q336" s="1366"/>
      <c r="S336" s="596"/>
      <c r="T336" s="596"/>
      <c r="U336" s="596"/>
      <c r="V336" s="596"/>
      <c r="W336" s="596"/>
      <c r="X336" s="596"/>
      <c r="Y336" s="596"/>
      <c r="Z336" s="596"/>
      <c r="AA336" s="596"/>
    </row>
    <row r="337" spans="1:27" ht="12" customHeight="1">
      <c r="B337" s="766"/>
      <c r="C337" s="761" t="s">
        <v>2830</v>
      </c>
      <c r="D337" s="761" t="s">
        <v>1749</v>
      </c>
      <c r="E337" s="765" t="s">
        <v>3374</v>
      </c>
      <c r="F337" s="762" t="s">
        <v>3658</v>
      </c>
      <c r="G337" s="763" t="s">
        <v>3327</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3375</v>
      </c>
      <c r="D338" s="761" t="s">
        <v>1902</v>
      </c>
      <c r="E338" s="765" t="s">
        <v>3376</v>
      </c>
      <c r="F338" s="765" t="s">
        <v>3658</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3377</v>
      </c>
      <c r="D339" s="761" t="s">
        <v>1902</v>
      </c>
      <c r="E339" s="765" t="s">
        <v>3378</v>
      </c>
      <c r="F339" s="765" t="s">
        <v>3658</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3379</v>
      </c>
      <c r="D340" s="761" t="s">
        <v>1749</v>
      </c>
      <c r="E340" s="765" t="s">
        <v>2637</v>
      </c>
      <c r="F340" s="765" t="s">
        <v>3659</v>
      </c>
      <c r="G340" s="763" t="s">
        <v>1683</v>
      </c>
      <c r="H340" s="764" t="s">
        <v>501</v>
      </c>
      <c r="J340" s="613" t="s">
        <v>1276</v>
      </c>
      <c r="K340" s="614"/>
      <c r="L340" s="609"/>
      <c r="M340" s="610"/>
      <c r="N340" s="615" t="s">
        <v>3409</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3411</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3600</v>
      </c>
      <c r="O342" s="497" t="s">
        <v>932</v>
      </c>
      <c r="P342" s="1368" t="s">
        <v>3033</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3407</v>
      </c>
      <c r="K343" s="614"/>
      <c r="L343" s="609"/>
      <c r="M343" s="610"/>
      <c r="N343" s="615" t="s">
        <v>454</v>
      </c>
      <c r="O343" s="615" t="s">
        <v>3495</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3408</v>
      </c>
      <c r="K344" s="614"/>
      <c r="L344" s="609"/>
      <c r="M344" s="610"/>
      <c r="N344" s="615" t="s">
        <v>456</v>
      </c>
      <c r="O344" s="615" t="s">
        <v>3066</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3410</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3412</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3413</v>
      </c>
      <c r="K347" s="614"/>
      <c r="L347" s="609"/>
      <c r="M347" s="610"/>
      <c r="N347" s="615" t="s">
        <v>1363</v>
      </c>
      <c r="O347" s="615" t="s">
        <v>3493</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2802</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3601</v>
      </c>
      <c r="O349" s="497" t="s">
        <v>887</v>
      </c>
      <c r="P349" s="1368" t="s">
        <v>3033</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2807</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2800</v>
      </c>
      <c r="K351" s="614"/>
      <c r="L351" s="609"/>
      <c r="M351" s="610"/>
      <c r="N351" s="615" t="s">
        <v>2809</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2801</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2803</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2804</v>
      </c>
      <c r="K354" s="614"/>
      <c r="L354" s="609"/>
      <c r="M354" s="610"/>
      <c r="N354" s="615" t="s">
        <v>2805</v>
      </c>
      <c r="O354" s="615" t="s">
        <v>3490</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2806</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2808</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3602</v>
      </c>
      <c r="O357" s="497" t="s">
        <v>3068</v>
      </c>
      <c r="P357" s="1368" t="s">
        <v>3033</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3603</v>
      </c>
      <c r="O358" s="497" t="s">
        <v>3547</v>
      </c>
      <c r="P358" s="1368" t="s">
        <v>3033</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3528</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3527</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3529</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2769</v>
      </c>
      <c r="O366" s="615" t="s">
        <v>3495</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2768</v>
      </c>
      <c r="K367" s="614"/>
      <c r="L367" s="609"/>
      <c r="M367" s="610"/>
      <c r="N367" s="615" t="s">
        <v>2772</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2770</v>
      </c>
      <c r="K368" s="614"/>
      <c r="L368" s="609"/>
      <c r="M368" s="610"/>
      <c r="N368" s="615" t="s">
        <v>2774</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2771</v>
      </c>
      <c r="K369" s="614"/>
      <c r="L369" s="609"/>
      <c r="M369" s="610"/>
      <c r="N369" s="615" t="s">
        <v>2776</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2773</v>
      </c>
      <c r="K370" s="614"/>
      <c r="L370" s="609"/>
      <c r="M370" s="610"/>
      <c r="N370" s="615" t="s">
        <v>2812</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2775</v>
      </c>
      <c r="K371" s="614"/>
      <c r="L371" s="609"/>
      <c r="M371" s="610"/>
      <c r="N371" s="615" t="s">
        <v>2815</v>
      </c>
      <c r="O371" s="615" t="s">
        <v>3625</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2811</v>
      </c>
      <c r="K372" s="614"/>
      <c r="L372" s="609"/>
      <c r="M372" s="610"/>
      <c r="N372" s="615" t="s">
        <v>2817</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2813</v>
      </c>
      <c r="K373" s="614"/>
      <c r="L373" s="609"/>
      <c r="M373" s="610"/>
      <c r="N373" s="497" t="s">
        <v>3157</v>
      </c>
      <c r="O373" s="497" t="s">
        <v>3544</v>
      </c>
      <c r="P373" s="1368" t="s">
        <v>3033</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2814</v>
      </c>
      <c r="K374" s="614"/>
      <c r="L374" s="609"/>
      <c r="M374" s="610"/>
      <c r="N374" s="497" t="s">
        <v>3604</v>
      </c>
      <c r="O374" s="497" t="s">
        <v>3068</v>
      </c>
      <c r="P374" s="1368" t="s">
        <v>3033</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2816</v>
      </c>
      <c r="K375" s="614"/>
      <c r="L375" s="609"/>
      <c r="M375" s="610"/>
      <c r="N375" s="497" t="s">
        <v>3605</v>
      </c>
      <c r="O375" s="497" t="s">
        <v>3492</v>
      </c>
      <c r="P375" s="1368" t="s">
        <v>3033</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2818</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3606</v>
      </c>
      <c r="O378" s="497" t="s">
        <v>2889</v>
      </c>
      <c r="P378" s="1368" t="s">
        <v>3033</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3490</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3194</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3193</v>
      </c>
      <c r="K381" s="614"/>
      <c r="L381" s="609"/>
      <c r="M381" s="610"/>
      <c r="N381" s="615" t="s">
        <v>3196</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3195</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3365</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3489</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3364</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3330</v>
      </c>
      <c r="O388" s="615" t="s">
        <v>3487</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3033</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3495</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3155</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3468</v>
      </c>
      <c r="O398" s="615" t="s">
        <v>2755</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3075</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3467</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3079</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2890</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3377</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3547</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2755</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3033</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3068</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3544</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2789</v>
      </c>
      <c r="P418" s="1368" t="s">
        <v>3033</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3157</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2887</v>
      </c>
      <c r="P424" s="1368" t="s">
        <v>3033</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3547</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3544</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3206</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2886</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2789</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3205</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2885</v>
      </c>
      <c r="K437" s="614"/>
      <c r="L437" s="609"/>
      <c r="M437" s="610"/>
      <c r="N437" s="497" t="s">
        <v>1562</v>
      </c>
      <c r="O437" s="497" t="s">
        <v>1609</v>
      </c>
      <c r="P437" s="1368" t="s">
        <v>3033</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3064</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2823</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3631</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3056</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2822</v>
      </c>
      <c r="K442" s="614"/>
      <c r="L442" s="609"/>
      <c r="M442" s="610"/>
      <c r="N442" s="615" t="s">
        <v>2474</v>
      </c>
      <c r="O442" s="615" t="s">
        <v>2793</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3055</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3490</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3245</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3226</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3228</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3243</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3244</v>
      </c>
      <c r="K451" s="614"/>
      <c r="L451" s="609"/>
      <c r="M451" s="610"/>
      <c r="N451" s="497" t="s">
        <v>1563</v>
      </c>
      <c r="O451" s="497" t="s">
        <v>2121</v>
      </c>
      <c r="P451" s="1368" t="s">
        <v>3033</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3224</v>
      </c>
      <c r="K452" s="614"/>
      <c r="L452" s="609"/>
      <c r="M452" s="610"/>
      <c r="N452" s="615" t="s">
        <v>225</v>
      </c>
      <c r="O452" s="615" t="s">
        <v>3066</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3225</v>
      </c>
      <c r="K453" s="614"/>
      <c r="L453" s="609"/>
      <c r="M453" s="610"/>
      <c r="N453" s="497" t="s">
        <v>1564</v>
      </c>
      <c r="O453" s="497" t="s">
        <v>3489</v>
      </c>
      <c r="P453" s="1368" t="s">
        <v>3033</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3227</v>
      </c>
      <c r="K454" s="614"/>
      <c r="L454" s="609"/>
      <c r="M454" s="610"/>
      <c r="N454" s="615" t="s">
        <v>2854</v>
      </c>
      <c r="O454" s="615" t="s">
        <v>3377</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3033</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2856</v>
      </c>
      <c r="O456" s="615" t="s">
        <v>3377</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3004</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2855</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2857</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2797</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3163</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2890</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3162</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3319</v>
      </c>
      <c r="O467" s="615" t="s">
        <v>3489</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3321</v>
      </c>
      <c r="O468" s="615" t="s">
        <v>3075</v>
      </c>
      <c r="P468" s="610" t="s">
        <v>3321</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3492</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3320</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3033</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2876</v>
      </c>
      <c r="O475" s="615" t="s">
        <v>2889</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2793</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2874</v>
      </c>
      <c r="K477" s="614"/>
      <c r="L477" s="609"/>
      <c r="M477" s="610"/>
      <c r="N477" s="615" t="s">
        <v>891</v>
      </c>
      <c r="O477" s="615" t="s">
        <v>3489</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2875</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3396</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3033</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3395</v>
      </c>
      <c r="K481" s="614"/>
      <c r="L481" s="609"/>
      <c r="M481" s="610"/>
      <c r="N481" s="497" t="s">
        <v>1568</v>
      </c>
      <c r="O481" s="497" t="s">
        <v>1623</v>
      </c>
      <c r="P481" s="1368" t="s">
        <v>3033</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3096</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3097</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3545</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3073</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3262</v>
      </c>
      <c r="O488" s="615" t="s">
        <v>3630</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3264</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3263</v>
      </c>
      <c r="K491" s="614"/>
      <c r="L491" s="609"/>
      <c r="M491" s="610"/>
      <c r="N491" s="497" t="s">
        <v>1569</v>
      </c>
      <c r="O491" s="497" t="s">
        <v>2887</v>
      </c>
      <c r="P491" s="1368" t="s">
        <v>3033</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3635</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2889</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2890</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2755</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2889</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3489</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3071</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2755</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3500</v>
      </c>
      <c r="O508" s="615" t="s">
        <v>2787</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3492</v>
      </c>
      <c r="P509" s="1368" t="s">
        <v>3033</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3623</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3079</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2755</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3628</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3492</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3069</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3544</v>
      </c>
      <c r="P518" s="1368" t="s">
        <v>3033</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3630</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3377</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3247</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3246</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2967</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2890</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3033</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2966</v>
      </c>
      <c r="K544" s="614"/>
      <c r="L544" s="609"/>
      <c r="M544" s="610"/>
      <c r="N544" s="497" t="s">
        <v>1572</v>
      </c>
      <c r="O544" s="497" t="s">
        <v>213</v>
      </c>
      <c r="P544" s="1368" t="s">
        <v>3033</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3547</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3623</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3489</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3634</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2984</v>
      </c>
      <c r="O550" s="615" t="s">
        <v>3495</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3633</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2983</v>
      </c>
      <c r="K555" s="614"/>
      <c r="L555" s="609"/>
      <c r="M555" s="610"/>
      <c r="N555" s="615" t="s">
        <v>3200</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2985</v>
      </c>
      <c r="K556" s="614"/>
      <c r="L556" s="609"/>
      <c r="M556" s="610"/>
      <c r="N556" s="497" t="s">
        <v>3200</v>
      </c>
      <c r="O556" s="497" t="s">
        <v>1744</v>
      </c>
      <c r="P556" s="1368" t="s">
        <v>3033</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3267</v>
      </c>
      <c r="K558" s="614"/>
      <c r="L558" s="609"/>
      <c r="M558" s="610"/>
      <c r="N558" s="615" t="s">
        <v>3161</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3199</v>
      </c>
      <c r="K561" s="614"/>
      <c r="L561" s="609"/>
      <c r="M561" s="610"/>
      <c r="N561" s="615" t="s">
        <v>468</v>
      </c>
      <c r="O561" s="615" t="s">
        <v>3628</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3064</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3547</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3160</v>
      </c>
      <c r="K564" s="614"/>
      <c r="L564" s="609"/>
      <c r="M564" s="610"/>
      <c r="N564" s="615" t="s">
        <v>3628</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3190</v>
      </c>
      <c r="K565" s="614"/>
      <c r="L565" s="609"/>
      <c r="M565" s="610"/>
      <c r="N565" s="615" t="s">
        <v>2188</v>
      </c>
      <c r="O565" s="615" t="s">
        <v>3493</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3438</v>
      </c>
      <c r="O568" s="615" t="s">
        <v>3495</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3033</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3033</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3033</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3629</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3632</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3439</v>
      </c>
      <c r="K574" s="614"/>
      <c r="L574" s="609"/>
      <c r="M574" s="610"/>
      <c r="N574" s="615" t="s">
        <v>2696</v>
      </c>
      <c r="O574" s="615" t="s">
        <v>3155</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3155</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3629</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2825</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3630</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3064</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3071</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3187</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3189</v>
      </c>
      <c r="O586" s="615" t="s">
        <v>3068</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3628</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3188</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3033</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2942</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3010</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3009</v>
      </c>
      <c r="K597" s="614"/>
      <c r="L597" s="609"/>
      <c r="M597" s="610"/>
      <c r="N597" s="615" t="s">
        <v>3012</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3011</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3013</v>
      </c>
      <c r="K599" s="614"/>
      <c r="L599" s="609"/>
      <c r="M599" s="610"/>
      <c r="N599" s="615" t="s">
        <v>2024</v>
      </c>
      <c r="O599" s="615" t="s">
        <v>389</v>
      </c>
      <c r="P599" s="610" t="s">
        <v>1076</v>
      </c>
      <c r="Q599" s="596"/>
      <c r="R599" s="497" t="s">
        <v>3592</v>
      </c>
      <c r="S599" s="497" t="s">
        <v>887</v>
      </c>
      <c r="T599" s="1368" t="s">
        <v>3033</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3033</v>
      </c>
      <c r="Q600" s="596"/>
      <c r="R600" s="497" t="s">
        <v>3593</v>
      </c>
      <c r="S600" s="497" t="s">
        <v>388</v>
      </c>
      <c r="T600" s="1368" t="s">
        <v>3033</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3594</v>
      </c>
      <c r="S601" s="497" t="s">
        <v>3489</v>
      </c>
      <c r="T601" s="1368" t="s">
        <v>3033</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3595</v>
      </c>
      <c r="S602" s="497"/>
      <c r="T602" s="1368" t="s">
        <v>3033</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2941</v>
      </c>
      <c r="O603" s="615" t="s">
        <v>1448</v>
      </c>
      <c r="P603" s="610" t="s">
        <v>1079</v>
      </c>
      <c r="Q603" s="596"/>
      <c r="R603" s="497" t="s">
        <v>3596</v>
      </c>
      <c r="S603" s="497" t="s">
        <v>2889</v>
      </c>
      <c r="T603" s="1368" t="s">
        <v>3033</v>
      </c>
      <c r="U603" s="596"/>
      <c r="V603" s="596"/>
      <c r="W603" s="596"/>
      <c r="X603" s="596"/>
      <c r="Y603" s="596"/>
      <c r="Z603" s="596"/>
      <c r="AA603" s="596"/>
    </row>
    <row r="604" spans="1:27" ht="12" customHeight="1">
      <c r="A604" s="596"/>
      <c r="B604" s="597"/>
      <c r="C604" s="596"/>
      <c r="D604" s="596"/>
      <c r="E604" s="596"/>
      <c r="F604" s="596"/>
      <c r="G604" s="596"/>
      <c r="H604" s="596"/>
      <c r="I604" s="596"/>
      <c r="J604" s="613" t="s">
        <v>2940</v>
      </c>
      <c r="K604" s="614"/>
      <c r="L604" s="609"/>
      <c r="M604" s="610"/>
      <c r="N604" s="615" t="s">
        <v>2746</v>
      </c>
      <c r="O604" s="615" t="s">
        <v>2830</v>
      </c>
      <c r="P604" s="610" t="s">
        <v>1080</v>
      </c>
      <c r="Q604" s="596"/>
      <c r="R604" s="497" t="s">
        <v>3597</v>
      </c>
      <c r="S604" s="497" t="s">
        <v>3489</v>
      </c>
      <c r="T604" s="1368" t="s">
        <v>3033</v>
      </c>
      <c r="U604" s="596"/>
      <c r="V604" s="596"/>
      <c r="W604" s="596"/>
      <c r="X604" s="596"/>
      <c r="Y604" s="596"/>
      <c r="Z604" s="596"/>
      <c r="AA604" s="596"/>
    </row>
    <row r="605" spans="1:27" ht="12" customHeight="1">
      <c r="A605" s="596"/>
      <c r="B605" s="597"/>
      <c r="C605" s="596"/>
      <c r="D605" s="596"/>
      <c r="E605" s="596"/>
      <c r="F605" s="596"/>
      <c r="G605" s="596"/>
      <c r="H605" s="596"/>
      <c r="I605" s="596"/>
      <c r="J605" s="613" t="s">
        <v>2745</v>
      </c>
      <c r="K605" s="614"/>
      <c r="L605" s="609"/>
      <c r="M605" s="610"/>
      <c r="N605" s="615" t="s">
        <v>343</v>
      </c>
      <c r="O605" s="615" t="s">
        <v>2830</v>
      </c>
      <c r="P605" s="610" t="s">
        <v>1081</v>
      </c>
      <c r="Q605" s="596"/>
      <c r="R605" s="497" t="s">
        <v>3598</v>
      </c>
      <c r="S605" s="497" t="s">
        <v>1894</v>
      </c>
      <c r="T605" s="1368" t="s">
        <v>3033</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3073</v>
      </c>
      <c r="P606" s="610" t="s">
        <v>1082</v>
      </c>
      <c r="Q606" s="596"/>
      <c r="R606" s="497" t="s">
        <v>3599</v>
      </c>
      <c r="S606" s="497" t="s">
        <v>2891</v>
      </c>
      <c r="T606" s="1368" t="s">
        <v>3033</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3600</v>
      </c>
      <c r="S607" s="497" t="s">
        <v>932</v>
      </c>
      <c r="T607" s="1368" t="s">
        <v>3033</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3601</v>
      </c>
      <c r="S608" s="497" t="s">
        <v>887</v>
      </c>
      <c r="T608" s="1368" t="s">
        <v>3033</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3602</v>
      </c>
      <c r="S609" s="497" t="s">
        <v>3068</v>
      </c>
      <c r="T609" s="1368" t="s">
        <v>3033</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3603</v>
      </c>
      <c r="S610" s="497" t="s">
        <v>3547</v>
      </c>
      <c r="T610" s="1368" t="s">
        <v>3033</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3628</v>
      </c>
      <c r="P611" s="610" t="s">
        <v>1087</v>
      </c>
      <c r="Q611" s="596"/>
      <c r="R611" s="497" t="s">
        <v>3157</v>
      </c>
      <c r="S611" s="497" t="s">
        <v>3544</v>
      </c>
      <c r="T611" s="1368" t="s">
        <v>3033</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3379</v>
      </c>
      <c r="P612" s="610" t="s">
        <v>1088</v>
      </c>
      <c r="Q612" s="596"/>
      <c r="R612" s="497" t="s">
        <v>3604</v>
      </c>
      <c r="S612" s="497" t="s">
        <v>3068</v>
      </c>
      <c r="T612" s="1368" t="s">
        <v>3033</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3492</v>
      </c>
      <c r="P613" s="610" t="s">
        <v>1089</v>
      </c>
      <c r="Q613" s="596"/>
      <c r="R613" s="497" t="s">
        <v>3605</v>
      </c>
      <c r="S613" s="497" t="s">
        <v>3492</v>
      </c>
      <c r="T613" s="1368" t="s">
        <v>3033</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7" t="s">
        <v>1311</v>
      </c>
      <c r="Q614" s="596"/>
      <c r="R614" s="497" t="s">
        <v>3606</v>
      </c>
      <c r="S614" s="497" t="s">
        <v>2889</v>
      </c>
      <c r="T614" s="1368" t="s">
        <v>3033</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8" t="s">
        <v>3033</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8" t="s">
        <v>3033</v>
      </c>
      <c r="Q616" s="596"/>
      <c r="R616" s="497" t="s">
        <v>1397</v>
      </c>
      <c r="S616" s="497" t="s">
        <v>1616</v>
      </c>
      <c r="T616" s="1368" t="s">
        <v>3033</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8" t="s">
        <v>3033</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2789</v>
      </c>
      <c r="T618" s="1368" t="s">
        <v>3033</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3033</v>
      </c>
      <c r="Q619" s="596"/>
      <c r="R619" s="497" t="s">
        <v>1561</v>
      </c>
      <c r="S619" s="497" t="s">
        <v>2887</v>
      </c>
      <c r="T619" s="1368" t="s">
        <v>3033</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3033</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3375</v>
      </c>
      <c r="P621" s="610" t="s">
        <v>1093</v>
      </c>
      <c r="Q621" s="1369"/>
      <c r="R621" s="497" t="s">
        <v>1563</v>
      </c>
      <c r="S621" s="497" t="s">
        <v>2121</v>
      </c>
      <c r="T621" s="1368" t="s">
        <v>3033</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2795</v>
      </c>
      <c r="P622" s="610" t="s">
        <v>1094</v>
      </c>
      <c r="Q622" s="596"/>
      <c r="R622" s="497" t="s">
        <v>1564</v>
      </c>
      <c r="S622" s="497" t="s">
        <v>3489</v>
      </c>
      <c r="T622" s="1368" t="s">
        <v>3033</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3033</v>
      </c>
      <c r="Q623" s="596"/>
      <c r="R623" s="497" t="s">
        <v>1565</v>
      </c>
      <c r="S623" s="497" t="s">
        <v>196</v>
      </c>
      <c r="T623" s="1368" t="s">
        <v>3033</v>
      </c>
      <c r="U623" s="596"/>
      <c r="V623" s="596"/>
      <c r="W623" s="596"/>
      <c r="X623" s="596"/>
      <c r="Y623" s="596"/>
      <c r="Z623" s="596"/>
      <c r="AA623" s="596"/>
    </row>
    <row r="624" spans="1:27" ht="12" customHeight="1">
      <c r="A624" s="596"/>
      <c r="B624" s="597"/>
      <c r="C624" s="596"/>
      <c r="D624" s="596"/>
      <c r="E624" s="596"/>
      <c r="F624" s="596"/>
      <c r="G624" s="596"/>
      <c r="H624" s="596"/>
      <c r="I624" s="596"/>
      <c r="J624" s="613" t="s">
        <v>3036</v>
      </c>
      <c r="K624" s="614"/>
      <c r="L624" s="609"/>
      <c r="M624" s="610"/>
      <c r="N624" s="497" t="s">
        <v>1581</v>
      </c>
      <c r="O624" s="497" t="s">
        <v>385</v>
      </c>
      <c r="P624" s="1368" t="s">
        <v>3033</v>
      </c>
      <c r="Q624" s="596"/>
      <c r="R624" s="497" t="s">
        <v>1566</v>
      </c>
      <c r="S624" s="497" t="s">
        <v>1901</v>
      </c>
      <c r="T624" s="1368" t="s">
        <v>3033</v>
      </c>
      <c r="U624" s="596"/>
      <c r="V624" s="596"/>
      <c r="W624" s="596"/>
      <c r="X624" s="596"/>
      <c r="Y624" s="596"/>
      <c r="Z624" s="596"/>
      <c r="AA624" s="596"/>
    </row>
    <row r="625" spans="1:27" ht="12" customHeight="1">
      <c r="A625" s="596"/>
      <c r="B625" s="597"/>
      <c r="C625" s="596"/>
      <c r="D625" s="596"/>
      <c r="E625" s="596"/>
      <c r="F625" s="596"/>
      <c r="G625" s="596"/>
      <c r="H625" s="596"/>
      <c r="I625" s="596"/>
      <c r="J625" s="613" t="s">
        <v>3038</v>
      </c>
      <c r="K625" s="614"/>
      <c r="L625" s="609"/>
      <c r="M625" s="610"/>
      <c r="N625" s="615" t="s">
        <v>3035</v>
      </c>
      <c r="O625" s="615" t="s">
        <v>1894</v>
      </c>
      <c r="P625" s="610" t="s">
        <v>1095</v>
      </c>
      <c r="Q625" s="596"/>
      <c r="R625" s="497" t="s">
        <v>1567</v>
      </c>
      <c r="S625" s="497" t="s">
        <v>2121</v>
      </c>
      <c r="T625" s="1368" t="s">
        <v>3033</v>
      </c>
      <c r="U625" s="596"/>
      <c r="V625" s="596"/>
      <c r="W625" s="596"/>
      <c r="X625" s="596"/>
      <c r="Y625" s="596"/>
      <c r="Z625" s="596"/>
      <c r="AA625" s="596"/>
    </row>
    <row r="626" spans="1:27" ht="12" customHeight="1">
      <c r="A626" s="596"/>
      <c r="B626" s="597"/>
      <c r="C626" s="596"/>
      <c r="D626" s="596"/>
      <c r="E626" s="596"/>
      <c r="F626" s="596"/>
      <c r="G626" s="596"/>
      <c r="H626" s="596"/>
      <c r="I626" s="596"/>
      <c r="J626" s="613" t="s">
        <v>3040</v>
      </c>
      <c r="K626" s="614"/>
      <c r="L626" s="609"/>
      <c r="M626" s="610"/>
      <c r="N626" s="615" t="s">
        <v>3037</v>
      </c>
      <c r="O626" s="615" t="s">
        <v>3079</v>
      </c>
      <c r="P626" s="610" t="s">
        <v>1096</v>
      </c>
      <c r="Q626" s="596"/>
      <c r="R626" s="497" t="s">
        <v>1568</v>
      </c>
      <c r="S626" s="497" t="s">
        <v>1623</v>
      </c>
      <c r="T626" s="1368" t="s">
        <v>3033</v>
      </c>
      <c r="U626" s="596"/>
      <c r="V626" s="596"/>
      <c r="W626" s="596"/>
      <c r="X626" s="596"/>
      <c r="Y626" s="596"/>
      <c r="Z626" s="596"/>
      <c r="AA626" s="596"/>
    </row>
    <row r="627" spans="1:27" ht="12" customHeight="1">
      <c r="A627" s="596"/>
      <c r="B627" s="597"/>
      <c r="C627" s="596"/>
      <c r="D627" s="596"/>
      <c r="E627" s="596"/>
      <c r="F627" s="596"/>
      <c r="G627" s="596"/>
      <c r="H627" s="596"/>
      <c r="I627" s="596"/>
      <c r="J627" s="613" t="s">
        <v>3042</v>
      </c>
      <c r="K627" s="614"/>
      <c r="L627" s="609"/>
      <c r="M627" s="610"/>
      <c r="N627" s="615" t="s">
        <v>3039</v>
      </c>
      <c r="O627" s="615" t="s">
        <v>213</v>
      </c>
      <c r="P627" s="610" t="s">
        <v>1097</v>
      </c>
      <c r="Q627" s="596"/>
      <c r="R627" s="497" t="s">
        <v>1569</v>
      </c>
      <c r="S627" s="497" t="s">
        <v>2887</v>
      </c>
      <c r="T627" s="1368" t="s">
        <v>3033</v>
      </c>
      <c r="U627" s="596"/>
      <c r="V627" s="596"/>
      <c r="W627" s="596"/>
      <c r="X627" s="596"/>
      <c r="Y627" s="596"/>
      <c r="Z627" s="596"/>
      <c r="AA627" s="596"/>
    </row>
    <row r="628" spans="1:27" ht="12" customHeight="1">
      <c r="A628" s="596"/>
      <c r="B628" s="597"/>
      <c r="C628" s="596"/>
      <c r="D628" s="596"/>
      <c r="E628" s="596"/>
      <c r="F628" s="596"/>
      <c r="G628" s="596"/>
      <c r="H628" s="596"/>
      <c r="I628" s="596"/>
      <c r="J628" s="613" t="s">
        <v>3044</v>
      </c>
      <c r="K628" s="614"/>
      <c r="L628" s="609"/>
      <c r="M628" s="610"/>
      <c r="N628" s="615" t="s">
        <v>3041</v>
      </c>
      <c r="O628" s="615" t="s">
        <v>2038</v>
      </c>
      <c r="P628" s="610" t="s">
        <v>1098</v>
      </c>
      <c r="Q628" s="596"/>
      <c r="R628" s="615" t="s">
        <v>1315</v>
      </c>
      <c r="S628" s="615" t="s">
        <v>1363</v>
      </c>
      <c r="T628" s="1368" t="s">
        <v>3033</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3043</v>
      </c>
      <c r="O629" s="615" t="s">
        <v>933</v>
      </c>
      <c r="P629" s="610" t="s">
        <v>1099</v>
      </c>
      <c r="Q629" s="596"/>
      <c r="R629" s="497" t="s">
        <v>1570</v>
      </c>
      <c r="S629" s="497" t="s">
        <v>3492</v>
      </c>
      <c r="T629" s="1368" t="s">
        <v>3033</v>
      </c>
      <c r="U629" s="596"/>
      <c r="V629" s="596"/>
      <c r="W629" s="596"/>
      <c r="X629" s="596"/>
      <c r="Y629" s="596"/>
      <c r="Z629" s="596"/>
      <c r="AA629" s="596"/>
    </row>
    <row r="630" spans="1:27" ht="12" customHeight="1">
      <c r="A630" s="596"/>
      <c r="B630" s="597"/>
      <c r="C630" s="596"/>
      <c r="D630" s="596"/>
      <c r="E630" s="596"/>
      <c r="F630" s="596"/>
      <c r="G630" s="596"/>
      <c r="H630" s="596"/>
      <c r="I630" s="596"/>
      <c r="J630" s="613" t="s">
        <v>2899</v>
      </c>
      <c r="K630" s="614"/>
      <c r="L630" s="609"/>
      <c r="M630" s="610"/>
      <c r="N630" s="615" t="s">
        <v>95</v>
      </c>
      <c r="O630" s="615" t="s">
        <v>130</v>
      </c>
      <c r="P630" s="610" t="s">
        <v>1100</v>
      </c>
      <c r="Q630" s="596"/>
      <c r="R630" s="497" t="s">
        <v>2216</v>
      </c>
      <c r="S630" s="497" t="s">
        <v>3544</v>
      </c>
      <c r="T630" s="1368" t="s">
        <v>3033</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3081</v>
      </c>
      <c r="P631" s="610" t="s">
        <v>1101</v>
      </c>
      <c r="Q631" s="596"/>
      <c r="R631" s="497" t="s">
        <v>1571</v>
      </c>
      <c r="S631" s="497"/>
      <c r="T631" s="1368" t="s">
        <v>3033</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3033</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3033</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3071</v>
      </c>
      <c r="P634" s="610" t="s">
        <v>1104</v>
      </c>
      <c r="Q634" s="596"/>
      <c r="R634" s="497" t="s">
        <v>3200</v>
      </c>
      <c r="S634" s="497" t="s">
        <v>1744</v>
      </c>
      <c r="T634" s="1368" t="s">
        <v>3033</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3033</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3033</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3033</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3033</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3489</v>
      </c>
      <c r="P639" s="610" t="s">
        <v>1109</v>
      </c>
      <c r="Q639" s="596"/>
      <c r="R639" s="497" t="s">
        <v>1577</v>
      </c>
      <c r="S639" s="497" t="s">
        <v>2502</v>
      </c>
      <c r="T639" s="1368" t="s">
        <v>3033</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3495</v>
      </c>
      <c r="P640" s="610" t="s">
        <v>1110</v>
      </c>
      <c r="Q640" s="596"/>
      <c r="R640" s="497" t="s">
        <v>1578</v>
      </c>
      <c r="S640" s="497" t="s">
        <v>1450</v>
      </c>
      <c r="T640" s="1368" t="s">
        <v>3033</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3548</v>
      </c>
      <c r="P641" s="610" t="s">
        <v>1111</v>
      </c>
      <c r="Q641" s="596"/>
      <c r="R641" s="497" t="s">
        <v>1579</v>
      </c>
      <c r="S641" s="497" t="s">
        <v>131</v>
      </c>
      <c r="T641" s="1368" t="s">
        <v>3033</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3033</v>
      </c>
      <c r="Q642" s="596"/>
      <c r="R642" s="497" t="s">
        <v>1580</v>
      </c>
      <c r="S642" s="497" t="s">
        <v>887</v>
      </c>
      <c r="T642" s="1368" t="s">
        <v>3033</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2830</v>
      </c>
      <c r="P643" s="610" t="s">
        <v>1112</v>
      </c>
      <c r="Q643" s="596"/>
      <c r="R643" s="497" t="s">
        <v>1581</v>
      </c>
      <c r="S643" s="497" t="s">
        <v>385</v>
      </c>
      <c r="T643" s="1368" t="s">
        <v>3033</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3033</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3181</v>
      </c>
      <c r="O645" s="615" t="s">
        <v>3064</v>
      </c>
      <c r="P645" s="610" t="s">
        <v>1114</v>
      </c>
      <c r="Q645" s="596"/>
      <c r="R645" s="497" t="s">
        <v>1319</v>
      </c>
      <c r="S645" s="497" t="s">
        <v>1880</v>
      </c>
      <c r="T645" s="1368" t="s">
        <v>3033</v>
      </c>
      <c r="U645" s="596"/>
      <c r="V645" s="596"/>
      <c r="W645" s="596"/>
      <c r="X645" s="596"/>
      <c r="Y645" s="596"/>
      <c r="Z645" s="596"/>
      <c r="AA645" s="596"/>
    </row>
    <row r="646" spans="1:27" ht="12" customHeight="1">
      <c r="A646" s="596"/>
      <c r="B646" s="597"/>
      <c r="C646" s="596"/>
      <c r="D646" s="596"/>
      <c r="E646" s="596"/>
      <c r="F646" s="596"/>
      <c r="G646" s="596"/>
      <c r="H646" s="596"/>
      <c r="I646" s="596"/>
      <c r="J646" s="613" t="s">
        <v>3180</v>
      </c>
      <c r="K646" s="614"/>
      <c r="L646" s="609"/>
      <c r="M646" s="610"/>
      <c r="N646" s="615" t="s">
        <v>3183</v>
      </c>
      <c r="O646" s="615" t="s">
        <v>924</v>
      </c>
      <c r="P646" s="610" t="s">
        <v>1115</v>
      </c>
      <c r="Q646" s="596"/>
      <c r="R646" s="497" t="s">
        <v>1583</v>
      </c>
      <c r="S646" s="497" t="s">
        <v>932</v>
      </c>
      <c r="T646" s="1368" t="s">
        <v>3033</v>
      </c>
      <c r="U646" s="596"/>
      <c r="V646" s="596"/>
      <c r="W646" s="596"/>
      <c r="X646" s="596"/>
      <c r="Y646" s="596"/>
      <c r="Z646" s="596"/>
      <c r="AA646" s="596"/>
    </row>
    <row r="647" spans="1:27" ht="12" customHeight="1">
      <c r="A647" s="596"/>
      <c r="B647" s="597"/>
      <c r="C647" s="596"/>
      <c r="D647" s="596"/>
      <c r="E647" s="596"/>
      <c r="F647" s="596"/>
      <c r="G647" s="596"/>
      <c r="H647" s="596"/>
      <c r="I647" s="596"/>
      <c r="J647" s="613" t="s">
        <v>3182</v>
      </c>
      <c r="K647" s="614"/>
      <c r="L647" s="609"/>
      <c r="M647" s="610"/>
      <c r="N647" s="615" t="s">
        <v>2625</v>
      </c>
      <c r="O647" s="615" t="s">
        <v>1129</v>
      </c>
      <c r="P647" s="610" t="s">
        <v>1116</v>
      </c>
      <c r="Q647" s="596"/>
      <c r="R647" s="497" t="s">
        <v>1584</v>
      </c>
      <c r="S647" s="497" t="s">
        <v>2121</v>
      </c>
      <c r="T647" s="1368" t="s">
        <v>3033</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3535</v>
      </c>
      <c r="O648" s="615" t="s">
        <v>2889</v>
      </c>
      <c r="P648" s="610" t="s">
        <v>1117</v>
      </c>
      <c r="Q648" s="596"/>
      <c r="R648" s="497" t="s">
        <v>1585</v>
      </c>
      <c r="S648" s="497" t="s">
        <v>887</v>
      </c>
      <c r="T648" s="1368" t="s">
        <v>3033</v>
      </c>
      <c r="U648" s="596"/>
      <c r="V648" s="596"/>
      <c r="W648" s="596"/>
      <c r="X648" s="596"/>
      <c r="Y648" s="596"/>
      <c r="Z648" s="596"/>
      <c r="AA648" s="596"/>
    </row>
    <row r="649" spans="1:27" ht="12" customHeight="1">
      <c r="A649" s="596"/>
      <c r="B649" s="597"/>
      <c r="C649" s="596"/>
      <c r="D649" s="596"/>
      <c r="E649" s="596"/>
      <c r="F649" s="596"/>
      <c r="G649" s="596"/>
      <c r="H649" s="596"/>
      <c r="I649" s="596"/>
      <c r="J649" s="613" t="s">
        <v>3534</v>
      </c>
      <c r="K649" s="614"/>
      <c r="L649" s="609"/>
      <c r="M649" s="610"/>
      <c r="N649" s="615" t="s">
        <v>3058</v>
      </c>
      <c r="O649" s="615" t="s">
        <v>1744</v>
      </c>
      <c r="P649" s="610" t="s">
        <v>1118</v>
      </c>
      <c r="Q649" s="596"/>
      <c r="R649" s="497" t="s">
        <v>1586</v>
      </c>
      <c r="S649" s="497" t="s">
        <v>924</v>
      </c>
      <c r="T649" s="1368" t="s">
        <v>3033</v>
      </c>
      <c r="U649" s="596"/>
      <c r="V649" s="596"/>
      <c r="W649" s="596"/>
      <c r="X649" s="596"/>
      <c r="Y649" s="596"/>
      <c r="Z649" s="596"/>
      <c r="AA649" s="596"/>
    </row>
    <row r="650" spans="1:27" ht="12" customHeight="1">
      <c r="A650" s="596"/>
      <c r="B650" s="597"/>
      <c r="C650" s="596"/>
      <c r="D650" s="596"/>
      <c r="E650" s="596"/>
      <c r="F650" s="596"/>
      <c r="G650" s="596"/>
      <c r="H650" s="596"/>
      <c r="I650" s="596"/>
      <c r="J650" s="613" t="s">
        <v>3057</v>
      </c>
      <c r="K650" s="614"/>
      <c r="L650" s="609"/>
      <c r="M650" s="610"/>
      <c r="N650" s="615" t="s">
        <v>2361</v>
      </c>
      <c r="O650" s="615" t="s">
        <v>926</v>
      </c>
      <c r="P650" s="610" t="s">
        <v>701</v>
      </c>
      <c r="Q650" s="596"/>
      <c r="R650" s="497" t="s">
        <v>1587</v>
      </c>
      <c r="S650" s="497" t="s">
        <v>196</v>
      </c>
      <c r="T650" s="1368" t="s">
        <v>3033</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2789</v>
      </c>
      <c r="T651" s="1368" t="s">
        <v>3033</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3033</v>
      </c>
      <c r="Q652" s="596"/>
      <c r="R652" s="497" t="s">
        <v>1589</v>
      </c>
      <c r="S652" s="497" t="s">
        <v>2887</v>
      </c>
      <c r="T652" s="1368" t="s">
        <v>3033</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3623</v>
      </c>
      <c r="P653" s="610" t="s">
        <v>702</v>
      </c>
      <c r="Q653" s="596"/>
      <c r="R653" s="497" t="s">
        <v>1590</v>
      </c>
      <c r="S653" s="497" t="s">
        <v>887</v>
      </c>
      <c r="T653" s="1368" t="s">
        <v>3033</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3033</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3033</v>
      </c>
      <c r="Q655" s="596"/>
      <c r="R655" s="497" t="s">
        <v>1592</v>
      </c>
      <c r="S655" s="497" t="s">
        <v>3492</v>
      </c>
      <c r="T655" s="1368" t="s">
        <v>3033</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3400</v>
      </c>
      <c r="O656" s="615" t="s">
        <v>115</v>
      </c>
      <c r="P656" s="610" t="s">
        <v>703</v>
      </c>
      <c r="Q656" s="596"/>
      <c r="R656" s="497" t="s">
        <v>1593</v>
      </c>
      <c r="S656" s="497" t="s">
        <v>196</v>
      </c>
      <c r="T656" s="1368" t="s">
        <v>3033</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3033</v>
      </c>
      <c r="U657" s="596"/>
      <c r="V657" s="596"/>
      <c r="W657" s="596"/>
      <c r="X657" s="596"/>
      <c r="Y657" s="596"/>
      <c r="Z657" s="596"/>
      <c r="AA657" s="596"/>
    </row>
    <row r="658" spans="1:27" ht="12" customHeight="1">
      <c r="A658" s="596"/>
      <c r="B658" s="597"/>
      <c r="C658" s="596"/>
      <c r="D658" s="596"/>
      <c r="E658" s="596"/>
      <c r="F658" s="596"/>
      <c r="G658" s="596"/>
      <c r="H658" s="596"/>
      <c r="I658" s="596"/>
      <c r="J658" s="613" t="s">
        <v>3401</v>
      </c>
      <c r="K658" s="614"/>
      <c r="L658" s="609"/>
      <c r="M658" s="610"/>
      <c r="N658" s="615" t="s">
        <v>1870</v>
      </c>
      <c r="O658" s="615" t="s">
        <v>2787</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3542</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3354</v>
      </c>
      <c r="K663" s="614"/>
      <c r="L663" s="609"/>
      <c r="M663" s="610"/>
      <c r="N663" s="497" t="s">
        <v>1585</v>
      </c>
      <c r="O663" s="497" t="s">
        <v>887</v>
      </c>
      <c r="P663" s="1368" t="s">
        <v>3033</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3541</v>
      </c>
      <c r="K664" s="614"/>
      <c r="L664" s="609"/>
      <c r="M664" s="610"/>
      <c r="N664" s="615" t="s">
        <v>3064</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2882</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3547</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3033</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3077</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3547</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2873</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2872</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3033</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2761</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2759</v>
      </c>
      <c r="K676" s="614"/>
      <c r="L676" s="609"/>
      <c r="M676" s="610"/>
      <c r="N676" s="615" t="s">
        <v>2763</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2760</v>
      </c>
      <c r="K677" s="614"/>
      <c r="L677" s="609"/>
      <c r="M677" s="610"/>
      <c r="N677" s="615" t="s">
        <v>2765</v>
      </c>
      <c r="O677" s="615" t="s">
        <v>3492</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2762</v>
      </c>
      <c r="K678" s="614"/>
      <c r="L678" s="609"/>
      <c r="M678" s="610"/>
      <c r="N678" s="615" t="s">
        <v>2767</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2764</v>
      </c>
      <c r="K679" s="614"/>
      <c r="L679" s="609"/>
      <c r="M679" s="610"/>
      <c r="N679" s="615" t="s">
        <v>696</v>
      </c>
      <c r="O679" s="615" t="s">
        <v>2890</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2766</v>
      </c>
      <c r="K680" s="614"/>
      <c r="L680" s="609"/>
      <c r="M680" s="610"/>
      <c r="N680" s="615" t="s">
        <v>3552</v>
      </c>
      <c r="O680" s="615" t="s">
        <v>2791</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3554</v>
      </c>
      <c r="O681" s="615" t="s">
        <v>3545</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3551</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3553</v>
      </c>
      <c r="K683" s="614"/>
      <c r="L683" s="609"/>
      <c r="M683" s="610"/>
      <c r="N683" s="615" t="s">
        <v>3531</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3530</v>
      </c>
      <c r="K685" s="614"/>
      <c r="L685" s="609"/>
      <c r="M685" s="610"/>
      <c r="N685" s="497" t="s">
        <v>1583</v>
      </c>
      <c r="O685" s="497" t="s">
        <v>932</v>
      </c>
      <c r="P685" s="1368" t="s">
        <v>3033</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3532</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2991</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2989</v>
      </c>
      <c r="K689" s="614"/>
      <c r="L689" s="609"/>
      <c r="M689" s="610"/>
      <c r="N689" s="615" t="s">
        <v>1431</v>
      </c>
      <c r="O689" s="615" t="s">
        <v>3155</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2990</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3510</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2777</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2780</v>
      </c>
      <c r="O693" s="615" t="s">
        <v>3155</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2782</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3379</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3509</v>
      </c>
      <c r="K696" s="614"/>
      <c r="L696" s="609"/>
      <c r="M696" s="610"/>
      <c r="N696" s="615" t="s">
        <v>1303</v>
      </c>
      <c r="O696" s="615" t="s">
        <v>3068</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3511</v>
      </c>
      <c r="K697" s="614"/>
      <c r="L697" s="609"/>
      <c r="M697" s="610"/>
      <c r="N697" s="497" t="s">
        <v>1588</v>
      </c>
      <c r="O697" s="497" t="s">
        <v>2789</v>
      </c>
      <c r="P697" s="1368" t="s">
        <v>3033</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3512</v>
      </c>
      <c r="K698" s="614"/>
      <c r="L698" s="609"/>
      <c r="M698" s="610"/>
      <c r="N698" s="497" t="s">
        <v>1589</v>
      </c>
      <c r="O698" s="497" t="s">
        <v>2887</v>
      </c>
      <c r="P698" s="1368" t="s">
        <v>3033</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2778</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2779</v>
      </c>
      <c r="K700" s="614"/>
      <c r="L700" s="609"/>
      <c r="M700" s="610"/>
      <c r="N700" s="615" t="s">
        <v>3230</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2781</v>
      </c>
      <c r="K701" s="614"/>
      <c r="L701" s="609"/>
      <c r="M701" s="610"/>
      <c r="N701" s="615" t="s">
        <v>1987</v>
      </c>
      <c r="O701" s="615" t="s">
        <v>3155</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3170</v>
      </c>
      <c r="O702" s="615" t="s">
        <v>2795</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3172</v>
      </c>
      <c r="O703" s="615" t="s">
        <v>3064</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3174</v>
      </c>
      <c r="O704" s="615" t="s">
        <v>3379</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3229</v>
      </c>
      <c r="K705" s="614"/>
      <c r="L705" s="609"/>
      <c r="M705" s="610"/>
      <c r="N705" s="615" t="s">
        <v>1629</v>
      </c>
      <c r="O705" s="615" t="s">
        <v>3075</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2934</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3171</v>
      </c>
      <c r="K708" s="614"/>
      <c r="L708" s="609"/>
      <c r="M708" s="610"/>
      <c r="N708" s="615" t="s">
        <v>2849</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3173</v>
      </c>
      <c r="K709" s="614"/>
      <c r="L709" s="609"/>
      <c r="M709" s="610"/>
      <c r="N709" s="615" t="s">
        <v>2851</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2853</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2933</v>
      </c>
      <c r="K712" s="614"/>
      <c r="L712" s="609"/>
      <c r="M712" s="610"/>
      <c r="N712" s="615" t="s">
        <v>2987</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2848</v>
      </c>
      <c r="K713" s="614"/>
      <c r="L713" s="609"/>
      <c r="M713" s="610"/>
      <c r="N713" s="615" t="s">
        <v>3015</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2850</v>
      </c>
      <c r="K714" s="614"/>
      <c r="L714" s="609"/>
      <c r="M714" s="610"/>
      <c r="N714" s="615" t="s">
        <v>1320</v>
      </c>
      <c r="O714" s="615" t="s">
        <v>2887</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2852</v>
      </c>
      <c r="K715" s="614"/>
      <c r="L715" s="609"/>
      <c r="M715" s="610"/>
      <c r="N715" s="615" t="s">
        <v>3016</v>
      </c>
      <c r="O715" s="615" t="s">
        <v>2887</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3017</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3256</v>
      </c>
      <c r="O717" s="615" t="s">
        <v>2753</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2986</v>
      </c>
      <c r="K718" s="614"/>
      <c r="L718" s="609"/>
      <c r="M718" s="610"/>
      <c r="N718" s="615" t="s">
        <v>3257</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3014</v>
      </c>
      <c r="K719" s="614"/>
      <c r="L719" s="609"/>
      <c r="M719" s="610"/>
      <c r="N719" s="615" t="s">
        <v>3258</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3259</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3260</v>
      </c>
      <c r="O721" s="615" t="s">
        <v>3375</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3175</v>
      </c>
      <c r="O722" s="615" t="s">
        <v>3069</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3377</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3033</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2829</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3547</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3155</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3033</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2829</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2787</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3492</v>
      </c>
      <c r="P745" s="1368" t="s">
        <v>3033</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2890</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2755</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3379</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3375</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3629</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2891</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2793</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3033</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3033</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2755</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3075</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3355</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3356</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3357</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2887</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2789</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3517</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H16" sqref="H16:N1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2012-047 Magnolia Pointe Apartments, Montezuma, Macon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2730</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2863</v>
      </c>
      <c r="C5" s="456" t="s">
        <v>2726</v>
      </c>
      <c r="H5" s="1292" t="s">
        <v>3990</v>
      </c>
      <c r="I5" s="1341"/>
      <c r="J5" s="1341"/>
      <c r="K5" s="1341"/>
      <c r="L5" s="1341"/>
      <c r="M5" s="1341"/>
      <c r="N5" s="1342"/>
      <c r="O5" s="826" t="s">
        <v>2870</v>
      </c>
      <c r="P5" s="826"/>
      <c r="Q5" s="1292" t="s">
        <v>3996</v>
      </c>
      <c r="R5" s="1341"/>
      <c r="S5" s="1342"/>
    </row>
    <row r="6" spans="1:19" s="449" customFormat="1" ht="12.6" customHeight="1">
      <c r="D6" s="498"/>
      <c r="E6" s="455" t="s">
        <v>1527</v>
      </c>
      <c r="F6" s="463"/>
      <c r="H6" s="1292" t="s">
        <v>3992</v>
      </c>
      <c r="I6" s="1341"/>
      <c r="J6" s="1341"/>
      <c r="K6" s="1341"/>
      <c r="L6" s="1341"/>
      <c r="M6" s="1341"/>
      <c r="N6" s="1342"/>
      <c r="O6" s="826" t="s">
        <v>2601</v>
      </c>
      <c r="Q6" s="1292" t="s">
        <v>3995</v>
      </c>
      <c r="R6" s="1341"/>
      <c r="S6" s="1342"/>
    </row>
    <row r="7" spans="1:19" s="449" customFormat="1" ht="12.6" customHeight="1">
      <c r="D7" s="498"/>
      <c r="E7" s="455" t="s">
        <v>876</v>
      </c>
      <c r="H7" s="1292" t="s">
        <v>643</v>
      </c>
      <c r="I7" s="1341"/>
      <c r="J7" s="1342"/>
      <c r="K7" s="1370" t="s">
        <v>1159</v>
      </c>
      <c r="L7" s="1292"/>
      <c r="M7" s="1341"/>
      <c r="N7" s="1342"/>
      <c r="O7" s="826" t="s">
        <v>2659</v>
      </c>
      <c r="Q7" s="1300">
        <v>8503168516</v>
      </c>
      <c r="R7" s="1305"/>
      <c r="S7" s="1301"/>
    </row>
    <row r="8" spans="1:19" s="449" customFormat="1" ht="12.6" customHeight="1">
      <c r="D8" s="498"/>
      <c r="E8" s="455" t="s">
        <v>2655</v>
      </c>
      <c r="H8" s="1306" t="s">
        <v>1337</v>
      </c>
      <c r="I8" s="839" t="s">
        <v>1843</v>
      </c>
      <c r="J8" s="1303">
        <v>310631262</v>
      </c>
      <c r="K8" s="1304"/>
      <c r="L8" s="397" t="s">
        <v>1846</v>
      </c>
      <c r="N8" s="1343">
        <v>2</v>
      </c>
      <c r="O8" s="826" t="s">
        <v>2859</v>
      </c>
      <c r="Q8" s="1300">
        <v>8508321214</v>
      </c>
      <c r="R8" s="1305"/>
      <c r="S8" s="1301"/>
    </row>
    <row r="9" spans="1:19" s="449" customFormat="1" ht="12.6" customHeight="1">
      <c r="D9" s="498"/>
      <c r="E9" s="455" t="s">
        <v>2865</v>
      </c>
      <c r="H9" s="1300">
        <v>8503168516</v>
      </c>
      <c r="I9" s="1301"/>
      <c r="J9" s="1371"/>
      <c r="K9" s="839" t="s">
        <v>2658</v>
      </c>
      <c r="L9" s="1329">
        <v>4784725012</v>
      </c>
      <c r="M9" s="1342"/>
      <c r="N9" s="457" t="s">
        <v>2864</v>
      </c>
      <c r="O9" s="1307" t="s">
        <v>3993</v>
      </c>
      <c r="P9" s="1308"/>
      <c r="Q9" s="1308"/>
      <c r="R9" s="1308"/>
      <c r="S9" s="1309"/>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2866</v>
      </c>
      <c r="C12" s="456" t="s">
        <v>2727</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2867</v>
      </c>
      <c r="D14" s="496" t="s">
        <v>2868</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8"/>
      <c r="L15" s="1374"/>
      <c r="M15" s="1374"/>
      <c r="N15" s="828"/>
      <c r="O15" s="863"/>
      <c r="P15" s="863"/>
      <c r="Q15" s="839"/>
      <c r="R15" s="863"/>
      <c r="S15" s="863"/>
    </row>
    <row r="16" spans="1:19" s="449" customFormat="1" ht="12.6" customHeight="1">
      <c r="D16" s="452" t="s">
        <v>3006</v>
      </c>
      <c r="E16" s="449" t="s">
        <v>2728</v>
      </c>
      <c r="H16" s="1292" t="s">
        <v>3997</v>
      </c>
      <c r="I16" s="1341"/>
      <c r="J16" s="1341"/>
      <c r="K16" s="1341"/>
      <c r="L16" s="1341"/>
      <c r="M16" s="1341"/>
      <c r="N16" s="1342"/>
      <c r="O16" s="826" t="s">
        <v>2870</v>
      </c>
      <c r="P16" s="826"/>
      <c r="Q16" s="1292" t="s">
        <v>3998</v>
      </c>
      <c r="R16" s="1341"/>
      <c r="S16" s="1342"/>
    </row>
    <row r="17" spans="4:19" s="449" customFormat="1" ht="12.6" customHeight="1">
      <c r="D17" s="498"/>
      <c r="E17" s="455" t="s">
        <v>1527</v>
      </c>
      <c r="F17" s="463"/>
      <c r="H17" s="1292" t="s">
        <v>3992</v>
      </c>
      <c r="I17" s="1341"/>
      <c r="J17" s="1341"/>
      <c r="K17" s="1341"/>
      <c r="L17" s="1341"/>
      <c r="M17" s="1341"/>
      <c r="N17" s="1342"/>
      <c r="O17" s="826" t="s">
        <v>2601</v>
      </c>
      <c r="Q17" s="1292" t="s">
        <v>3999</v>
      </c>
      <c r="R17" s="1341"/>
      <c r="S17" s="1342"/>
    </row>
    <row r="18" spans="4:19" s="449" customFormat="1" ht="12.6" customHeight="1">
      <c r="D18" s="498"/>
      <c r="E18" s="455" t="s">
        <v>876</v>
      </c>
      <c r="H18" s="1292" t="s">
        <v>643</v>
      </c>
      <c r="I18" s="1341"/>
      <c r="J18" s="1342"/>
      <c r="O18" s="826" t="s">
        <v>2659</v>
      </c>
      <c r="Q18" s="1300">
        <v>4684728209</v>
      </c>
      <c r="R18" s="1305"/>
      <c r="S18" s="1301"/>
    </row>
    <row r="19" spans="4:19" s="449" customFormat="1" ht="12.6" customHeight="1">
      <c r="D19" s="452"/>
      <c r="E19" s="455" t="s">
        <v>2655</v>
      </c>
      <c r="H19" s="1306" t="s">
        <v>1337</v>
      </c>
      <c r="I19" s="839" t="s">
        <v>1843</v>
      </c>
      <c r="J19" s="1303">
        <v>310631262</v>
      </c>
      <c r="K19" s="1304"/>
      <c r="L19" s="397" t="s">
        <v>1846</v>
      </c>
      <c r="N19" s="1343">
        <v>2</v>
      </c>
      <c r="O19" s="826" t="s">
        <v>2859</v>
      </c>
      <c r="Q19" s="1300"/>
      <c r="R19" s="1305"/>
      <c r="S19" s="1301"/>
    </row>
    <row r="20" spans="4:19" s="449" customFormat="1" ht="12.6" customHeight="1">
      <c r="D20" s="498"/>
      <c r="E20" s="455" t="s">
        <v>2865</v>
      </c>
      <c r="H20" s="1300">
        <v>4684728209</v>
      </c>
      <c r="I20" s="1301"/>
      <c r="J20" s="1371"/>
      <c r="K20" s="839" t="s">
        <v>2658</v>
      </c>
      <c r="L20" s="1329">
        <v>4784725012</v>
      </c>
      <c r="M20" s="1342"/>
      <c r="N20" s="457" t="s">
        <v>2864</v>
      </c>
      <c r="O20" s="1307" t="s">
        <v>4014</v>
      </c>
      <c r="P20" s="1308"/>
      <c r="Q20" s="1308"/>
      <c r="R20" s="1308"/>
      <c r="S20" s="1309"/>
    </row>
    <row r="21" spans="4:19" ht="4.1500000000000004" customHeight="1">
      <c r="D21" s="481"/>
      <c r="H21" s="1375"/>
      <c r="I21" s="1375"/>
      <c r="J21" s="1375"/>
      <c r="K21" s="839"/>
      <c r="L21" s="1375"/>
      <c r="M21" s="1375"/>
      <c r="N21" s="828"/>
      <c r="O21" s="863"/>
      <c r="P21" s="863"/>
      <c r="Q21" s="839"/>
      <c r="R21" s="863"/>
      <c r="S21" s="863"/>
    </row>
    <row r="22" spans="4:19" s="449" customFormat="1" ht="12.6" customHeight="1">
      <c r="D22" s="452" t="s">
        <v>3007</v>
      </c>
      <c r="E22" s="449" t="s">
        <v>2729</v>
      </c>
      <c r="F22" s="833"/>
      <c r="H22" s="1292" t="s">
        <v>3980</v>
      </c>
      <c r="I22" s="1341"/>
      <c r="J22" s="1341"/>
      <c r="K22" s="1341"/>
      <c r="L22" s="1341"/>
      <c r="M22" s="1341"/>
      <c r="N22" s="1342"/>
      <c r="O22" s="826" t="s">
        <v>2870</v>
      </c>
      <c r="P22" s="826"/>
      <c r="Q22" s="1292" t="s">
        <v>3981</v>
      </c>
      <c r="R22" s="1341"/>
      <c r="S22" s="1342"/>
    </row>
    <row r="23" spans="4:19" s="449" customFormat="1" ht="12.6" customHeight="1">
      <c r="D23" s="498"/>
      <c r="E23" s="455" t="s">
        <v>1527</v>
      </c>
      <c r="F23" s="463"/>
      <c r="H23" s="1292" t="s">
        <v>4013</v>
      </c>
      <c r="I23" s="1341"/>
      <c r="J23" s="1341"/>
      <c r="K23" s="1341"/>
      <c r="L23" s="1341"/>
      <c r="M23" s="1341"/>
      <c r="N23" s="1342"/>
      <c r="O23" s="826" t="s">
        <v>2601</v>
      </c>
      <c r="Q23" s="1292" t="s">
        <v>3982</v>
      </c>
      <c r="R23" s="1341"/>
      <c r="S23" s="1342"/>
    </row>
    <row r="24" spans="4:19" s="449" customFormat="1" ht="12.6" customHeight="1">
      <c r="D24" s="498"/>
      <c r="E24" s="455" t="s">
        <v>876</v>
      </c>
      <c r="H24" s="1292" t="s">
        <v>4000</v>
      </c>
      <c r="I24" s="1341"/>
      <c r="J24" s="1342"/>
      <c r="O24" s="826" t="s">
        <v>2659</v>
      </c>
      <c r="Q24" s="1300">
        <v>8503168516</v>
      </c>
      <c r="R24" s="1305"/>
      <c r="S24" s="1301"/>
    </row>
    <row r="25" spans="4:19" s="449" customFormat="1" ht="12.6" customHeight="1">
      <c r="E25" s="455" t="s">
        <v>2655</v>
      </c>
      <c r="H25" s="1306" t="s">
        <v>1926</v>
      </c>
      <c r="I25" s="483" t="s">
        <v>3139</v>
      </c>
      <c r="J25" s="1303">
        <v>384643415</v>
      </c>
      <c r="K25" s="1342"/>
      <c r="O25" s="826" t="s">
        <v>2859</v>
      </c>
      <c r="Q25" s="1300">
        <v>8508321214</v>
      </c>
      <c r="R25" s="1305"/>
      <c r="S25" s="1301"/>
    </row>
    <row r="26" spans="4:19" s="449" customFormat="1" ht="12.6" customHeight="1">
      <c r="D26" s="498"/>
      <c r="E26" s="455" t="s">
        <v>2865</v>
      </c>
      <c r="H26" s="1300">
        <v>8503168516</v>
      </c>
      <c r="I26" s="1301"/>
      <c r="J26" s="1371"/>
      <c r="K26" s="839" t="s">
        <v>2658</v>
      </c>
      <c r="L26" s="1329">
        <v>9317624724</v>
      </c>
      <c r="M26" s="1342"/>
      <c r="N26" s="457" t="s">
        <v>2864</v>
      </c>
      <c r="O26" s="1307" t="s">
        <v>3993</v>
      </c>
      <c r="P26" s="1308"/>
      <c r="Q26" s="1308"/>
      <c r="R26" s="1308"/>
      <c r="S26" s="1309"/>
    </row>
    <row r="27" spans="4:19" s="449" customFormat="1" ht="4.1500000000000004" customHeight="1">
      <c r="D27" s="498"/>
      <c r="E27" s="833"/>
      <c r="F27" s="833"/>
      <c r="G27" s="826"/>
      <c r="H27" s="1375"/>
      <c r="I27" s="1375"/>
      <c r="J27" s="1375"/>
      <c r="K27" s="839"/>
      <c r="L27" s="1375"/>
      <c r="M27" s="1375"/>
      <c r="N27" s="828"/>
      <c r="O27" s="863"/>
      <c r="P27" s="863"/>
      <c r="Q27" s="839"/>
      <c r="R27" s="863"/>
      <c r="S27" s="863"/>
    </row>
    <row r="28" spans="4:19" s="449" customFormat="1" ht="12.6" customHeight="1">
      <c r="D28" s="452" t="s">
        <v>2587</v>
      </c>
      <c r="E28" s="449" t="s">
        <v>2729</v>
      </c>
      <c r="F28" s="833"/>
      <c r="H28" s="1292"/>
      <c r="I28" s="1341"/>
      <c r="J28" s="1341"/>
      <c r="K28" s="1341"/>
      <c r="L28" s="1341"/>
      <c r="M28" s="1341"/>
      <c r="N28" s="1342"/>
      <c r="O28" s="826" t="s">
        <v>2870</v>
      </c>
      <c r="P28" s="826"/>
      <c r="Q28" s="1292"/>
      <c r="R28" s="1341"/>
      <c r="S28" s="1342"/>
    </row>
    <row r="29" spans="4:19" s="449" customFormat="1" ht="12.6" customHeight="1">
      <c r="D29" s="498"/>
      <c r="E29" s="455" t="s">
        <v>1527</v>
      </c>
      <c r="F29" s="463"/>
      <c r="H29" s="1292"/>
      <c r="I29" s="1341"/>
      <c r="J29" s="1341"/>
      <c r="K29" s="1341"/>
      <c r="L29" s="1341"/>
      <c r="M29" s="1341"/>
      <c r="N29" s="1342"/>
      <c r="O29" s="826" t="s">
        <v>2601</v>
      </c>
      <c r="Q29" s="1292"/>
      <c r="R29" s="1341"/>
      <c r="S29" s="1342"/>
    </row>
    <row r="30" spans="4:19" s="449" customFormat="1" ht="12.6" customHeight="1">
      <c r="D30" s="498"/>
      <c r="E30" s="455" t="s">
        <v>876</v>
      </c>
      <c r="H30" s="1292"/>
      <c r="I30" s="1341"/>
      <c r="J30" s="1342"/>
      <c r="O30" s="826" t="s">
        <v>2659</v>
      </c>
      <c r="Q30" s="1300"/>
      <c r="R30" s="1305"/>
      <c r="S30" s="1301"/>
    </row>
    <row r="31" spans="4:19" s="449" customFormat="1" ht="12.6" customHeight="1">
      <c r="E31" s="455" t="s">
        <v>2655</v>
      </c>
      <c r="H31" s="1306"/>
      <c r="I31" s="483" t="s">
        <v>3139</v>
      </c>
      <c r="J31" s="1303"/>
      <c r="K31" s="1342"/>
      <c r="O31" s="826" t="s">
        <v>2859</v>
      </c>
      <c r="Q31" s="1300"/>
      <c r="R31" s="1305"/>
      <c r="S31" s="1301"/>
    </row>
    <row r="32" spans="4:19" s="449" customFormat="1" ht="12.6" customHeight="1">
      <c r="D32" s="498"/>
      <c r="E32" s="455" t="s">
        <v>2865</v>
      </c>
      <c r="H32" s="1300"/>
      <c r="I32" s="1301"/>
      <c r="J32" s="1371"/>
      <c r="K32" s="839" t="s">
        <v>2658</v>
      </c>
      <c r="L32" s="1329"/>
      <c r="M32" s="1342"/>
      <c r="N32" s="457" t="s">
        <v>2864</v>
      </c>
      <c r="O32" s="1307"/>
      <c r="P32" s="1308"/>
      <c r="Q32" s="1308"/>
      <c r="R32" s="1308"/>
      <c r="S32" s="1309"/>
    </row>
    <row r="33" spans="3:19" ht="4.1500000000000004" customHeight="1"/>
    <row r="34" spans="3:19" s="449" customFormat="1" ht="13.15" customHeight="1">
      <c r="C34" s="500" t="s">
        <v>2869</v>
      </c>
      <c r="D34" s="496" t="s">
        <v>2731</v>
      </c>
      <c r="H34" s="833"/>
      <c r="I34" s="833"/>
      <c r="J34" s="833"/>
      <c r="K34" s="833"/>
      <c r="L34" s="833"/>
      <c r="M34" s="833"/>
    </row>
    <row r="35" spans="3:19" s="449" customFormat="1" ht="4.1500000000000004" customHeight="1">
      <c r="C35" s="502"/>
      <c r="D35" s="496"/>
      <c r="H35" s="1374"/>
      <c r="I35" s="1374"/>
      <c r="J35" s="1374"/>
      <c r="K35" s="828"/>
      <c r="L35" s="1374"/>
      <c r="M35" s="1374"/>
      <c r="N35" s="828"/>
      <c r="O35" s="863"/>
      <c r="P35" s="863"/>
      <c r="Q35" s="839"/>
      <c r="R35" s="863"/>
      <c r="S35" s="863"/>
    </row>
    <row r="36" spans="3:19" s="449" customFormat="1" ht="12.6" customHeight="1">
      <c r="D36" s="452" t="s">
        <v>3006</v>
      </c>
      <c r="E36" s="449" t="s">
        <v>1146</v>
      </c>
      <c r="H36" s="1292" t="s">
        <v>4023</v>
      </c>
      <c r="I36" s="1341"/>
      <c r="J36" s="1341"/>
      <c r="K36" s="1341"/>
      <c r="L36" s="1341"/>
      <c r="M36" s="1341"/>
      <c r="N36" s="1342"/>
      <c r="O36" s="826" t="s">
        <v>2870</v>
      </c>
      <c r="P36" s="826"/>
      <c r="Q36" s="1292" t="s">
        <v>4026</v>
      </c>
      <c r="R36" s="1341"/>
      <c r="S36" s="1342"/>
    </row>
    <row r="37" spans="3:19" s="449" customFormat="1" ht="12.6" customHeight="1">
      <c r="D37" s="498"/>
      <c r="E37" s="455" t="s">
        <v>1527</v>
      </c>
      <c r="F37" s="463"/>
      <c r="H37" s="1292" t="s">
        <v>4024</v>
      </c>
      <c r="I37" s="1341"/>
      <c r="J37" s="1341"/>
      <c r="K37" s="1341"/>
      <c r="L37" s="1341"/>
      <c r="M37" s="1341"/>
      <c r="N37" s="1342"/>
      <c r="O37" s="826" t="s">
        <v>2601</v>
      </c>
      <c r="Q37" s="1292" t="s">
        <v>4027</v>
      </c>
      <c r="R37" s="1341"/>
      <c r="S37" s="1342"/>
    </row>
    <row r="38" spans="3:19" s="449" customFormat="1" ht="12.6" customHeight="1">
      <c r="D38" s="498"/>
      <c r="E38" s="455" t="s">
        <v>876</v>
      </c>
      <c r="H38" s="1292" t="s">
        <v>4025</v>
      </c>
      <c r="I38" s="1341"/>
      <c r="J38" s="1342"/>
      <c r="O38" s="826" t="s">
        <v>2659</v>
      </c>
      <c r="Q38" s="1300"/>
      <c r="R38" s="1305"/>
      <c r="S38" s="1301"/>
    </row>
    <row r="39" spans="3:19" s="449" customFormat="1" ht="12.6" customHeight="1">
      <c r="E39" s="455" t="s">
        <v>2655</v>
      </c>
      <c r="H39" s="1306" t="s">
        <v>1336</v>
      </c>
      <c r="I39" s="483" t="s">
        <v>3139</v>
      </c>
      <c r="J39" s="1303">
        <v>337554186</v>
      </c>
      <c r="K39" s="1342"/>
      <c r="O39" s="826" t="s">
        <v>2859</v>
      </c>
      <c r="Q39" s="1300"/>
      <c r="R39" s="1305"/>
      <c r="S39" s="1301"/>
    </row>
    <row r="40" spans="3:19" s="449" customFormat="1" ht="12.6" customHeight="1">
      <c r="D40" s="498"/>
      <c r="E40" s="455" t="s">
        <v>2865</v>
      </c>
      <c r="H40" s="1300">
        <v>7274612200</v>
      </c>
      <c r="I40" s="1301"/>
      <c r="J40" s="1371"/>
      <c r="K40" s="839" t="s">
        <v>2658</v>
      </c>
      <c r="L40" s="1329">
        <v>7274616047</v>
      </c>
      <c r="M40" s="1342"/>
      <c r="N40" s="457" t="s">
        <v>2864</v>
      </c>
      <c r="O40" s="1307"/>
      <c r="P40" s="1308"/>
      <c r="Q40" s="1308"/>
      <c r="R40" s="1308"/>
      <c r="S40" s="1309"/>
    </row>
    <row r="41" spans="3:19" ht="4.1500000000000004" customHeight="1">
      <c r="H41" s="1375"/>
      <c r="I41" s="1375"/>
      <c r="J41" s="1375"/>
      <c r="K41" s="839"/>
      <c r="L41" s="1375"/>
      <c r="M41" s="1375"/>
      <c r="N41" s="828"/>
      <c r="O41" s="863"/>
      <c r="P41" s="863"/>
      <c r="Q41" s="839"/>
      <c r="R41" s="863"/>
      <c r="S41" s="863"/>
    </row>
    <row r="42" spans="3:19" s="449" customFormat="1" ht="12.6" customHeight="1">
      <c r="D42" s="452" t="s">
        <v>3007</v>
      </c>
      <c r="E42" s="449" t="s">
        <v>1147</v>
      </c>
      <c r="F42" s="452"/>
      <c r="H42" s="1292" t="s">
        <v>4023</v>
      </c>
      <c r="I42" s="1341"/>
      <c r="J42" s="1341"/>
      <c r="K42" s="1341"/>
      <c r="L42" s="1341"/>
      <c r="M42" s="1341"/>
      <c r="N42" s="1342"/>
      <c r="O42" s="826" t="s">
        <v>2870</v>
      </c>
      <c r="P42" s="826"/>
      <c r="Q42" s="1292" t="s">
        <v>4026</v>
      </c>
      <c r="R42" s="1341"/>
      <c r="S42" s="1342"/>
    </row>
    <row r="43" spans="3:19" s="449" customFormat="1" ht="12.6" customHeight="1">
      <c r="D43" s="498"/>
      <c r="E43" s="455" t="s">
        <v>1527</v>
      </c>
      <c r="F43" s="463"/>
      <c r="H43" s="1292" t="s">
        <v>4024</v>
      </c>
      <c r="I43" s="1341"/>
      <c r="J43" s="1341"/>
      <c r="K43" s="1341"/>
      <c r="L43" s="1341"/>
      <c r="M43" s="1341"/>
      <c r="N43" s="1342"/>
      <c r="O43" s="826" t="s">
        <v>2601</v>
      </c>
      <c r="Q43" s="1292" t="s">
        <v>4027</v>
      </c>
      <c r="R43" s="1341"/>
      <c r="S43" s="1342"/>
    </row>
    <row r="44" spans="3:19" s="449" customFormat="1" ht="12.6" customHeight="1">
      <c r="D44" s="498"/>
      <c r="E44" s="455" t="s">
        <v>876</v>
      </c>
      <c r="H44" s="1292" t="s">
        <v>4025</v>
      </c>
      <c r="I44" s="1341"/>
      <c r="J44" s="1342"/>
      <c r="O44" s="826" t="s">
        <v>2659</v>
      </c>
      <c r="Q44" s="1300"/>
      <c r="R44" s="1305"/>
      <c r="S44" s="1301"/>
    </row>
    <row r="45" spans="3:19" s="449" customFormat="1" ht="12.6" customHeight="1">
      <c r="D45" s="452"/>
      <c r="E45" s="455" t="s">
        <v>2655</v>
      </c>
      <c r="H45" s="1306" t="s">
        <v>1336</v>
      </c>
      <c r="I45" s="483" t="s">
        <v>3139</v>
      </c>
      <c r="J45" s="1303">
        <v>337554186</v>
      </c>
      <c r="K45" s="1342"/>
      <c r="O45" s="826" t="s">
        <v>2859</v>
      </c>
      <c r="Q45" s="1300"/>
      <c r="R45" s="1305"/>
      <c r="S45" s="1301"/>
    </row>
    <row r="46" spans="3:19" s="449" customFormat="1" ht="12.6" customHeight="1">
      <c r="D46" s="498"/>
      <c r="E46" s="455" t="s">
        <v>2865</v>
      </c>
      <c r="H46" s="1300">
        <v>7274612200</v>
      </c>
      <c r="I46" s="1301"/>
      <c r="J46" s="1371"/>
      <c r="K46" s="839" t="s">
        <v>2658</v>
      </c>
      <c r="L46" s="1329">
        <v>7274616047</v>
      </c>
      <c r="M46" s="1342"/>
      <c r="N46" s="457" t="s">
        <v>2864</v>
      </c>
      <c r="O46" s="1307"/>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3550</v>
      </c>
      <c r="D48" s="496" t="s">
        <v>916</v>
      </c>
      <c r="H48" s="833"/>
      <c r="I48" s="833"/>
      <c r="J48" s="833"/>
      <c r="K48" s="833"/>
      <c r="L48" s="833"/>
      <c r="M48" s="833"/>
    </row>
    <row r="49" spans="1:19" s="449" customFormat="1" ht="4.1500000000000004" customHeight="1">
      <c r="D49" s="502"/>
      <c r="E49" s="501"/>
      <c r="H49" s="1374"/>
      <c r="I49" s="1374"/>
      <c r="J49" s="1374"/>
      <c r="K49" s="828"/>
      <c r="L49" s="1374"/>
      <c r="M49" s="1374"/>
      <c r="N49" s="828"/>
      <c r="O49" s="863"/>
      <c r="P49" s="863"/>
      <c r="Q49" s="839"/>
      <c r="R49" s="863"/>
      <c r="S49" s="863"/>
    </row>
    <row r="50" spans="1:19" s="449" customFormat="1" ht="12.6" customHeight="1">
      <c r="E50" s="449" t="s">
        <v>98</v>
      </c>
      <c r="H50" s="1292" t="s">
        <v>4001</v>
      </c>
      <c r="I50" s="1341"/>
      <c r="J50" s="1341"/>
      <c r="K50" s="1341"/>
      <c r="L50" s="1341"/>
      <c r="M50" s="1341"/>
      <c r="N50" s="1342"/>
      <c r="O50" s="826" t="s">
        <v>2870</v>
      </c>
      <c r="P50" s="826"/>
      <c r="Q50" s="1292" t="s">
        <v>3998</v>
      </c>
      <c r="R50" s="1341"/>
      <c r="S50" s="1342"/>
    </row>
    <row r="51" spans="1:19" s="449" customFormat="1" ht="12.6" customHeight="1">
      <c r="D51" s="498"/>
      <c r="E51" s="455" t="s">
        <v>1527</v>
      </c>
      <c r="F51" s="463"/>
      <c r="H51" s="1292" t="s">
        <v>3992</v>
      </c>
      <c r="I51" s="1341"/>
      <c r="J51" s="1341"/>
      <c r="K51" s="1341"/>
      <c r="L51" s="1341"/>
      <c r="M51" s="1341"/>
      <c r="N51" s="1342"/>
      <c r="O51" s="826" t="s">
        <v>2601</v>
      </c>
      <c r="Q51" s="1292" t="s">
        <v>3999</v>
      </c>
      <c r="R51" s="1341"/>
      <c r="S51" s="1342"/>
    </row>
    <row r="52" spans="1:19" s="449" customFormat="1" ht="12.6" customHeight="1">
      <c r="D52" s="498"/>
      <c r="E52" s="455" t="s">
        <v>876</v>
      </c>
      <c r="H52" s="1292" t="s">
        <v>643</v>
      </c>
      <c r="I52" s="1341"/>
      <c r="J52" s="1342"/>
      <c r="O52" s="826" t="s">
        <v>2659</v>
      </c>
      <c r="Q52" s="1300">
        <v>4684728209</v>
      </c>
      <c r="R52" s="1305"/>
      <c r="S52" s="1301"/>
    </row>
    <row r="53" spans="1:19" s="449" customFormat="1" ht="12.6" customHeight="1">
      <c r="E53" s="455" t="s">
        <v>2655</v>
      </c>
      <c r="H53" s="1306" t="s">
        <v>1337</v>
      </c>
      <c r="I53" s="483" t="s">
        <v>3139</v>
      </c>
      <c r="J53" s="1303">
        <v>310631262</v>
      </c>
      <c r="K53" s="1304"/>
      <c r="O53" s="826" t="s">
        <v>2859</v>
      </c>
      <c r="Q53" s="1300"/>
      <c r="R53" s="1305"/>
      <c r="S53" s="1301"/>
    </row>
    <row r="54" spans="1:19" s="449" customFormat="1" ht="12.6" customHeight="1">
      <c r="D54" s="498"/>
      <c r="E54" s="455" t="s">
        <v>2865</v>
      </c>
      <c r="H54" s="1300">
        <v>4684728209</v>
      </c>
      <c r="I54" s="1301"/>
      <c r="J54" s="1371"/>
      <c r="K54" s="839" t="s">
        <v>2658</v>
      </c>
      <c r="L54" s="1329">
        <v>4784725012</v>
      </c>
      <c r="M54" s="1342"/>
      <c r="N54" s="457" t="s">
        <v>2864</v>
      </c>
      <c r="O54" s="1307" t="s">
        <v>4014</v>
      </c>
      <c r="P54" s="1308"/>
      <c r="Q54" s="1308"/>
      <c r="R54" s="1308"/>
      <c r="S54" s="1309"/>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4"/>
      <c r="I57" s="1374"/>
      <c r="J57" s="1374"/>
      <c r="K57" s="828"/>
      <c r="L57" s="1374"/>
      <c r="M57" s="1374"/>
      <c r="N57" s="828"/>
      <c r="O57" s="863"/>
      <c r="P57" s="863"/>
      <c r="Q57" s="839"/>
      <c r="R57" s="863"/>
      <c r="S57" s="863"/>
    </row>
    <row r="58" spans="1:19" s="449" customFormat="1" ht="13.15" customHeight="1">
      <c r="B58" s="452" t="s">
        <v>2863</v>
      </c>
      <c r="C58" s="452" t="s">
        <v>349</v>
      </c>
      <c r="H58" s="1292" t="s">
        <v>4001</v>
      </c>
      <c r="I58" s="1341"/>
      <c r="J58" s="1341"/>
      <c r="K58" s="1341"/>
      <c r="L58" s="1341"/>
      <c r="M58" s="1341"/>
      <c r="N58" s="1342"/>
      <c r="O58" s="826" t="s">
        <v>2870</v>
      </c>
      <c r="P58" s="826"/>
      <c r="Q58" s="1292" t="s">
        <v>3998</v>
      </c>
      <c r="R58" s="1341"/>
      <c r="S58" s="1342"/>
    </row>
    <row r="59" spans="1:19" s="449" customFormat="1" ht="13.15" customHeight="1">
      <c r="D59" s="498"/>
      <c r="E59" s="455" t="s">
        <v>1527</v>
      </c>
      <c r="F59" s="463"/>
      <c r="H59" s="1292" t="s">
        <v>3992</v>
      </c>
      <c r="I59" s="1341"/>
      <c r="J59" s="1341"/>
      <c r="K59" s="1341"/>
      <c r="L59" s="1341"/>
      <c r="M59" s="1341"/>
      <c r="N59" s="1342"/>
      <c r="O59" s="826" t="s">
        <v>2601</v>
      </c>
      <c r="Q59" s="1292" t="s">
        <v>3999</v>
      </c>
      <c r="R59" s="1341"/>
      <c r="S59" s="1342"/>
    </row>
    <row r="60" spans="1:19" s="449" customFormat="1" ht="13.15" customHeight="1">
      <c r="D60" s="498"/>
      <c r="E60" s="455" t="s">
        <v>876</v>
      </c>
      <c r="H60" s="1292" t="s">
        <v>643</v>
      </c>
      <c r="I60" s="1341"/>
      <c r="J60" s="1342"/>
      <c r="O60" s="826" t="s">
        <v>2659</v>
      </c>
      <c r="Q60" s="1300">
        <v>4684728209</v>
      </c>
      <c r="R60" s="1305"/>
      <c r="S60" s="1301"/>
    </row>
    <row r="61" spans="1:19" s="449" customFormat="1" ht="13.15" customHeight="1">
      <c r="E61" s="455" t="s">
        <v>2655</v>
      </c>
      <c r="H61" s="1306" t="s">
        <v>1337</v>
      </c>
      <c r="I61" s="483" t="s">
        <v>3139</v>
      </c>
      <c r="J61" s="1303">
        <v>310631262</v>
      </c>
      <c r="K61" s="1304"/>
      <c r="O61" s="826" t="s">
        <v>2859</v>
      </c>
      <c r="Q61" s="1300"/>
      <c r="R61" s="1305"/>
      <c r="S61" s="1301"/>
    </row>
    <row r="62" spans="1:19" s="449" customFormat="1" ht="13.15" customHeight="1">
      <c r="D62" s="498"/>
      <c r="E62" s="455" t="s">
        <v>2865</v>
      </c>
      <c r="H62" s="1300">
        <v>4684728209</v>
      </c>
      <c r="I62" s="1301"/>
      <c r="J62" s="1371"/>
      <c r="K62" s="839" t="s">
        <v>2658</v>
      </c>
      <c r="L62" s="1329">
        <v>4784725012</v>
      </c>
      <c r="M62" s="1342"/>
      <c r="N62" s="457" t="s">
        <v>2864</v>
      </c>
      <c r="O62" s="1307" t="s">
        <v>4014</v>
      </c>
      <c r="P62" s="1308"/>
      <c r="Q62" s="1308"/>
      <c r="R62" s="1308"/>
      <c r="S62" s="1309"/>
    </row>
    <row r="63" spans="1:19" s="449" customFormat="1" ht="6.6" customHeight="1">
      <c r="D63" s="498"/>
      <c r="E63" s="833"/>
      <c r="F63" s="833"/>
      <c r="G63" s="826"/>
      <c r="H63" s="1375"/>
      <c r="I63" s="1375"/>
      <c r="J63" s="1375"/>
      <c r="K63" s="839"/>
      <c r="L63" s="1375"/>
      <c r="M63" s="1375"/>
      <c r="N63" s="828"/>
      <c r="O63" s="863"/>
      <c r="P63" s="863"/>
      <c r="Q63" s="839"/>
      <c r="R63" s="863"/>
      <c r="S63" s="863"/>
    </row>
    <row r="64" spans="1:19" s="449" customFormat="1" ht="13.15" customHeight="1">
      <c r="B64" s="452" t="s">
        <v>2866</v>
      </c>
      <c r="C64" s="452" t="s">
        <v>350</v>
      </c>
      <c r="H64" s="1292" t="s">
        <v>3980</v>
      </c>
      <c r="I64" s="1341"/>
      <c r="J64" s="1341"/>
      <c r="K64" s="1341"/>
      <c r="L64" s="1341"/>
      <c r="M64" s="1341"/>
      <c r="N64" s="1342"/>
      <c r="O64" s="826" t="s">
        <v>2870</v>
      </c>
      <c r="P64" s="826"/>
      <c r="Q64" s="1292" t="s">
        <v>3981</v>
      </c>
      <c r="R64" s="1341"/>
      <c r="S64" s="1342"/>
    </row>
    <row r="65" spans="2:19" s="449" customFormat="1" ht="13.15" customHeight="1">
      <c r="D65" s="498"/>
      <c r="E65" s="455" t="s">
        <v>1527</v>
      </c>
      <c r="F65" s="463"/>
      <c r="H65" s="1292" t="s">
        <v>4013</v>
      </c>
      <c r="I65" s="1341"/>
      <c r="J65" s="1341"/>
      <c r="K65" s="1341"/>
      <c r="L65" s="1341"/>
      <c r="M65" s="1341"/>
      <c r="N65" s="1342"/>
      <c r="O65" s="826" t="s">
        <v>2601</v>
      </c>
      <c r="Q65" s="1292" t="s">
        <v>3982</v>
      </c>
      <c r="R65" s="1341"/>
      <c r="S65" s="1342"/>
    </row>
    <row r="66" spans="2:19" s="449" customFormat="1" ht="13.15" customHeight="1">
      <c r="D66" s="498"/>
      <c r="E66" s="455" t="s">
        <v>876</v>
      </c>
      <c r="H66" s="1292" t="s">
        <v>4000</v>
      </c>
      <c r="I66" s="1341"/>
      <c r="J66" s="1342"/>
      <c r="O66" s="826" t="s">
        <v>2659</v>
      </c>
      <c r="Q66" s="1300">
        <v>8503168516</v>
      </c>
      <c r="R66" s="1305"/>
      <c r="S66" s="1301"/>
    </row>
    <row r="67" spans="2:19" s="449" customFormat="1" ht="13.15" customHeight="1">
      <c r="E67" s="455" t="s">
        <v>2655</v>
      </c>
      <c r="H67" s="1306" t="s">
        <v>1926</v>
      </c>
      <c r="I67" s="483" t="s">
        <v>3139</v>
      </c>
      <c r="J67" s="1303">
        <v>384643415</v>
      </c>
      <c r="K67" s="1342"/>
      <c r="O67" s="826" t="s">
        <v>2859</v>
      </c>
      <c r="Q67" s="1300">
        <v>8508321214</v>
      </c>
      <c r="R67" s="1305"/>
      <c r="S67" s="1301"/>
    </row>
    <row r="68" spans="2:19" s="449" customFormat="1" ht="13.15" customHeight="1">
      <c r="D68" s="498"/>
      <c r="E68" s="455" t="s">
        <v>2865</v>
      </c>
      <c r="H68" s="1300">
        <v>8503168516</v>
      </c>
      <c r="I68" s="1301"/>
      <c r="J68" s="1371"/>
      <c r="K68" s="839" t="s">
        <v>2658</v>
      </c>
      <c r="L68" s="1329">
        <v>9317624724</v>
      </c>
      <c r="M68" s="1342"/>
      <c r="N68" s="457" t="s">
        <v>2864</v>
      </c>
      <c r="O68" s="1307" t="s">
        <v>3993</v>
      </c>
      <c r="P68" s="1308"/>
      <c r="Q68" s="1308"/>
      <c r="R68" s="1308"/>
      <c r="S68" s="1309"/>
    </row>
    <row r="69" spans="2:19" s="449" customFormat="1" ht="6.6" customHeight="1">
      <c r="D69" s="498"/>
      <c r="E69" s="833"/>
      <c r="F69" s="833"/>
      <c r="G69" s="826"/>
      <c r="H69" s="1375"/>
      <c r="I69" s="1375"/>
      <c r="J69" s="1375"/>
      <c r="K69" s="839"/>
      <c r="L69" s="1375"/>
      <c r="M69" s="1375"/>
      <c r="N69" s="828"/>
      <c r="O69" s="863"/>
      <c r="P69" s="863"/>
      <c r="Q69" s="839"/>
      <c r="R69" s="863"/>
      <c r="S69" s="863"/>
    </row>
    <row r="70" spans="2:19" s="449" customFormat="1" ht="13.15" customHeight="1">
      <c r="B70" s="452" t="s">
        <v>1145</v>
      </c>
      <c r="C70" s="452" t="s">
        <v>2129</v>
      </c>
      <c r="H70" s="1292"/>
      <c r="I70" s="1341"/>
      <c r="J70" s="1341"/>
      <c r="K70" s="1341"/>
      <c r="L70" s="1341"/>
      <c r="M70" s="1341"/>
      <c r="N70" s="1342"/>
      <c r="O70" s="826" t="s">
        <v>2870</v>
      </c>
      <c r="P70" s="826"/>
      <c r="Q70" s="1292"/>
      <c r="R70" s="1341"/>
      <c r="S70" s="1342"/>
    </row>
    <row r="71" spans="2:19" s="449" customFormat="1" ht="13.15" customHeight="1">
      <c r="D71" s="498"/>
      <c r="E71" s="455" t="s">
        <v>1527</v>
      </c>
      <c r="F71" s="463"/>
      <c r="H71" s="1292"/>
      <c r="I71" s="1341"/>
      <c r="J71" s="1341"/>
      <c r="K71" s="1341"/>
      <c r="L71" s="1341"/>
      <c r="M71" s="1341"/>
      <c r="N71" s="1342"/>
      <c r="O71" s="826" t="s">
        <v>2601</v>
      </c>
      <c r="Q71" s="1292"/>
      <c r="R71" s="1341"/>
      <c r="S71" s="1342"/>
    </row>
    <row r="72" spans="2:19" s="449" customFormat="1" ht="13.15" customHeight="1">
      <c r="D72" s="498"/>
      <c r="E72" s="455" t="s">
        <v>876</v>
      </c>
      <c r="H72" s="1292"/>
      <c r="I72" s="1341"/>
      <c r="J72" s="1342"/>
      <c r="O72" s="826" t="s">
        <v>2659</v>
      </c>
      <c r="Q72" s="1300"/>
      <c r="R72" s="1305"/>
      <c r="S72" s="1301"/>
    </row>
    <row r="73" spans="2:19" s="449" customFormat="1" ht="13.15" customHeight="1">
      <c r="E73" s="455" t="s">
        <v>2655</v>
      </c>
      <c r="H73" s="1306"/>
      <c r="I73" s="483" t="s">
        <v>3139</v>
      </c>
      <c r="J73" s="1303"/>
      <c r="K73" s="1342"/>
      <c r="O73" s="826" t="s">
        <v>2859</v>
      </c>
      <c r="Q73" s="1300"/>
      <c r="R73" s="1305"/>
      <c r="S73" s="1301"/>
    </row>
    <row r="74" spans="2:19" s="449" customFormat="1" ht="13.15" customHeight="1">
      <c r="D74" s="498"/>
      <c r="E74" s="455" t="s">
        <v>2865</v>
      </c>
      <c r="H74" s="1300"/>
      <c r="I74" s="1301"/>
      <c r="J74" s="1371"/>
      <c r="K74" s="839" t="s">
        <v>2658</v>
      </c>
      <c r="L74" s="1329"/>
      <c r="M74" s="1342"/>
      <c r="N74" s="457" t="s">
        <v>2864</v>
      </c>
      <c r="O74" s="1307"/>
      <c r="P74" s="1308"/>
      <c r="Q74" s="1308"/>
      <c r="R74" s="1308"/>
      <c r="S74" s="1309"/>
    </row>
    <row r="75" spans="2:19" ht="6.6" customHeight="1">
      <c r="H75" s="1375"/>
      <c r="I75" s="1375"/>
      <c r="J75" s="1375"/>
      <c r="K75" s="839"/>
      <c r="L75" s="1375"/>
      <c r="M75" s="1375"/>
      <c r="N75" s="828"/>
      <c r="O75" s="863"/>
      <c r="P75" s="863"/>
      <c r="Q75" s="839"/>
      <c r="R75" s="863"/>
      <c r="S75" s="863"/>
    </row>
    <row r="76" spans="2:19" s="449" customFormat="1" ht="13.15" customHeight="1">
      <c r="B76" s="452" t="s">
        <v>3005</v>
      </c>
      <c r="C76" s="452" t="s">
        <v>351</v>
      </c>
      <c r="H76" s="1292"/>
      <c r="I76" s="1341"/>
      <c r="J76" s="1341"/>
      <c r="K76" s="1341"/>
      <c r="L76" s="1341"/>
      <c r="M76" s="1341"/>
      <c r="N76" s="1342"/>
      <c r="O76" s="826" t="s">
        <v>2870</v>
      </c>
      <c r="P76" s="826"/>
      <c r="Q76" s="1292"/>
      <c r="R76" s="1341"/>
      <c r="S76" s="1342"/>
    </row>
    <row r="77" spans="2:19" s="449" customFormat="1" ht="13.15" customHeight="1">
      <c r="D77" s="498"/>
      <c r="E77" s="455" t="s">
        <v>1527</v>
      </c>
      <c r="F77" s="463"/>
      <c r="H77" s="1292"/>
      <c r="I77" s="1341"/>
      <c r="J77" s="1341"/>
      <c r="K77" s="1341"/>
      <c r="L77" s="1341"/>
      <c r="M77" s="1341"/>
      <c r="N77" s="1342"/>
      <c r="O77" s="826" t="s">
        <v>2601</v>
      </c>
      <c r="Q77" s="1292"/>
      <c r="R77" s="1341"/>
      <c r="S77" s="1342"/>
    </row>
    <row r="78" spans="2:19" s="449" customFormat="1" ht="13.15" customHeight="1">
      <c r="D78" s="498"/>
      <c r="E78" s="455" t="s">
        <v>876</v>
      </c>
      <c r="H78" s="1292"/>
      <c r="I78" s="1341"/>
      <c r="J78" s="1342"/>
      <c r="O78" s="826" t="s">
        <v>2659</v>
      </c>
      <c r="Q78" s="1300"/>
      <c r="R78" s="1305"/>
      <c r="S78" s="1301"/>
    </row>
    <row r="79" spans="2:19" s="449" customFormat="1" ht="13.15" customHeight="1">
      <c r="E79" s="455" t="s">
        <v>2655</v>
      </c>
      <c r="H79" s="1306"/>
      <c r="I79" s="483" t="s">
        <v>3139</v>
      </c>
      <c r="J79" s="1303"/>
      <c r="K79" s="1342"/>
      <c r="O79" s="826" t="s">
        <v>2859</v>
      </c>
      <c r="Q79" s="1300"/>
      <c r="R79" s="1305"/>
      <c r="S79" s="1301"/>
    </row>
    <row r="80" spans="2:19" s="449" customFormat="1" ht="13.15" customHeight="1">
      <c r="D80" s="498"/>
      <c r="E80" s="455" t="s">
        <v>2865</v>
      </c>
      <c r="H80" s="1300"/>
      <c r="I80" s="1301"/>
      <c r="J80" s="1371"/>
      <c r="K80" s="839" t="s">
        <v>2658</v>
      </c>
      <c r="L80" s="1329"/>
      <c r="M80" s="1342"/>
      <c r="N80" s="457" t="s">
        <v>2864</v>
      </c>
      <c r="O80" s="1307"/>
      <c r="P80" s="1308"/>
      <c r="Q80" s="1308"/>
      <c r="R80" s="1308"/>
      <c r="S80" s="1309"/>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4"/>
      <c r="I83" s="1374"/>
      <c r="J83" s="1374"/>
      <c r="K83" s="828"/>
      <c r="L83" s="1374"/>
      <c r="M83" s="1374"/>
      <c r="N83" s="828"/>
      <c r="O83" s="863"/>
      <c r="P83" s="863"/>
      <c r="Q83" s="839"/>
      <c r="R83" s="863"/>
      <c r="S83" s="863"/>
    </row>
    <row r="84" spans="1:19" s="449" customFormat="1" ht="13.15" customHeight="1">
      <c r="B84" s="452" t="s">
        <v>2863</v>
      </c>
      <c r="C84" s="452" t="s">
        <v>353</v>
      </c>
      <c r="H84" s="1292"/>
      <c r="I84" s="1341"/>
      <c r="J84" s="1341"/>
      <c r="K84" s="1341"/>
      <c r="L84" s="1341"/>
      <c r="M84" s="1341"/>
      <c r="N84" s="1342"/>
      <c r="O84" s="826" t="s">
        <v>2870</v>
      </c>
      <c r="P84" s="826"/>
      <c r="Q84" s="1292"/>
      <c r="R84" s="1341"/>
      <c r="S84" s="1342"/>
    </row>
    <row r="85" spans="1:19" s="449" customFormat="1" ht="13.15" customHeight="1">
      <c r="D85" s="498"/>
      <c r="E85" s="455" t="s">
        <v>1527</v>
      </c>
      <c r="F85" s="463"/>
      <c r="H85" s="1292"/>
      <c r="I85" s="1341"/>
      <c r="J85" s="1341"/>
      <c r="K85" s="1341"/>
      <c r="L85" s="1341"/>
      <c r="M85" s="1341"/>
      <c r="N85" s="1342"/>
      <c r="O85" s="826" t="s">
        <v>2601</v>
      </c>
      <c r="Q85" s="1292"/>
      <c r="R85" s="1341"/>
      <c r="S85" s="1342"/>
    </row>
    <row r="86" spans="1:19" s="449" customFormat="1" ht="13.15" customHeight="1">
      <c r="D86" s="498"/>
      <c r="E86" s="455" t="s">
        <v>876</v>
      </c>
      <c r="H86" s="1292"/>
      <c r="I86" s="1341"/>
      <c r="J86" s="1342"/>
      <c r="O86" s="826" t="s">
        <v>2659</v>
      </c>
      <c r="Q86" s="1300"/>
      <c r="R86" s="1305"/>
      <c r="S86" s="1301"/>
    </row>
    <row r="87" spans="1:19" s="449" customFormat="1" ht="13.15" customHeight="1">
      <c r="E87" s="455" t="s">
        <v>2655</v>
      </c>
      <c r="H87" s="1306"/>
      <c r="I87" s="483" t="s">
        <v>3139</v>
      </c>
      <c r="J87" s="1303"/>
      <c r="K87" s="1342"/>
      <c r="O87" s="826" t="s">
        <v>2859</v>
      </c>
      <c r="Q87" s="1300"/>
      <c r="R87" s="1305"/>
      <c r="S87" s="1301"/>
    </row>
    <row r="88" spans="1:19" s="449" customFormat="1" ht="13.15" customHeight="1">
      <c r="D88" s="498"/>
      <c r="E88" s="455" t="s">
        <v>2865</v>
      </c>
      <c r="H88" s="1300"/>
      <c r="I88" s="1301"/>
      <c r="J88" s="1371"/>
      <c r="K88" s="839" t="s">
        <v>2658</v>
      </c>
      <c r="L88" s="1329"/>
      <c r="M88" s="1342"/>
      <c r="N88" s="457" t="s">
        <v>2864</v>
      </c>
      <c r="O88" s="1307"/>
      <c r="P88" s="1308"/>
      <c r="Q88" s="1308"/>
      <c r="R88" s="1308"/>
      <c r="S88" s="1309"/>
    </row>
    <row r="89" spans="1:19" ht="6.6" customHeight="1">
      <c r="H89" s="1375"/>
      <c r="I89" s="1375"/>
      <c r="J89" s="1375"/>
      <c r="K89" s="839"/>
      <c r="L89" s="1375"/>
      <c r="M89" s="1375"/>
      <c r="N89" s="828"/>
      <c r="O89" s="863"/>
      <c r="P89" s="863"/>
      <c r="Q89" s="839"/>
      <c r="R89" s="863"/>
      <c r="S89" s="863"/>
    </row>
    <row r="90" spans="1:19" s="449" customFormat="1" ht="13.15" customHeight="1">
      <c r="B90" s="452" t="s">
        <v>2866</v>
      </c>
      <c r="C90" s="452" t="s">
        <v>354</v>
      </c>
      <c r="H90" s="1292"/>
      <c r="I90" s="1341"/>
      <c r="J90" s="1341"/>
      <c r="K90" s="1341"/>
      <c r="L90" s="1341"/>
      <c r="M90" s="1341"/>
      <c r="N90" s="1342"/>
      <c r="O90" s="826" t="s">
        <v>2870</v>
      </c>
      <c r="P90" s="826"/>
      <c r="Q90" s="1292"/>
      <c r="R90" s="1341"/>
      <c r="S90" s="1342"/>
    </row>
    <row r="91" spans="1:19" s="449" customFormat="1" ht="13.15" customHeight="1">
      <c r="D91" s="498"/>
      <c r="E91" s="455" t="s">
        <v>1527</v>
      </c>
      <c r="F91" s="463"/>
      <c r="H91" s="1292"/>
      <c r="I91" s="1341"/>
      <c r="J91" s="1341"/>
      <c r="K91" s="1341"/>
      <c r="L91" s="1341"/>
      <c r="M91" s="1341"/>
      <c r="N91" s="1342"/>
      <c r="O91" s="826" t="s">
        <v>2601</v>
      </c>
      <c r="Q91" s="1292"/>
      <c r="R91" s="1341"/>
      <c r="S91" s="1342"/>
    </row>
    <row r="92" spans="1:19" s="449" customFormat="1" ht="13.15" customHeight="1">
      <c r="D92" s="498"/>
      <c r="E92" s="455" t="s">
        <v>876</v>
      </c>
      <c r="H92" s="1292"/>
      <c r="I92" s="1341"/>
      <c r="J92" s="1342"/>
      <c r="O92" s="826" t="s">
        <v>2659</v>
      </c>
      <c r="Q92" s="1300"/>
      <c r="R92" s="1305"/>
      <c r="S92" s="1301"/>
    </row>
    <row r="93" spans="1:19" s="449" customFormat="1" ht="13.15" customHeight="1">
      <c r="E93" s="455" t="s">
        <v>2655</v>
      </c>
      <c r="H93" s="1306"/>
      <c r="I93" s="483" t="s">
        <v>3139</v>
      </c>
      <c r="J93" s="1303"/>
      <c r="K93" s="1342"/>
      <c r="O93" s="826" t="s">
        <v>2859</v>
      </c>
      <c r="Q93" s="1300"/>
      <c r="R93" s="1305"/>
      <c r="S93" s="1301"/>
    </row>
    <row r="94" spans="1:19" s="449" customFormat="1" ht="13.15" customHeight="1">
      <c r="D94" s="498"/>
      <c r="E94" s="455" t="s">
        <v>2865</v>
      </c>
      <c r="H94" s="1300"/>
      <c r="I94" s="1301"/>
      <c r="J94" s="1371"/>
      <c r="K94" s="839" t="s">
        <v>2658</v>
      </c>
      <c r="L94" s="1329"/>
      <c r="M94" s="1342"/>
      <c r="N94" s="457" t="s">
        <v>2864</v>
      </c>
      <c r="O94" s="1307"/>
      <c r="P94" s="1308"/>
      <c r="Q94" s="1308"/>
      <c r="R94" s="1308"/>
      <c r="S94" s="1309"/>
    </row>
    <row r="95" spans="1:19" ht="6.6" customHeight="1">
      <c r="H95" s="1375"/>
      <c r="I95" s="1375"/>
      <c r="J95" s="1375"/>
      <c r="K95" s="839"/>
      <c r="L95" s="1375"/>
      <c r="M95" s="1375"/>
      <c r="N95" s="828"/>
      <c r="O95" s="863"/>
      <c r="P95" s="863"/>
      <c r="Q95" s="839"/>
      <c r="R95" s="863"/>
      <c r="S95" s="863"/>
    </row>
    <row r="96" spans="1:19" s="449" customFormat="1" ht="13.15" customHeight="1">
      <c r="B96" s="452" t="s">
        <v>1145</v>
      </c>
      <c r="C96" s="452" t="s">
        <v>355</v>
      </c>
      <c r="F96" s="472"/>
      <c r="H96" s="1292" t="s">
        <v>4003</v>
      </c>
      <c r="I96" s="1341"/>
      <c r="J96" s="1341"/>
      <c r="K96" s="1341"/>
      <c r="L96" s="1341"/>
      <c r="M96" s="1341"/>
      <c r="N96" s="1342"/>
      <c r="O96" s="826" t="s">
        <v>2870</v>
      </c>
      <c r="P96" s="826"/>
      <c r="Q96" s="1292" t="s">
        <v>4002</v>
      </c>
      <c r="R96" s="1341"/>
      <c r="S96" s="1342"/>
    </row>
    <row r="97" spans="2:19" s="449" customFormat="1" ht="13.15" customHeight="1">
      <c r="D97" s="498"/>
      <c r="E97" s="455" t="s">
        <v>1527</v>
      </c>
      <c r="F97" s="463"/>
      <c r="H97" s="1292" t="s">
        <v>4013</v>
      </c>
      <c r="I97" s="1341"/>
      <c r="J97" s="1341"/>
      <c r="K97" s="1341"/>
      <c r="L97" s="1341"/>
      <c r="M97" s="1341"/>
      <c r="N97" s="1342"/>
      <c r="O97" s="826" t="s">
        <v>2601</v>
      </c>
      <c r="Q97" s="1292" t="s">
        <v>3982</v>
      </c>
      <c r="R97" s="1341"/>
      <c r="S97" s="1342"/>
    </row>
    <row r="98" spans="2:19" s="449" customFormat="1" ht="13.15" customHeight="1">
      <c r="D98" s="498"/>
      <c r="E98" s="455" t="s">
        <v>876</v>
      </c>
      <c r="H98" s="1292" t="s">
        <v>4000</v>
      </c>
      <c r="I98" s="1341"/>
      <c r="J98" s="1342"/>
      <c r="O98" s="826" t="s">
        <v>2659</v>
      </c>
      <c r="Q98" s="1300">
        <v>9317627980</v>
      </c>
      <c r="R98" s="1305"/>
      <c r="S98" s="1301"/>
    </row>
    <row r="99" spans="2:19" s="449" customFormat="1" ht="13.15" customHeight="1">
      <c r="D99" s="498"/>
      <c r="E99" s="455" t="s">
        <v>2655</v>
      </c>
      <c r="H99" s="1306" t="s">
        <v>1926</v>
      </c>
      <c r="I99" s="483" t="s">
        <v>3139</v>
      </c>
      <c r="J99" s="1303">
        <v>384643415</v>
      </c>
      <c r="K99" s="1342"/>
      <c r="O99" s="826" t="s">
        <v>2859</v>
      </c>
      <c r="Q99" s="1300"/>
      <c r="R99" s="1305"/>
      <c r="S99" s="1301"/>
    </row>
    <row r="100" spans="2:19" s="449" customFormat="1" ht="13.15" customHeight="1">
      <c r="D100" s="498"/>
      <c r="E100" s="455" t="s">
        <v>2865</v>
      </c>
      <c r="H100" s="1300">
        <v>9317627980</v>
      </c>
      <c r="I100" s="1301"/>
      <c r="J100" s="1371"/>
      <c r="K100" s="839" t="s">
        <v>2658</v>
      </c>
      <c r="L100" s="1329">
        <v>9317624724</v>
      </c>
      <c r="M100" s="1342"/>
      <c r="N100" s="457" t="s">
        <v>2864</v>
      </c>
      <c r="O100" s="1307" t="s">
        <v>4076</v>
      </c>
      <c r="P100" s="1308"/>
      <c r="Q100" s="1308"/>
      <c r="R100" s="1308"/>
      <c r="S100" s="1309"/>
    </row>
    <row r="101" spans="2:19" ht="6.6" customHeight="1">
      <c r="H101" s="1375"/>
      <c r="I101" s="1375"/>
      <c r="J101" s="1375"/>
      <c r="K101" s="839"/>
      <c r="L101" s="1375"/>
      <c r="M101" s="1375"/>
      <c r="N101" s="828"/>
      <c r="O101" s="863"/>
      <c r="P101" s="863"/>
      <c r="Q101" s="839"/>
      <c r="R101" s="863"/>
      <c r="S101" s="863"/>
    </row>
    <row r="102" spans="2:19" s="449" customFormat="1" ht="13.15" customHeight="1">
      <c r="B102" s="452" t="s">
        <v>3005</v>
      </c>
      <c r="C102" s="452" t="s">
        <v>356</v>
      </c>
      <c r="H102" s="1292" t="s">
        <v>3989</v>
      </c>
      <c r="I102" s="1341"/>
      <c r="J102" s="1341"/>
      <c r="K102" s="1341"/>
      <c r="L102" s="1341"/>
      <c r="M102" s="1341"/>
      <c r="N102" s="1342"/>
      <c r="O102" s="826" t="s">
        <v>2870</v>
      </c>
      <c r="P102" s="826"/>
      <c r="Q102" s="1292" t="s">
        <v>4005</v>
      </c>
      <c r="R102" s="1341"/>
      <c r="S102" s="1342"/>
    </row>
    <row r="103" spans="2:19" s="449" customFormat="1" ht="13.15" customHeight="1">
      <c r="D103" s="498"/>
      <c r="E103" s="455" t="s">
        <v>1527</v>
      </c>
      <c r="F103" s="463"/>
      <c r="H103" s="1292" t="s">
        <v>4004</v>
      </c>
      <c r="I103" s="1341"/>
      <c r="J103" s="1341"/>
      <c r="K103" s="1341"/>
      <c r="L103" s="1341"/>
      <c r="M103" s="1341"/>
      <c r="N103" s="1342"/>
      <c r="O103" s="826" t="s">
        <v>2601</v>
      </c>
      <c r="Q103" s="1292" t="s">
        <v>4008</v>
      </c>
      <c r="R103" s="1341"/>
      <c r="S103" s="1342"/>
    </row>
    <row r="104" spans="2:19" s="449" customFormat="1" ht="13.15" customHeight="1">
      <c r="D104" s="498"/>
      <c r="E104" s="455" t="s">
        <v>876</v>
      </c>
      <c r="H104" s="1292" t="s">
        <v>2543</v>
      </c>
      <c r="I104" s="1341"/>
      <c r="J104" s="1342"/>
      <c r="O104" s="826" t="s">
        <v>2659</v>
      </c>
      <c r="Q104" s="1300">
        <v>2296718255</v>
      </c>
      <c r="R104" s="1305"/>
      <c r="S104" s="1301"/>
    </row>
    <row r="105" spans="2:19" s="449" customFormat="1" ht="13.15" customHeight="1">
      <c r="D105" s="498"/>
      <c r="E105" s="455" t="s">
        <v>2655</v>
      </c>
      <c r="H105" s="1306" t="s">
        <v>1337</v>
      </c>
      <c r="I105" s="483" t="s">
        <v>3139</v>
      </c>
      <c r="J105" s="1303">
        <v>316014531</v>
      </c>
      <c r="K105" s="1342"/>
      <c r="O105" s="826" t="s">
        <v>2859</v>
      </c>
      <c r="Q105" s="1300">
        <v>2293330885</v>
      </c>
      <c r="R105" s="1305"/>
      <c r="S105" s="1301"/>
    </row>
    <row r="106" spans="2:19" ht="13.15" customHeight="1">
      <c r="E106" s="455" t="s">
        <v>2865</v>
      </c>
      <c r="F106" s="449"/>
      <c r="G106" s="449"/>
      <c r="H106" s="1300">
        <v>2296718255</v>
      </c>
      <c r="I106" s="1301"/>
      <c r="J106" s="1371"/>
      <c r="K106" s="839" t="s">
        <v>2658</v>
      </c>
      <c r="L106" s="1329"/>
      <c r="M106" s="1342"/>
      <c r="N106" s="457" t="s">
        <v>2864</v>
      </c>
      <c r="O106" s="1307" t="s">
        <v>4006</v>
      </c>
      <c r="P106" s="1308"/>
      <c r="Q106" s="1308"/>
      <c r="R106" s="1308"/>
      <c r="S106" s="1309"/>
    </row>
    <row r="107" spans="2:19" ht="6" customHeight="1">
      <c r="E107" s="455"/>
      <c r="F107" s="449"/>
      <c r="G107" s="449"/>
      <c r="H107" s="449"/>
      <c r="I107" s="449"/>
      <c r="J107" s="449"/>
      <c r="K107" s="449"/>
      <c r="L107" s="449"/>
      <c r="M107" s="449"/>
      <c r="N107" s="449"/>
      <c r="O107" s="449"/>
      <c r="P107" s="449"/>
      <c r="Q107" s="839"/>
      <c r="R107" s="839"/>
      <c r="S107" s="1376"/>
    </row>
    <row r="108" spans="2:19" ht="0.6" customHeight="1">
      <c r="E108" s="455"/>
      <c r="F108" s="449"/>
      <c r="G108" s="833"/>
      <c r="H108" s="1374"/>
      <c r="I108" s="1374"/>
      <c r="J108" s="1374"/>
      <c r="K108" s="828"/>
      <c r="L108" s="1374"/>
      <c r="M108" s="1374"/>
      <c r="N108" s="828"/>
      <c r="O108" s="863"/>
      <c r="P108" s="863"/>
      <c r="Q108" s="839"/>
      <c r="R108" s="863"/>
      <c r="S108" s="863"/>
    </row>
    <row r="109" spans="2:19" s="449" customFormat="1" ht="13.15" customHeight="1">
      <c r="B109" s="452" t="s">
        <v>2588</v>
      </c>
      <c r="C109" s="452" t="s">
        <v>357</v>
      </c>
      <c r="H109" s="1292" t="s">
        <v>4017</v>
      </c>
      <c r="I109" s="1341"/>
      <c r="J109" s="1341"/>
      <c r="K109" s="1341"/>
      <c r="L109" s="1341"/>
      <c r="M109" s="1341"/>
      <c r="N109" s="1342"/>
      <c r="O109" s="826" t="s">
        <v>2870</v>
      </c>
      <c r="P109" s="826"/>
      <c r="Q109" s="1292" t="s">
        <v>4011</v>
      </c>
      <c r="R109" s="1341"/>
      <c r="S109" s="1342"/>
    </row>
    <row r="110" spans="2:19" s="449" customFormat="1" ht="13.15" customHeight="1">
      <c r="D110" s="498"/>
      <c r="E110" s="455" t="s">
        <v>1527</v>
      </c>
      <c r="F110" s="463"/>
      <c r="H110" s="1292" t="s">
        <v>4022</v>
      </c>
      <c r="I110" s="1341"/>
      <c r="J110" s="1341"/>
      <c r="K110" s="1341"/>
      <c r="L110" s="1341"/>
      <c r="M110" s="1341"/>
      <c r="N110" s="1342"/>
      <c r="O110" s="826" t="s">
        <v>2601</v>
      </c>
      <c r="Q110" s="1292" t="s">
        <v>3480</v>
      </c>
      <c r="R110" s="1341"/>
      <c r="S110" s="1342"/>
    </row>
    <row r="111" spans="2:19" s="449" customFormat="1" ht="13.15" customHeight="1">
      <c r="D111" s="498"/>
      <c r="E111" s="455" t="s">
        <v>876</v>
      </c>
      <c r="H111" s="1292" t="s">
        <v>4000</v>
      </c>
      <c r="I111" s="1341"/>
      <c r="J111" s="1342"/>
      <c r="O111" s="826" t="s">
        <v>2659</v>
      </c>
      <c r="Q111" s="1300">
        <v>9313742508</v>
      </c>
      <c r="R111" s="1305"/>
      <c r="S111" s="1301"/>
    </row>
    <row r="112" spans="2:19" s="449" customFormat="1" ht="13.15" customHeight="1">
      <c r="D112" s="498"/>
      <c r="E112" s="455" t="s">
        <v>2655</v>
      </c>
      <c r="H112" s="1306" t="s">
        <v>1926</v>
      </c>
      <c r="I112" s="483" t="s">
        <v>3139</v>
      </c>
      <c r="J112" s="1303">
        <v>384685308</v>
      </c>
      <c r="K112" s="1342"/>
      <c r="O112" s="826" t="s">
        <v>2859</v>
      </c>
      <c r="Q112" s="1300"/>
      <c r="R112" s="1305"/>
      <c r="S112" s="1301"/>
    </row>
    <row r="113" spans="1:19" ht="13.15" customHeight="1">
      <c r="E113" s="455" t="s">
        <v>2865</v>
      </c>
      <c r="F113" s="449"/>
      <c r="G113" s="449"/>
      <c r="H113" s="1300">
        <v>9313742508</v>
      </c>
      <c r="I113" s="1301"/>
      <c r="J113" s="1371"/>
      <c r="K113" s="839" t="s">
        <v>2658</v>
      </c>
      <c r="L113" s="1329"/>
      <c r="M113" s="1342"/>
      <c r="N113" s="457" t="s">
        <v>2864</v>
      </c>
      <c r="O113" s="1307" t="s">
        <v>4018</v>
      </c>
      <c r="P113" s="1308"/>
      <c r="Q113" s="1308"/>
      <c r="R113" s="1308"/>
      <c r="S113" s="1309"/>
    </row>
    <row r="114" spans="1:19" ht="6.6" customHeight="1">
      <c r="E114" s="455"/>
      <c r="F114" s="449"/>
      <c r="G114" s="833"/>
      <c r="H114" s="1375"/>
      <c r="I114" s="1375"/>
      <c r="J114" s="1375"/>
      <c r="K114" s="839"/>
      <c r="L114" s="1375"/>
      <c r="M114" s="1375"/>
      <c r="N114" s="828"/>
      <c r="O114" s="863"/>
      <c r="P114" s="863"/>
      <c r="Q114" s="839"/>
      <c r="R114" s="863"/>
      <c r="S114" s="863"/>
    </row>
    <row r="115" spans="1:19" s="449" customFormat="1" ht="13.15" customHeight="1">
      <c r="B115" s="452" t="s">
        <v>2589</v>
      </c>
      <c r="C115" s="452" t="s">
        <v>358</v>
      </c>
      <c r="H115" s="1292" t="s">
        <v>3988</v>
      </c>
      <c r="I115" s="1341"/>
      <c r="J115" s="1341"/>
      <c r="K115" s="1341"/>
      <c r="L115" s="1341"/>
      <c r="M115" s="1341"/>
      <c r="N115" s="1342"/>
      <c r="O115" s="826" t="s">
        <v>2870</v>
      </c>
      <c r="P115" s="826"/>
      <c r="Q115" s="1292" t="s">
        <v>4007</v>
      </c>
      <c r="R115" s="1341"/>
      <c r="S115" s="1342"/>
    </row>
    <row r="116" spans="1:19" s="449" customFormat="1" ht="13.15" customHeight="1">
      <c r="D116" s="498"/>
      <c r="E116" s="455" t="s">
        <v>1527</v>
      </c>
      <c r="F116" s="463"/>
      <c r="H116" s="1292" t="s">
        <v>4009</v>
      </c>
      <c r="I116" s="1341"/>
      <c r="J116" s="1341"/>
      <c r="K116" s="1341"/>
      <c r="L116" s="1341"/>
      <c r="M116" s="1341"/>
      <c r="N116" s="1342"/>
      <c r="O116" s="826" t="s">
        <v>2601</v>
      </c>
      <c r="Q116" s="1292" t="s">
        <v>3982</v>
      </c>
      <c r="R116" s="1341"/>
      <c r="S116" s="1342"/>
    </row>
    <row r="117" spans="1:19" s="449" customFormat="1" ht="13.15" customHeight="1">
      <c r="D117" s="498"/>
      <c r="E117" s="455" t="s">
        <v>876</v>
      </c>
      <c r="H117" s="1292" t="s">
        <v>1743</v>
      </c>
      <c r="I117" s="1341"/>
      <c r="J117" s="1342"/>
      <c r="O117" s="826" t="s">
        <v>2659</v>
      </c>
      <c r="Q117" s="1300">
        <v>4045841681</v>
      </c>
      <c r="R117" s="1305"/>
      <c r="S117" s="1301"/>
    </row>
    <row r="118" spans="1:19" s="449" customFormat="1" ht="13.15" customHeight="1">
      <c r="D118" s="503"/>
      <c r="E118" s="455" t="s">
        <v>2655</v>
      </c>
      <c r="H118" s="1306" t="s">
        <v>1337</v>
      </c>
      <c r="I118" s="483" t="s">
        <v>3139</v>
      </c>
      <c r="J118" s="1303">
        <v>303031224</v>
      </c>
      <c r="K118" s="1342"/>
      <c r="O118" s="826" t="s">
        <v>2859</v>
      </c>
      <c r="Q118" s="1300">
        <v>4045841695</v>
      </c>
      <c r="R118" s="1305"/>
      <c r="S118" s="1301"/>
    </row>
    <row r="119" spans="1:19" s="449" customFormat="1" ht="13.15" customHeight="1">
      <c r="D119" s="503"/>
      <c r="E119" s="455" t="s">
        <v>2865</v>
      </c>
      <c r="H119" s="1300">
        <v>4045841681</v>
      </c>
      <c r="I119" s="1301"/>
      <c r="J119" s="1371"/>
      <c r="K119" s="839" t="s">
        <v>2658</v>
      </c>
      <c r="L119" s="1329"/>
      <c r="M119" s="1342"/>
      <c r="N119" s="457" t="s">
        <v>2864</v>
      </c>
      <c r="O119" s="1307" t="s">
        <v>4010</v>
      </c>
      <c r="P119" s="1308"/>
      <c r="Q119" s="1308"/>
      <c r="R119" s="1308"/>
      <c r="S119" s="1309"/>
    </row>
    <row r="120" spans="1:19" ht="13.15" customHeight="1"/>
    <row r="121" spans="1:19" s="449" customFormat="1" ht="13.15" customHeight="1">
      <c r="A121" s="452" t="s">
        <v>2648</v>
      </c>
      <c r="B121" s="452" t="s">
        <v>3644</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377"/>
      <c r="C123" s="1377"/>
      <c r="D123" s="1378"/>
      <c r="E123" s="949" t="s">
        <v>3309</v>
      </c>
      <c r="F123" s="924" t="s">
        <v>3302</v>
      </c>
      <c r="G123" s="917" t="s">
        <v>3303</v>
      </c>
      <c r="H123" s="928"/>
      <c r="I123" s="929"/>
      <c r="J123" s="917" t="s">
        <v>3304</v>
      </c>
      <c r="K123" s="935"/>
      <c r="L123" s="917" t="s">
        <v>3305</v>
      </c>
      <c r="M123" s="940"/>
      <c r="N123" s="917" t="s">
        <v>3306</v>
      </c>
      <c r="O123" s="929"/>
      <c r="P123" s="917" t="s">
        <v>3307</v>
      </c>
      <c r="Q123" s="929"/>
      <c r="R123" s="917" t="s">
        <v>3308</v>
      </c>
      <c r="S123" s="918"/>
    </row>
    <row r="124" spans="1:19" s="449" customFormat="1" ht="21.6" customHeight="1">
      <c r="A124" s="1379"/>
      <c r="B124" s="1380"/>
      <c r="C124" s="1380"/>
      <c r="D124" s="1381"/>
      <c r="E124" s="950"/>
      <c r="F124" s="925"/>
      <c r="G124" s="919"/>
      <c r="H124" s="930"/>
      <c r="I124" s="931"/>
      <c r="J124" s="936"/>
      <c r="K124" s="937"/>
      <c r="L124" s="919"/>
      <c r="M124" s="941"/>
      <c r="N124" s="919"/>
      <c r="O124" s="931"/>
      <c r="P124" s="919"/>
      <c r="Q124" s="931"/>
      <c r="R124" s="919"/>
      <c r="S124" s="920"/>
    </row>
    <row r="125" spans="1:19" s="449" customFormat="1" ht="21.6" customHeight="1">
      <c r="A125" s="1379"/>
      <c r="B125" s="1380"/>
      <c r="C125" s="1380"/>
      <c r="D125" s="1381"/>
      <c r="E125" s="950"/>
      <c r="F125" s="926"/>
      <c r="G125" s="919"/>
      <c r="H125" s="930"/>
      <c r="I125" s="931"/>
      <c r="J125" s="936"/>
      <c r="K125" s="937"/>
      <c r="L125" s="942"/>
      <c r="M125" s="941"/>
      <c r="N125" s="919"/>
      <c r="O125" s="931"/>
      <c r="P125" s="919"/>
      <c r="Q125" s="931"/>
      <c r="R125" s="921"/>
      <c r="S125" s="920"/>
    </row>
    <row r="126" spans="1:19" s="449" customFormat="1" ht="21.6" customHeight="1">
      <c r="A126" s="1379"/>
      <c r="B126" s="1380"/>
      <c r="C126" s="1380"/>
      <c r="D126" s="1381"/>
      <c r="E126" s="950"/>
      <c r="F126" s="926"/>
      <c r="G126" s="919"/>
      <c r="H126" s="930"/>
      <c r="I126" s="931"/>
      <c r="J126" s="936"/>
      <c r="K126" s="937"/>
      <c r="L126" s="942"/>
      <c r="M126" s="941"/>
      <c r="N126" s="919"/>
      <c r="O126" s="931"/>
      <c r="P126" s="919"/>
      <c r="Q126" s="931"/>
      <c r="R126" s="921"/>
      <c r="S126" s="920"/>
    </row>
    <row r="127" spans="1:19" s="449" customFormat="1" ht="21.6" customHeight="1">
      <c r="A127" s="1382"/>
      <c r="B127" s="1383"/>
      <c r="C127" s="1383"/>
      <c r="D127" s="1384"/>
      <c r="E127" s="951"/>
      <c r="F127" s="927"/>
      <c r="G127" s="932"/>
      <c r="H127" s="933"/>
      <c r="I127" s="934"/>
      <c r="J127" s="938"/>
      <c r="K127" s="939"/>
      <c r="L127" s="943"/>
      <c r="M127" s="944"/>
      <c r="N127" s="932"/>
      <c r="O127" s="934"/>
      <c r="P127" s="932"/>
      <c r="Q127" s="934"/>
      <c r="R127" s="922"/>
      <c r="S127" s="923"/>
    </row>
    <row r="128" spans="1:19" s="449" customFormat="1" ht="13.9" customHeight="1">
      <c r="A128" s="834" t="s">
        <v>3301</v>
      </c>
      <c r="B128" s="835"/>
      <c r="C128" s="835"/>
      <c r="D128" s="836"/>
      <c r="E128" s="1385" t="s">
        <v>3978</v>
      </c>
      <c r="F128" s="1385" t="s">
        <v>3978</v>
      </c>
      <c r="G128" s="1386" t="s">
        <v>3978</v>
      </c>
      <c r="H128" s="1387"/>
      <c r="I128" s="1388"/>
      <c r="J128" s="1386" t="s">
        <v>3978</v>
      </c>
      <c r="K128" s="1388"/>
      <c r="L128" s="1386" t="s">
        <v>3978</v>
      </c>
      <c r="M128" s="1388"/>
      <c r="N128" s="1386" t="s">
        <v>3978</v>
      </c>
      <c r="O128" s="1388"/>
      <c r="P128" s="1389" t="s">
        <v>3640</v>
      </c>
      <c r="Q128" s="1390"/>
      <c r="R128" s="1391">
        <v>0.51</v>
      </c>
      <c r="S128" s="1392"/>
    </row>
    <row r="129" spans="1:19" s="449" customFormat="1" ht="13.9" customHeight="1">
      <c r="A129" s="832" t="s">
        <v>3291</v>
      </c>
      <c r="B129" s="833"/>
      <c r="C129" s="833"/>
      <c r="D129" s="837"/>
      <c r="E129" s="1393" t="s">
        <v>3978</v>
      </c>
      <c r="F129" s="1393" t="s">
        <v>3978</v>
      </c>
      <c r="G129" s="1394" t="s">
        <v>3978</v>
      </c>
      <c r="H129" s="1395"/>
      <c r="I129" s="1396"/>
      <c r="J129" s="1394" t="s">
        <v>3976</v>
      </c>
      <c r="K129" s="1396"/>
      <c r="L129" s="1394" t="s">
        <v>3978</v>
      </c>
      <c r="M129" s="1396"/>
      <c r="N129" s="1394" t="s">
        <v>3978</v>
      </c>
      <c r="O129" s="1396"/>
      <c r="P129" s="1397" t="s">
        <v>4012</v>
      </c>
      <c r="Q129" s="1398"/>
      <c r="R129" s="1399">
        <v>0.49</v>
      </c>
      <c r="S129" s="1400"/>
    </row>
    <row r="130" spans="1:19" s="449" customFormat="1" ht="13.9" customHeight="1">
      <c r="A130" s="832" t="s">
        <v>3292</v>
      </c>
      <c r="B130" s="833"/>
      <c r="C130" s="833"/>
      <c r="D130" s="837"/>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3293</v>
      </c>
      <c r="B131" s="833"/>
      <c r="C131" s="833"/>
      <c r="D131" s="837"/>
      <c r="E131" s="1393" t="s">
        <v>3978</v>
      </c>
      <c r="F131" s="1393" t="s">
        <v>3978</v>
      </c>
      <c r="G131" s="1394" t="s">
        <v>3978</v>
      </c>
      <c r="H131" s="1395"/>
      <c r="I131" s="1396"/>
      <c r="J131" s="1394" t="s">
        <v>3978</v>
      </c>
      <c r="K131" s="1396"/>
      <c r="L131" s="1394" t="s">
        <v>3978</v>
      </c>
      <c r="M131" s="1396"/>
      <c r="N131" s="1394" t="s">
        <v>3978</v>
      </c>
      <c r="O131" s="1396"/>
      <c r="P131" s="1397" t="s">
        <v>4012</v>
      </c>
      <c r="Q131" s="1398"/>
      <c r="R131" s="1399"/>
      <c r="S131" s="1400"/>
    </row>
    <row r="132" spans="1:19" s="449" customFormat="1" ht="13.9" customHeight="1">
      <c r="A132" s="832" t="s">
        <v>3294</v>
      </c>
      <c r="B132" s="833"/>
      <c r="C132" s="833"/>
      <c r="D132" s="837"/>
      <c r="E132" s="1393" t="s">
        <v>3978</v>
      </c>
      <c r="F132" s="1393" t="s">
        <v>3978</v>
      </c>
      <c r="G132" s="1394" t="s">
        <v>3978</v>
      </c>
      <c r="H132" s="1395"/>
      <c r="I132" s="1396"/>
      <c r="J132" s="1394" t="s">
        <v>3978</v>
      </c>
      <c r="K132" s="1396"/>
      <c r="L132" s="1394" t="s">
        <v>3978</v>
      </c>
      <c r="M132" s="1396"/>
      <c r="N132" s="1394" t="s">
        <v>3978</v>
      </c>
      <c r="O132" s="1396"/>
      <c r="P132" s="1397" t="s">
        <v>4012</v>
      </c>
      <c r="Q132" s="1398"/>
      <c r="R132" s="1399"/>
      <c r="S132" s="1400"/>
    </row>
    <row r="133" spans="1:19" s="449" customFormat="1" ht="13.9" customHeight="1">
      <c r="A133" s="832" t="s">
        <v>3295</v>
      </c>
      <c r="B133" s="833"/>
      <c r="C133" s="833"/>
      <c r="D133" s="837"/>
      <c r="E133" s="1393" t="s">
        <v>3978</v>
      </c>
      <c r="F133" s="1393" t="s">
        <v>3978</v>
      </c>
      <c r="G133" s="1394" t="s">
        <v>3978</v>
      </c>
      <c r="H133" s="1395"/>
      <c r="I133" s="1396"/>
      <c r="J133" s="1394" t="s">
        <v>3978</v>
      </c>
      <c r="K133" s="1396"/>
      <c r="L133" s="1394" t="s">
        <v>3978</v>
      </c>
      <c r="M133" s="1396"/>
      <c r="N133" s="1394" t="s">
        <v>3978</v>
      </c>
      <c r="O133" s="1396"/>
      <c r="P133" s="1397" t="s">
        <v>4012</v>
      </c>
      <c r="Q133" s="1398"/>
      <c r="R133" s="1399"/>
      <c r="S133" s="1400"/>
    </row>
    <row r="134" spans="1:19" s="449" customFormat="1" ht="13.9" customHeight="1">
      <c r="A134" s="832" t="s">
        <v>918</v>
      </c>
      <c r="B134" s="833"/>
      <c r="C134" s="833"/>
      <c r="D134" s="837"/>
      <c r="E134" s="1393" t="s">
        <v>3978</v>
      </c>
      <c r="F134" s="1393" t="s">
        <v>3978</v>
      </c>
      <c r="G134" s="1394" t="s">
        <v>3978</v>
      </c>
      <c r="H134" s="1395"/>
      <c r="I134" s="1396"/>
      <c r="J134" s="1394" t="s">
        <v>3978</v>
      </c>
      <c r="K134" s="1396"/>
      <c r="L134" s="1394" t="s">
        <v>3978</v>
      </c>
      <c r="M134" s="1396"/>
      <c r="N134" s="1394" t="s">
        <v>3978</v>
      </c>
      <c r="O134" s="1396"/>
      <c r="P134" s="1397" t="s">
        <v>3640</v>
      </c>
      <c r="Q134" s="1398"/>
      <c r="R134" s="1399"/>
      <c r="S134" s="1400"/>
    </row>
    <row r="135" spans="1:19" s="449" customFormat="1" ht="13.9" customHeight="1">
      <c r="A135" s="832" t="s">
        <v>3296</v>
      </c>
      <c r="B135" s="833"/>
      <c r="C135" s="833"/>
      <c r="D135" s="837"/>
      <c r="E135" s="1393" t="s">
        <v>3978</v>
      </c>
      <c r="F135" s="1393" t="s">
        <v>3978</v>
      </c>
      <c r="G135" s="1394" t="s">
        <v>3978</v>
      </c>
      <c r="H135" s="1395"/>
      <c r="I135" s="1396"/>
      <c r="J135" s="1394" t="s">
        <v>3976</v>
      </c>
      <c r="K135" s="1396"/>
      <c r="L135" s="1394" t="s">
        <v>3978</v>
      </c>
      <c r="M135" s="1396"/>
      <c r="N135" s="1394" t="s">
        <v>3978</v>
      </c>
      <c r="O135" s="1396"/>
      <c r="P135" s="1397" t="s">
        <v>4012</v>
      </c>
      <c r="Q135" s="1398"/>
      <c r="R135" s="1399"/>
      <c r="S135" s="1400"/>
    </row>
    <row r="136" spans="1:19" s="449" customFormat="1" ht="13.9" customHeight="1">
      <c r="A136" s="832" t="s">
        <v>3297</v>
      </c>
      <c r="B136" s="833"/>
      <c r="C136" s="833"/>
      <c r="D136" s="837"/>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3298</v>
      </c>
      <c r="B137" s="833"/>
      <c r="C137" s="833"/>
      <c r="D137" s="837"/>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3299</v>
      </c>
      <c r="B138" s="833"/>
      <c r="C138" s="833"/>
      <c r="D138" s="837"/>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7"/>
      <c r="E139" s="1393"/>
      <c r="F139" s="1393"/>
      <c r="G139" s="1394"/>
      <c r="H139" s="1395"/>
      <c r="I139" s="1396"/>
      <c r="J139" s="1394" t="s">
        <v>3978</v>
      </c>
      <c r="K139" s="1396"/>
      <c r="L139" s="1394" t="s">
        <v>3978</v>
      </c>
      <c r="M139" s="1396"/>
      <c r="N139" s="1394" t="s">
        <v>3978</v>
      </c>
      <c r="O139" s="1396"/>
      <c r="P139" s="1397" t="s">
        <v>4012</v>
      </c>
      <c r="Q139" s="1398"/>
      <c r="R139" s="1399"/>
      <c r="S139" s="1400"/>
    </row>
    <row r="140" spans="1:19" s="449" customFormat="1" ht="13.9" customHeight="1">
      <c r="A140" s="841" t="s">
        <v>3300</v>
      </c>
      <c r="B140" s="842"/>
      <c r="C140" s="842"/>
      <c r="D140" s="504"/>
      <c r="E140" s="1401" t="s">
        <v>3978</v>
      </c>
      <c r="F140" s="1401" t="s">
        <v>3978</v>
      </c>
      <c r="G140" s="1402" t="s">
        <v>3978</v>
      </c>
      <c r="H140" s="1403"/>
      <c r="I140" s="1404"/>
      <c r="J140" s="1402" t="s">
        <v>3976</v>
      </c>
      <c r="K140" s="1404"/>
      <c r="L140" s="1402" t="s">
        <v>3978</v>
      </c>
      <c r="M140" s="1404"/>
      <c r="N140" s="1402" t="s">
        <v>3978</v>
      </c>
      <c r="O140" s="1404"/>
      <c r="P140" s="1405" t="s">
        <v>4012</v>
      </c>
      <c r="Q140" s="1406"/>
      <c r="R140" s="1407"/>
      <c r="S140" s="1408"/>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2650</v>
      </c>
      <c r="B143" s="496"/>
      <c r="C143" s="481" t="s">
        <v>815</v>
      </c>
      <c r="N143" s="481" t="s">
        <v>765</v>
      </c>
      <c r="O143" s="481" t="s">
        <v>85</v>
      </c>
    </row>
    <row r="144" spans="1:19" ht="3.6" customHeight="1">
      <c r="B144" s="496"/>
    </row>
    <row r="145" spans="1:24" ht="42.6" customHeight="1">
      <c r="A145" s="1360" t="s">
        <v>4029</v>
      </c>
      <c r="B145" s="1361"/>
      <c r="C145" s="1361"/>
      <c r="D145" s="1361"/>
      <c r="E145" s="1361"/>
      <c r="F145" s="1361"/>
      <c r="G145" s="1361"/>
      <c r="H145" s="1361"/>
      <c r="I145" s="1361"/>
      <c r="J145" s="1361"/>
      <c r="K145" s="1361"/>
      <c r="L145" s="1361"/>
      <c r="M145" s="1362"/>
      <c r="N145" s="1363"/>
      <c r="O145" s="1364"/>
      <c r="P145" s="1364"/>
      <c r="Q145" s="1364"/>
      <c r="R145" s="1364"/>
      <c r="S145" s="1365"/>
      <c r="T145" s="886" t="s">
        <v>3965</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2012-047 Magnolia Pointe Apartments, Montezuma, Macon County</v>
      </c>
      <c r="B1" s="946"/>
      <c r="C1" s="946"/>
      <c r="D1" s="946"/>
      <c r="E1" s="946"/>
      <c r="F1" s="946"/>
      <c r="G1" s="946"/>
      <c r="H1" s="946"/>
      <c r="I1" s="946"/>
      <c r="J1" s="946"/>
      <c r="K1" s="946"/>
      <c r="L1" s="946"/>
      <c r="M1" s="946"/>
      <c r="N1" s="946"/>
      <c r="O1" s="946"/>
      <c r="P1" s="946"/>
      <c r="Q1" s="947"/>
      <c r="S1" s="953" t="str">
        <f>$A$1</f>
        <v>PART THREE - SOURCES OF FUNDS  -  2012-047 Magnolia Pointe Apartments, Montezuma, Macon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3499</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3866</v>
      </c>
      <c r="T4" s="954"/>
    </row>
    <row r="5" spans="1:20" s="397" customFormat="1" ht="16.899999999999999" customHeight="1">
      <c r="A5" s="846"/>
      <c r="B5" s="1306" t="s">
        <v>3976</v>
      </c>
      <c r="C5" s="826" t="s">
        <v>3393</v>
      </c>
      <c r="D5" s="449"/>
      <c r="E5" s="1306"/>
      <c r="F5" s="829" t="s">
        <v>2494</v>
      </c>
      <c r="G5" s="449"/>
      <c r="J5" s="1410"/>
      <c r="K5" s="1411"/>
      <c r="M5" s="1306"/>
      <c r="N5" s="826" t="s">
        <v>786</v>
      </c>
      <c r="P5" s="1306"/>
      <c r="Q5" s="956" t="s">
        <v>3656</v>
      </c>
      <c r="S5" s="1412"/>
      <c r="T5" s="1413"/>
    </row>
    <row r="6" spans="1:20" s="397" customFormat="1" ht="16.899999999999999" customHeight="1">
      <c r="A6" s="846"/>
      <c r="B6" s="1306"/>
      <c r="C6" s="826" t="s">
        <v>2660</v>
      </c>
      <c r="D6" s="449"/>
      <c r="E6" s="1306"/>
      <c r="F6" s="829" t="s">
        <v>3100</v>
      </c>
      <c r="H6" s="1306"/>
      <c r="I6" s="833" t="s">
        <v>787</v>
      </c>
      <c r="J6" s="1306"/>
      <c r="K6" s="833" t="s">
        <v>2140</v>
      </c>
      <c r="M6" s="1306"/>
      <c r="N6" s="829" t="s">
        <v>785</v>
      </c>
      <c r="Q6" s="956"/>
      <c r="S6" s="1414"/>
      <c r="T6" s="1415"/>
    </row>
    <row r="7" spans="1:20" s="397" customFormat="1" ht="16.899999999999999" customHeight="1">
      <c r="A7" s="449"/>
      <c r="B7" s="1306"/>
      <c r="C7" s="826" t="s">
        <v>2661</v>
      </c>
      <c r="E7" s="1306"/>
      <c r="F7" s="829" t="s">
        <v>3099</v>
      </c>
      <c r="G7" s="449"/>
      <c r="H7" s="1306"/>
      <c r="I7" s="955" t="s">
        <v>3654</v>
      </c>
      <c r="J7" s="1306"/>
      <c r="K7" s="956" t="s">
        <v>3653</v>
      </c>
      <c r="L7" s="957"/>
      <c r="M7" s="1306"/>
      <c r="N7" s="455" t="s">
        <v>3655</v>
      </c>
      <c r="Q7" s="958"/>
      <c r="S7" s="1414"/>
      <c r="T7" s="1415"/>
    </row>
    <row r="8" spans="1:20" s="397" customFormat="1" ht="16.899999999999999" customHeight="1">
      <c r="A8" s="846"/>
      <c r="B8" s="1306"/>
      <c r="C8" s="833" t="s">
        <v>3641</v>
      </c>
      <c r="D8" s="449"/>
      <c r="E8" s="1306"/>
      <c r="F8" s="477" t="s">
        <v>3642</v>
      </c>
      <c r="I8" s="955"/>
      <c r="K8" s="956"/>
      <c r="L8" s="957"/>
      <c r="M8" s="1306"/>
      <c r="N8" s="1292" t="s">
        <v>3025</v>
      </c>
      <c r="O8" s="1293"/>
      <c r="P8" s="1293"/>
      <c r="Q8" s="1294"/>
      <c r="S8" s="1416"/>
      <c r="T8" s="1417"/>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3271</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2744</v>
      </c>
      <c r="C13" s="449"/>
      <c r="D13" s="449"/>
      <c r="E13" s="449"/>
      <c r="F13" s="449"/>
      <c r="G13" s="449"/>
      <c r="H13" s="977" t="s">
        <v>1864</v>
      </c>
      <c r="I13" s="977"/>
      <c r="J13" s="977"/>
      <c r="K13" s="977"/>
      <c r="L13" s="888" t="s">
        <v>2871</v>
      </c>
      <c r="M13" s="888"/>
      <c r="N13" s="888" t="s">
        <v>2108</v>
      </c>
      <c r="O13" s="888"/>
      <c r="P13" s="888" t="s">
        <v>2381</v>
      </c>
      <c r="Q13" s="888"/>
      <c r="S13" s="954" t="s">
        <v>3866</v>
      </c>
      <c r="T13" s="954"/>
    </row>
    <row r="14" spans="1:20" s="397" customFormat="1" ht="16.899999999999999" customHeight="1">
      <c r="A14" s="449"/>
      <c r="B14" s="961" t="s">
        <v>2195</v>
      </c>
      <c r="C14" s="962"/>
      <c r="D14" s="962"/>
      <c r="E14" s="835"/>
      <c r="F14" s="835"/>
      <c r="G14" s="835"/>
      <c r="H14" s="1292" t="s">
        <v>4084</v>
      </c>
      <c r="I14" s="1293"/>
      <c r="J14" s="1293"/>
      <c r="K14" s="1294"/>
      <c r="L14" s="1418">
        <v>3008825</v>
      </c>
      <c r="M14" s="1419"/>
      <c r="N14" s="1420">
        <v>5.7500000000000002E-2</v>
      </c>
      <c r="O14" s="1421"/>
      <c r="P14" s="1422">
        <v>24</v>
      </c>
      <c r="Q14" s="1423"/>
      <c r="S14" s="1412"/>
      <c r="T14" s="1413"/>
    </row>
    <row r="15" spans="1:20" s="397" customFormat="1" ht="16.899999999999999" customHeight="1">
      <c r="A15" s="449"/>
      <c r="B15" s="959" t="s">
        <v>2196</v>
      </c>
      <c r="C15" s="960"/>
      <c r="D15" s="960"/>
      <c r="E15" s="833"/>
      <c r="F15" s="833"/>
      <c r="G15" s="833"/>
      <c r="H15" s="1292"/>
      <c r="I15" s="1293"/>
      <c r="J15" s="1293"/>
      <c r="K15" s="1294"/>
      <c r="L15" s="1418"/>
      <c r="M15" s="1419"/>
      <c r="N15" s="1420"/>
      <c r="O15" s="1421"/>
      <c r="P15" s="1424"/>
      <c r="Q15" s="1425"/>
      <c r="S15" s="1414"/>
      <c r="T15" s="1415"/>
    </row>
    <row r="16" spans="1:20" s="397" customFormat="1" ht="16.899999999999999" customHeight="1">
      <c r="A16" s="449"/>
      <c r="B16" s="966" t="s">
        <v>2197</v>
      </c>
      <c r="C16" s="967"/>
      <c r="D16" s="967"/>
      <c r="E16" s="842"/>
      <c r="F16" s="842"/>
      <c r="G16" s="842"/>
      <c r="H16" s="1292"/>
      <c r="I16" s="1293"/>
      <c r="J16" s="1293"/>
      <c r="K16" s="1294"/>
      <c r="L16" s="1418"/>
      <c r="M16" s="1419"/>
      <c r="N16" s="1420"/>
      <c r="O16" s="1421"/>
      <c r="P16" s="1424"/>
      <c r="Q16" s="1425"/>
      <c r="S16" s="1414"/>
      <c r="T16" s="1415"/>
    </row>
    <row r="17" spans="1:20" s="397" customFormat="1" ht="16.899999999999999" customHeight="1">
      <c r="A17" s="449"/>
      <c r="B17" s="961" t="s">
        <v>3119</v>
      </c>
      <c r="C17" s="962"/>
      <c r="D17" s="962"/>
      <c r="E17" s="833"/>
      <c r="F17" s="833"/>
      <c r="G17" s="833"/>
      <c r="H17" s="1292"/>
      <c r="I17" s="1293"/>
      <c r="J17" s="1293"/>
      <c r="K17" s="1294"/>
      <c r="L17" s="1418"/>
      <c r="M17" s="1419"/>
      <c r="N17" s="963"/>
      <c r="O17" s="964"/>
      <c r="P17" s="965"/>
      <c r="Q17" s="965"/>
      <c r="S17" s="1414"/>
      <c r="T17" s="1415"/>
    </row>
    <row r="18" spans="1:20" s="397" customFormat="1" ht="16.899999999999999" customHeight="1">
      <c r="A18" s="449"/>
      <c r="B18" s="959" t="s">
        <v>1287</v>
      </c>
      <c r="C18" s="960"/>
      <c r="D18" s="960"/>
      <c r="E18" s="833"/>
      <c r="H18" s="1292"/>
      <c r="I18" s="1293"/>
      <c r="J18" s="1293"/>
      <c r="K18" s="1294"/>
      <c r="L18" s="1418"/>
      <c r="M18" s="1419"/>
      <c r="N18" s="963"/>
      <c r="O18" s="964"/>
      <c r="P18" s="965"/>
      <c r="Q18" s="965"/>
      <c r="S18" s="1414"/>
      <c r="T18" s="1415"/>
    </row>
    <row r="19" spans="1:20" s="397" customFormat="1" ht="16.899999999999999" customHeight="1">
      <c r="A19" s="449"/>
      <c r="B19" s="959" t="s">
        <v>900</v>
      </c>
      <c r="C19" s="960"/>
      <c r="D19" s="960"/>
      <c r="E19" s="833"/>
      <c r="H19" s="1292"/>
      <c r="I19" s="1293"/>
      <c r="J19" s="1293"/>
      <c r="K19" s="1294"/>
      <c r="L19" s="1418"/>
      <c r="M19" s="1419"/>
      <c r="N19" s="963"/>
      <c r="O19" s="964"/>
      <c r="P19" s="965"/>
      <c r="Q19" s="965"/>
      <c r="S19" s="1414"/>
      <c r="T19" s="1415"/>
    </row>
    <row r="20" spans="1:20" s="397" customFormat="1" ht="16.899999999999999" customHeight="1">
      <c r="A20" s="449"/>
      <c r="B20" s="959" t="s">
        <v>1288</v>
      </c>
      <c r="C20" s="960"/>
      <c r="D20" s="960"/>
      <c r="E20" s="833"/>
      <c r="H20" s="1292"/>
      <c r="I20" s="1293"/>
      <c r="J20" s="1293"/>
      <c r="K20" s="1294"/>
      <c r="L20" s="1418">
        <v>969975</v>
      </c>
      <c r="M20" s="1419"/>
      <c r="N20" s="449"/>
      <c r="O20" s="449"/>
      <c r="P20" s="449"/>
      <c r="Q20" s="449"/>
      <c r="S20" s="1416"/>
      <c r="T20" s="1417"/>
    </row>
    <row r="21" spans="1:20" s="397" customFormat="1" ht="16.899999999999999" customHeight="1">
      <c r="A21" s="449"/>
      <c r="B21" s="959" t="s">
        <v>1289</v>
      </c>
      <c r="C21" s="960"/>
      <c r="D21" s="960"/>
      <c r="E21" s="833"/>
      <c r="H21" s="1292"/>
      <c r="I21" s="1293"/>
      <c r="J21" s="1293"/>
      <c r="K21" s="1294"/>
      <c r="L21" s="1418">
        <v>299375</v>
      </c>
      <c r="M21" s="1419"/>
      <c r="N21" s="449"/>
      <c r="O21" s="449"/>
      <c r="P21" s="449"/>
      <c r="Q21" s="449"/>
      <c r="S21" s="1412"/>
      <c r="T21" s="1413"/>
    </row>
    <row r="22" spans="1:20" s="397" customFormat="1" ht="16.899999999999999" customHeight="1">
      <c r="A22" s="449"/>
      <c r="B22" s="832" t="s">
        <v>289</v>
      </c>
      <c r="C22" s="833"/>
      <c r="D22" s="1426"/>
      <c r="E22" s="1426"/>
      <c r="F22" s="1426"/>
      <c r="G22" s="1426"/>
      <c r="H22" s="1292"/>
      <c r="I22" s="1293"/>
      <c r="J22" s="1293"/>
      <c r="K22" s="1294"/>
      <c r="L22" s="1418"/>
      <c r="M22" s="1419"/>
      <c r="N22" s="449"/>
      <c r="O22" s="449"/>
      <c r="P22" s="449"/>
      <c r="Q22" s="449"/>
      <c r="S22" s="1414"/>
      <c r="T22" s="1415"/>
    </row>
    <row r="23" spans="1:20" s="397" customFormat="1" ht="16.899999999999999" customHeight="1">
      <c r="A23" s="449"/>
      <c r="B23" s="832" t="s">
        <v>289</v>
      </c>
      <c r="C23" s="833"/>
      <c r="D23" s="1426"/>
      <c r="E23" s="1426"/>
      <c r="F23" s="1426"/>
      <c r="G23" s="1426"/>
      <c r="H23" s="1292"/>
      <c r="I23" s="1293"/>
      <c r="J23" s="1293"/>
      <c r="K23" s="1294"/>
      <c r="L23" s="1418"/>
      <c r="M23" s="1419"/>
      <c r="N23" s="449"/>
      <c r="O23" s="449"/>
      <c r="P23" s="449"/>
      <c r="Q23" s="449"/>
      <c r="S23" s="1414"/>
      <c r="T23" s="1415"/>
    </row>
    <row r="24" spans="1:20" s="397" customFormat="1" ht="16.899999999999999" customHeight="1">
      <c r="A24" s="449"/>
      <c r="B24" s="841" t="s">
        <v>289</v>
      </c>
      <c r="C24" s="842"/>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82">
        <f>SUM(L14:L24)</f>
        <v>4278175</v>
      </c>
      <c r="M25" s="983"/>
      <c r="N25" s="472"/>
      <c r="O25" s="472"/>
      <c r="P25" s="472"/>
      <c r="Q25" s="472"/>
      <c r="S25" s="1414"/>
      <c r="T25" s="1415"/>
    </row>
    <row r="26" spans="1:20" s="397" customFormat="1" ht="16.899999999999999" customHeight="1">
      <c r="A26" s="449"/>
      <c r="B26" s="826" t="s">
        <v>1866</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4278175</v>
      </c>
      <c r="M26" s="1428"/>
      <c r="N26" s="980"/>
      <c r="O26" s="981"/>
      <c r="P26" s="981"/>
      <c r="Q26" s="981"/>
      <c r="S26" s="1414"/>
      <c r="T26" s="1415"/>
    </row>
    <row r="27" spans="1:20" s="397" customFormat="1" ht="16.899999999999999" customHeight="1">
      <c r="A27" s="449"/>
      <c r="B27" s="455" t="s">
        <v>3050</v>
      </c>
      <c r="C27" s="449"/>
      <c r="D27" s="449"/>
      <c r="E27" s="449"/>
      <c r="F27" s="449"/>
      <c r="G27" s="449"/>
      <c r="H27" s="449"/>
      <c r="I27" s="449"/>
      <c r="L27" s="984">
        <f>L25-L26</f>
        <v>0</v>
      </c>
      <c r="M27" s="985"/>
      <c r="N27" s="980"/>
      <c r="O27" s="981"/>
      <c r="P27" s="981"/>
      <c r="Q27" s="981"/>
      <c r="S27" s="1416"/>
      <c r="T27" s="1417"/>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2988</v>
      </c>
      <c r="K30" s="839" t="s">
        <v>1862</v>
      </c>
      <c r="L30" s="839" t="s">
        <v>1867</v>
      </c>
      <c r="M30" s="896" t="s">
        <v>39</v>
      </c>
      <c r="N30" s="896"/>
      <c r="O30" s="830"/>
      <c r="P30" s="839"/>
      <c r="Q30" s="975" t="s">
        <v>3268</v>
      </c>
      <c r="S30" s="507"/>
    </row>
    <row r="31" spans="1:20" s="397" customFormat="1" ht="13.15" customHeight="1">
      <c r="A31" s="449"/>
      <c r="B31" s="838" t="s">
        <v>2744</v>
      </c>
      <c r="C31" s="842"/>
      <c r="D31" s="842"/>
      <c r="E31" s="960" t="s">
        <v>1864</v>
      </c>
      <c r="F31" s="960"/>
      <c r="G31" s="960"/>
      <c r="H31" s="888" t="s">
        <v>676</v>
      </c>
      <c r="I31" s="888"/>
      <c r="J31" s="828" t="s">
        <v>2667</v>
      </c>
      <c r="K31" s="828" t="s">
        <v>3118</v>
      </c>
      <c r="L31" s="828" t="s">
        <v>3118</v>
      </c>
      <c r="M31" s="1429"/>
      <c r="N31" s="1429"/>
      <c r="O31" s="888" t="s">
        <v>80</v>
      </c>
      <c r="P31" s="888"/>
      <c r="Q31" s="976"/>
      <c r="S31" s="954" t="s">
        <v>3866</v>
      </c>
      <c r="T31" s="954"/>
    </row>
    <row r="32" spans="1:20" s="397" customFormat="1" ht="13.15" customHeight="1">
      <c r="A32" s="449"/>
      <c r="B32" s="961" t="s">
        <v>3664</v>
      </c>
      <c r="C32" s="962"/>
      <c r="D32" s="962"/>
      <c r="E32" s="1430"/>
      <c r="F32" s="1431"/>
      <c r="G32" s="1432"/>
      <c r="H32" s="1433"/>
      <c r="I32" s="1434"/>
      <c r="J32" s="1435"/>
      <c r="K32" s="1306"/>
      <c r="L32" s="1306"/>
      <c r="M32" s="1436" t="str">
        <f t="shared" ref="M32:M37" si="0">IF(OR(H32&lt;=0,H32=""),"",IF(O32="Amortizing",-PMT(J32/12,L32*12,H32,0,0)*12,""))</f>
        <v/>
      </c>
      <c r="N32" s="1437"/>
      <c r="O32" s="1286"/>
      <c r="P32" s="1287"/>
      <c r="Q32" s="1438"/>
      <c r="S32" s="1412"/>
      <c r="T32" s="1413"/>
    </row>
    <row r="33" spans="1:20" s="397" customFormat="1" ht="13.15" customHeight="1">
      <c r="A33" s="449"/>
      <c r="B33" s="959" t="s">
        <v>3665</v>
      </c>
      <c r="C33" s="960"/>
      <c r="D33" s="960"/>
      <c r="E33" s="1297"/>
      <c r="F33" s="1439"/>
      <c r="G33" s="1440"/>
      <c r="H33" s="1441"/>
      <c r="I33" s="1434"/>
      <c r="J33" s="1435"/>
      <c r="K33" s="1306"/>
      <c r="L33" s="1306"/>
      <c r="M33" s="1436" t="str">
        <f t="shared" si="0"/>
        <v/>
      </c>
      <c r="N33" s="1437"/>
      <c r="O33" s="1286"/>
      <c r="P33" s="1287"/>
      <c r="Q33" s="1438"/>
      <c r="S33" s="1414"/>
      <c r="T33" s="1415"/>
    </row>
    <row r="34" spans="1:20" s="397" customFormat="1" ht="13.15" customHeight="1">
      <c r="A34" s="449"/>
      <c r="B34" s="959" t="s">
        <v>3666</v>
      </c>
      <c r="C34" s="960"/>
      <c r="D34" s="960"/>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7"/>
      <c r="E36" s="1292"/>
      <c r="F36" s="1442"/>
      <c r="G36" s="1434"/>
      <c r="H36" s="1441"/>
      <c r="I36" s="1434"/>
      <c r="J36" s="790"/>
      <c r="K36" s="831"/>
      <c r="L36" s="831"/>
      <c r="M36" s="992" t="str">
        <f t="shared" si="0"/>
        <v/>
      </c>
      <c r="N36" s="992"/>
      <c r="O36" s="991"/>
      <c r="P36" s="991"/>
      <c r="Q36" s="791"/>
      <c r="S36" s="1414"/>
      <c r="T36" s="1415"/>
    </row>
    <row r="37" spans="1:20" s="397" customFormat="1" ht="13.15" customHeight="1">
      <c r="A37" s="449"/>
      <c r="B37" s="841" t="s">
        <v>272</v>
      </c>
      <c r="C37" s="842"/>
      <c r="D37" s="543">
        <f>IF(OR(H37="",H37=0,'Part IV-Uses of Funds'!$G$109="",'Part IV-Uses of Funds'!$G$109=0),"",H37/'Part IV-Uses of Funds'!$G$109)</f>
        <v>3.8554687499999997E-2</v>
      </c>
      <c r="E37" s="1292"/>
      <c r="F37" s="1442"/>
      <c r="G37" s="1434"/>
      <c r="H37" s="1441">
        <v>24675</v>
      </c>
      <c r="I37" s="1434"/>
      <c r="J37" s="1435"/>
      <c r="K37" s="1306"/>
      <c r="L37" s="1306"/>
      <c r="M37" s="1436" t="str">
        <f t="shared" si="0"/>
        <v/>
      </c>
      <c r="N37" s="1437"/>
      <c r="O37" s="1286"/>
      <c r="P37" s="1287"/>
      <c r="Q37" s="1438"/>
      <c r="S37" s="1414"/>
      <c r="T37" s="1415"/>
    </row>
    <row r="38" spans="1:20" s="397" customFormat="1" ht="13.15" customHeight="1">
      <c r="A38" s="449"/>
      <c r="B38" s="961" t="s">
        <v>3119</v>
      </c>
      <c r="C38" s="962"/>
      <c r="D38" s="986"/>
      <c r="E38" s="1292"/>
      <c r="F38" s="1442"/>
      <c r="G38" s="1434"/>
      <c r="H38" s="1443"/>
      <c r="I38" s="1444"/>
      <c r="K38" s="544"/>
      <c r="L38" s="544"/>
      <c r="M38" s="544"/>
      <c r="N38" s="544"/>
      <c r="O38" s="544"/>
      <c r="P38" s="544"/>
      <c r="Q38" s="544"/>
      <c r="S38" s="1412"/>
      <c r="T38" s="1413"/>
    </row>
    <row r="39" spans="1:20" s="397" customFormat="1" ht="13.15" customHeight="1">
      <c r="A39" s="449"/>
      <c r="B39" s="959" t="s">
        <v>1287</v>
      </c>
      <c r="C39" s="960"/>
      <c r="D39" s="968"/>
      <c r="E39" s="1292"/>
      <c r="F39" s="1442"/>
      <c r="G39" s="1434"/>
      <c r="H39" s="1443"/>
      <c r="I39" s="1444"/>
      <c r="J39" s="971" t="s">
        <v>752</v>
      </c>
      <c r="K39" s="972"/>
      <c r="L39" s="970" t="s">
        <v>753</v>
      </c>
      <c r="M39" s="970"/>
      <c r="O39" s="625" t="s">
        <v>751</v>
      </c>
      <c r="P39" s="545"/>
      <c r="Q39" s="544"/>
      <c r="S39" s="1414"/>
      <c r="T39" s="1415"/>
    </row>
    <row r="40" spans="1:20" s="397" customFormat="1" ht="13.15" customHeight="1">
      <c r="A40" s="449"/>
      <c r="B40" s="959" t="s">
        <v>1288</v>
      </c>
      <c r="C40" s="960"/>
      <c r="D40" s="968"/>
      <c r="E40" s="1292"/>
      <c r="F40" s="1293"/>
      <c r="G40" s="1294"/>
      <c r="H40" s="1441">
        <f ca="1">J40</f>
        <v>3879900.0000000005</v>
      </c>
      <c r="I40" s="1445"/>
      <c r="J40" s="973">
        <f ca="1">'Part IV-Uses of Funds'!$J$165*10*'Part IV-Uses of Funds'!$N$158</f>
        <v>3879900.0000000005</v>
      </c>
      <c r="K40" s="974"/>
      <c r="L40" s="969">
        <f ca="1">H40-J40</f>
        <v>0</v>
      </c>
      <c r="M40" s="969"/>
      <c r="O40" s="626" t="s">
        <v>3591</v>
      </c>
      <c r="P40" s="545"/>
      <c r="Q40" s="544"/>
      <c r="S40" s="1414"/>
      <c r="T40" s="1415"/>
    </row>
    <row r="41" spans="1:20" s="397" customFormat="1" ht="13.15" customHeight="1">
      <c r="A41" s="449"/>
      <c r="B41" s="959" t="s">
        <v>1289</v>
      </c>
      <c r="C41" s="960"/>
      <c r="D41" s="968"/>
      <c r="E41" s="1292"/>
      <c r="F41" s="1293"/>
      <c r="G41" s="1294"/>
      <c r="H41" s="1441">
        <f ca="1">J41</f>
        <v>1197500</v>
      </c>
      <c r="I41" s="1445"/>
      <c r="J41" s="973">
        <f ca="1">'Part IV-Uses of Funds'!$J$165*10*'Part IV-Uses of Funds'!$Q$158</f>
        <v>1197500</v>
      </c>
      <c r="K41" s="974"/>
      <c r="L41" s="969">
        <f ca="1">H41-J41</f>
        <v>0</v>
      </c>
      <c r="M41" s="969"/>
      <c r="O41" s="627">
        <f ca="1">H40/H50</f>
        <v>0.7604553049494569</v>
      </c>
      <c r="P41" s="545"/>
      <c r="Q41" s="544"/>
      <c r="S41" s="1414"/>
      <c r="T41" s="1415"/>
    </row>
    <row r="42" spans="1:20" s="397" customFormat="1" ht="13.15" customHeight="1">
      <c r="A42" s="449"/>
      <c r="B42" s="959" t="s">
        <v>1984</v>
      </c>
      <c r="C42" s="960"/>
      <c r="D42" s="968"/>
      <c r="E42" s="1292"/>
      <c r="F42" s="1293"/>
      <c r="G42" s="1294"/>
      <c r="H42" s="1441"/>
      <c r="I42" s="1445"/>
      <c r="M42" s="545"/>
      <c r="O42" s="627">
        <f ca="1">H41/H50</f>
        <v>0.23470842745353607</v>
      </c>
      <c r="P42" s="545"/>
      <c r="Q42" s="544"/>
      <c r="S42" s="1416"/>
      <c r="T42" s="1417"/>
    </row>
    <row r="43" spans="1:20" s="397" customFormat="1" ht="13.15" customHeight="1">
      <c r="A43" s="449"/>
      <c r="B43" s="832" t="s">
        <v>767</v>
      </c>
      <c r="C43" s="833"/>
      <c r="D43" s="837"/>
      <c r="E43" s="1292"/>
      <c r="F43" s="1293"/>
      <c r="G43" s="1294"/>
      <c r="H43" s="1441"/>
      <c r="I43" s="1445"/>
      <c r="K43" s="449"/>
      <c r="L43" s="449"/>
      <c r="M43" s="545"/>
      <c r="O43" s="628">
        <f ca="1">SUM(O41:O42)</f>
        <v>0.99516373240299294</v>
      </c>
      <c r="P43" s="545"/>
      <c r="Q43" s="544"/>
      <c r="S43" s="1414"/>
      <c r="T43" s="1415"/>
    </row>
    <row r="44" spans="1:20" s="397" customFormat="1" ht="13.15" customHeight="1">
      <c r="A44" s="449"/>
      <c r="B44" s="832" t="s">
        <v>2742</v>
      </c>
      <c r="C44" s="833"/>
      <c r="D44" s="837"/>
      <c r="E44" s="1292"/>
      <c r="F44" s="1293"/>
      <c r="G44" s="1294"/>
      <c r="H44" s="1441"/>
      <c r="I44" s="1445"/>
      <c r="J44" s="449"/>
      <c r="M44" s="545"/>
      <c r="N44" s="545"/>
      <c r="O44" s="545"/>
      <c r="P44" s="545"/>
      <c r="Q44" s="544"/>
      <c r="S44" s="1414"/>
      <c r="T44" s="1415"/>
    </row>
    <row r="45" spans="1:20" s="397" customFormat="1" ht="13.15" customHeight="1">
      <c r="A45" s="449"/>
      <c r="B45" s="832" t="s">
        <v>2743</v>
      </c>
      <c r="C45" s="833"/>
      <c r="D45" s="837"/>
      <c r="E45" s="1292"/>
      <c r="F45" s="1293"/>
      <c r="G45" s="1294"/>
      <c r="H45" s="1441"/>
      <c r="I45" s="1445"/>
      <c r="J45" s="449"/>
      <c r="M45" s="545"/>
      <c r="N45" s="545"/>
      <c r="O45" s="545"/>
      <c r="P45" s="545"/>
      <c r="Q45" s="544"/>
      <c r="S45" s="1414"/>
      <c r="T45" s="1415"/>
    </row>
    <row r="46" spans="1:20" s="397" customFormat="1" ht="13.15" customHeight="1">
      <c r="A46" s="449"/>
      <c r="B46" s="832" t="s">
        <v>1137</v>
      </c>
      <c r="C46" s="1292"/>
      <c r="D46" s="1294"/>
      <c r="E46" s="1292"/>
      <c r="F46" s="1293"/>
      <c r="G46" s="1294"/>
      <c r="H46" s="1441"/>
      <c r="I46" s="1445"/>
      <c r="J46" s="449"/>
      <c r="M46" s="545"/>
      <c r="N46" s="545"/>
      <c r="O46" s="545"/>
      <c r="P46" s="545"/>
      <c r="Q46" s="544"/>
      <c r="S46" s="1414"/>
      <c r="T46" s="1415"/>
    </row>
    <row r="47" spans="1:20" s="397" customFormat="1" ht="13.15" customHeight="1">
      <c r="A47" s="449"/>
      <c r="B47" s="832" t="s">
        <v>1137</v>
      </c>
      <c r="C47" s="1292"/>
      <c r="D47" s="1294"/>
      <c r="E47" s="1292"/>
      <c r="F47" s="1293"/>
      <c r="G47" s="1294"/>
      <c r="H47" s="1441"/>
      <c r="I47" s="1445"/>
      <c r="J47" s="449"/>
      <c r="K47" s="449"/>
      <c r="L47" s="546"/>
      <c r="M47" s="545"/>
      <c r="N47" s="545"/>
      <c r="O47" s="545"/>
      <c r="P47" s="545"/>
      <c r="Q47" s="544"/>
      <c r="S47" s="1414"/>
      <c r="T47" s="1415"/>
    </row>
    <row r="48" spans="1:20" s="397" customFormat="1" ht="13.15" customHeight="1">
      <c r="A48" s="449"/>
      <c r="B48" s="841"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6" t="s">
        <v>3120</v>
      </c>
      <c r="C49" s="449"/>
      <c r="D49" s="449"/>
      <c r="E49" s="449"/>
      <c r="F49" s="449"/>
      <c r="G49" s="449"/>
      <c r="H49" s="989">
        <f ca="1">SUM(H32:I48)</f>
        <v>5102075</v>
      </c>
      <c r="I49" s="990"/>
      <c r="J49" s="472"/>
      <c r="K49" s="449"/>
      <c r="L49" s="546"/>
      <c r="M49" s="545"/>
      <c r="N49" s="545"/>
      <c r="O49" s="545"/>
      <c r="P49" s="545"/>
      <c r="Q49" s="544"/>
      <c r="S49" s="1414"/>
      <c r="T49" s="1415"/>
    </row>
    <row r="50" spans="1:23" s="397" customFormat="1" ht="13.15" customHeight="1" thickBot="1">
      <c r="A50" s="449"/>
      <c r="B50" s="826" t="s">
        <v>3121</v>
      </c>
      <c r="C50" s="449"/>
      <c r="D50" s="449"/>
      <c r="E50" s="449"/>
      <c r="F50" s="449"/>
      <c r="G50" s="449"/>
      <c r="H50" s="987">
        <f>'Part IV-Uses of Funds'!$G$123</f>
        <v>5102075</v>
      </c>
      <c r="I50" s="988"/>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78">
        <f ca="1">H49-H50</f>
        <v>0</v>
      </c>
      <c r="I51" s="979"/>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60" t="s">
        <v>4030</v>
      </c>
      <c r="B55" s="1446"/>
      <c r="C55" s="1446"/>
      <c r="D55" s="1446"/>
      <c r="E55" s="1446"/>
      <c r="F55" s="1446"/>
      <c r="G55" s="1446"/>
      <c r="H55" s="1446"/>
      <c r="I55" s="1446"/>
      <c r="J55" s="1447"/>
      <c r="K55" s="1363"/>
      <c r="L55" s="1446"/>
      <c r="M55" s="1446"/>
      <c r="N55" s="1446"/>
      <c r="O55" s="1446"/>
      <c r="P55" s="1446"/>
      <c r="Q55" s="1447"/>
      <c r="S55" s="952" t="s">
        <v>3965</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disablePrompts="1"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2012-047 Magnolia Pointe Apartments, Montezuma, Macon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3169</v>
      </c>
      <c r="B5" s="40"/>
      <c r="C5" s="370"/>
      <c r="D5" s="371">
        <f>IF(C5&gt;1500000,1500000,0)</f>
        <v>0</v>
      </c>
      <c r="E5" s="372">
        <f>IF(C5&gt;1500000,C5-1500000,0)</f>
        <v>0</v>
      </c>
    </row>
    <row r="6" spans="1:17">
      <c r="A6" s="40" t="s">
        <v>3469</v>
      </c>
      <c r="B6" s="297" t="s">
        <v>699</v>
      </c>
      <c r="C6" s="373">
        <v>0</v>
      </c>
      <c r="D6" s="161" t="s">
        <v>700</v>
      </c>
      <c r="E6" s="40"/>
    </row>
    <row r="7" spans="1:17">
      <c r="A7" s="40"/>
      <c r="B7" s="297" t="s">
        <v>3485</v>
      </c>
      <c r="C7" s="374"/>
      <c r="D7" s="161" t="s">
        <v>2497</v>
      </c>
      <c r="E7" s="40"/>
    </row>
    <row r="8" spans="1:17" ht="13.15" customHeight="1">
      <c r="A8" s="40" t="s">
        <v>3473</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3486</v>
      </c>
      <c r="B16" s="286" t="s">
        <v>3483</v>
      </c>
      <c r="C16" s="286" t="s">
        <v>3484</v>
      </c>
      <c r="D16" s="1004" t="s">
        <v>3168</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2012-047 Magnolia Pointe Apartments, Montezuma, Macon County</v>
      </c>
      <c r="B58" s="996"/>
      <c r="C58" s="996"/>
      <c r="D58" s="996"/>
      <c r="E58" s="996"/>
      <c r="F58" s="996"/>
      <c r="G58" s="996" t="str">
        <f>CONCATENATE('Part I-Project Information'!$O$4," ",'Part I-Project Information'!$F$22,", ",'Part I-Project Information'!$F$24,", ",'Part I-Project Information'!$J$25," County")</f>
        <v>2012-047 Magnolia Pointe Apartments, Montezuma, Macon County</v>
      </c>
      <c r="H58" s="996"/>
      <c r="I58" s="996"/>
      <c r="J58" s="996"/>
      <c r="K58" s="996"/>
      <c r="L58" s="996"/>
    </row>
    <row r="59" spans="1:12" ht="15">
      <c r="A59" s="993" t="s">
        <v>3477</v>
      </c>
      <c r="B59" s="993"/>
      <c r="C59" s="993"/>
      <c r="D59" s="993"/>
      <c r="E59" s="993"/>
      <c r="F59" s="993"/>
      <c r="G59" s="993" t="s">
        <v>3477</v>
      </c>
      <c r="H59" s="993"/>
      <c r="I59" s="993"/>
      <c r="J59" s="993"/>
      <c r="K59" s="993"/>
      <c r="L59" s="993"/>
    </row>
    <row r="60" spans="1:12" ht="6" customHeight="1">
      <c r="C60" s="270"/>
      <c r="D60" s="270"/>
      <c r="I60" s="270"/>
      <c r="J60" s="270"/>
    </row>
    <row r="61" spans="1:12">
      <c r="A61" s="273" t="s">
        <v>3478</v>
      </c>
      <c r="B61" s="274" t="s">
        <v>3479</v>
      </c>
      <c r="C61" s="274" t="s">
        <v>1861</v>
      </c>
      <c r="D61" s="274" t="s">
        <v>3480</v>
      </c>
      <c r="E61" s="273" t="s">
        <v>3481</v>
      </c>
      <c r="F61" s="307" t="s">
        <v>3486</v>
      </c>
      <c r="G61" s="273" t="s">
        <v>3478</v>
      </c>
      <c r="H61" s="274" t="s">
        <v>3479</v>
      </c>
      <c r="I61" s="274" t="s">
        <v>1861</v>
      </c>
      <c r="J61" s="274" t="s">
        <v>3480</v>
      </c>
      <c r="K61" s="273" t="s">
        <v>3481</v>
      </c>
      <c r="L61" s="307" t="s">
        <v>3486</v>
      </c>
    </row>
    <row r="62" spans="1:12" ht="3.6" customHeight="1">
      <c r="A62" s="276"/>
      <c r="B62" s="160"/>
      <c r="C62" s="160"/>
      <c r="D62" s="160"/>
      <c r="E62" s="160"/>
      <c r="F62" s="108"/>
      <c r="G62" s="276"/>
      <c r="H62" s="160"/>
      <c r="I62" s="160"/>
      <c r="J62" s="160"/>
      <c r="K62" s="160"/>
      <c r="L62" s="108"/>
    </row>
    <row r="63" spans="1:12">
      <c r="A63" s="277" t="s">
        <v>3482</v>
      </c>
      <c r="B63" s="278"/>
      <c r="C63" s="278"/>
      <c r="D63" s="278"/>
      <c r="E63" s="279">
        <f>IF($C$5&gt;1500000,$D$5,$C$5)</f>
        <v>0</v>
      </c>
      <c r="F63" s="108"/>
      <c r="G63" s="277" t="s">
        <v>3482</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2012-047 Magnolia Pointe Apartments, Montezuma, Macon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3169</v>
      </c>
      <c r="D5" s="304"/>
      <c r="E5" s="1005" t="s">
        <v>1451</v>
      </c>
      <c r="F5" s="1006"/>
      <c r="G5" s="217"/>
    </row>
    <row r="6" spans="1:17">
      <c r="E6" s="1006"/>
      <c r="F6" s="1006"/>
      <c r="G6" s="217"/>
    </row>
    <row r="7" spans="1:17">
      <c r="A7" s="31" t="s">
        <v>3469</v>
      </c>
      <c r="C7" s="31" t="s">
        <v>3470</v>
      </c>
      <c r="D7" s="305"/>
      <c r="E7" s="1006"/>
      <c r="F7" s="1006"/>
      <c r="G7" s="217"/>
    </row>
    <row r="8" spans="1:17">
      <c r="C8" s="31" t="s">
        <v>3471</v>
      </c>
      <c r="D8" s="305"/>
      <c r="E8" s="1006"/>
      <c r="F8" s="1006"/>
      <c r="G8" s="217"/>
    </row>
    <row r="9" spans="1:17">
      <c r="C9" s="31" t="s">
        <v>3472</v>
      </c>
      <c r="D9" s="305"/>
      <c r="E9" s="1006"/>
      <c r="F9" s="1006"/>
      <c r="G9" s="217"/>
    </row>
    <row r="10" spans="1:17">
      <c r="C10" s="31" t="s">
        <v>3485</v>
      </c>
      <c r="D10" s="318">
        <f>D7+D8+D9</f>
        <v>0</v>
      </c>
      <c r="E10" s="1006"/>
      <c r="F10" s="1006"/>
      <c r="G10" s="217"/>
    </row>
    <row r="11" spans="1:17">
      <c r="F11" s="217"/>
      <c r="G11" s="217"/>
    </row>
    <row r="12" spans="1:17">
      <c r="A12" s="31" t="s">
        <v>2568</v>
      </c>
      <c r="D12" s="303"/>
      <c r="E12" s="31" t="s">
        <v>3024</v>
      </c>
      <c r="F12" s="217"/>
      <c r="G12" s="217"/>
    </row>
    <row r="13" spans="1:17">
      <c r="D13" s="270"/>
      <c r="F13" s="217"/>
      <c r="G13" s="217"/>
    </row>
    <row r="14" spans="1:17">
      <c r="A14" s="31" t="s">
        <v>3474</v>
      </c>
      <c r="D14" s="302"/>
      <c r="E14" s="31" t="s">
        <v>3475</v>
      </c>
      <c r="F14" s="319"/>
    </row>
    <row r="15" spans="1:17">
      <c r="D15" s="290"/>
      <c r="F15" s="319"/>
    </row>
    <row r="16" spans="1:17">
      <c r="A16" s="31" t="s">
        <v>3476</v>
      </c>
      <c r="D16" s="302"/>
      <c r="E16" s="31" t="s">
        <v>3475</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3168</v>
      </c>
      <c r="D26" s="316"/>
      <c r="E26" s="108"/>
      <c r="F26" s="1007" t="s">
        <v>3168</v>
      </c>
      <c r="J26" s="321"/>
    </row>
    <row r="27" spans="1:10">
      <c r="A27" s="322" t="s">
        <v>3486</v>
      </c>
      <c r="B27" s="87" t="s">
        <v>1532</v>
      </c>
      <c r="C27" s="1008"/>
      <c r="D27" s="323" t="s">
        <v>3486</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2012-047 Magnolia Pointe Apartments, Montezuma, Macon County</v>
      </c>
      <c r="B50" s="996"/>
      <c r="C50" s="996"/>
      <c r="D50" s="996"/>
      <c r="E50" s="996"/>
      <c r="F50" s="996"/>
      <c r="G50" s="297"/>
      <c r="H50" s="297"/>
    </row>
    <row r="51" spans="1:10" ht="15">
      <c r="A51" s="993" t="s">
        <v>3477</v>
      </c>
      <c r="B51" s="993"/>
      <c r="C51" s="993"/>
      <c r="D51" s="993"/>
      <c r="E51" s="993"/>
      <c r="F51" s="993"/>
      <c r="G51" s="333"/>
      <c r="H51" s="333"/>
      <c r="I51" s="333"/>
      <c r="J51" s="333"/>
    </row>
    <row r="52" spans="1:10" ht="5.45" customHeight="1">
      <c r="C52" s="270"/>
      <c r="D52" s="270"/>
      <c r="G52" s="275"/>
      <c r="H52" s="269"/>
      <c r="I52" s="275"/>
    </row>
    <row r="53" spans="1:10">
      <c r="A53" s="273" t="s">
        <v>3478</v>
      </c>
      <c r="B53" s="273" t="s">
        <v>3479</v>
      </c>
      <c r="C53" s="273" t="s">
        <v>1861</v>
      </c>
      <c r="D53" s="273" t="s">
        <v>3480</v>
      </c>
      <c r="E53" s="273" t="s">
        <v>3481</v>
      </c>
      <c r="F53" s="307" t="s">
        <v>3486</v>
      </c>
      <c r="G53" s="334"/>
      <c r="H53" s="334"/>
      <c r="I53" s="334"/>
    </row>
    <row r="54" spans="1:10" ht="3.6" customHeight="1">
      <c r="F54" s="108"/>
      <c r="G54" s="275"/>
      <c r="H54" s="269"/>
      <c r="I54" s="275"/>
    </row>
    <row r="55" spans="1:10">
      <c r="A55" s="31" t="s">
        <v>3482</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2012-047 Magnolia Pointe Apartments, Montezuma, Macon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2012-047 Magnolia Pointe Apartments, Montezuma, Macon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3866</v>
      </c>
      <c r="W6" s="1076"/>
    </row>
    <row r="7" spans="1:23" s="449" customFormat="1" ht="13.15" customHeight="1">
      <c r="B7" s="452" t="s">
        <v>111</v>
      </c>
      <c r="O7" s="846" t="str">
        <f>B7</f>
        <v>PRE-DEVELOPMENT COSTS</v>
      </c>
      <c r="V7" s="449" t="str">
        <f>B7</f>
        <v>PRE-DEVELOPMENT COSTS</v>
      </c>
    </row>
    <row r="8" spans="1:23" s="449" customFormat="1" ht="12.6" customHeight="1">
      <c r="B8" s="449" t="s">
        <v>2881</v>
      </c>
      <c r="G8" s="1418">
        <v>5000</v>
      </c>
      <c r="H8" s="1419"/>
      <c r="J8" s="1418">
        <v>5000</v>
      </c>
      <c r="K8" s="1419"/>
      <c r="L8" s="843"/>
      <c r="M8" s="1418"/>
      <c r="N8" s="1419"/>
      <c r="P8" s="1418"/>
      <c r="Q8" s="1419"/>
      <c r="S8" s="1418"/>
      <c r="T8" s="1419"/>
      <c r="V8" s="1448"/>
      <c r="W8" s="1449"/>
    </row>
    <row r="9" spans="1:23" s="449" customFormat="1" ht="12.6" customHeight="1">
      <c r="B9" s="449" t="s">
        <v>631</v>
      </c>
      <c r="G9" s="1418">
        <v>6500</v>
      </c>
      <c r="H9" s="1419"/>
      <c r="J9" s="1418">
        <v>6500</v>
      </c>
      <c r="K9" s="1419"/>
      <c r="L9" s="843"/>
      <c r="M9" s="1418"/>
      <c r="N9" s="1419"/>
      <c r="P9" s="1418"/>
      <c r="Q9" s="1419"/>
      <c r="S9" s="1418"/>
      <c r="T9" s="1419"/>
      <c r="V9" s="1450"/>
      <c r="W9" s="1451"/>
    </row>
    <row r="10" spans="1:23" s="449" customFormat="1" ht="12.6" customHeight="1">
      <c r="B10" s="449" t="s">
        <v>674</v>
      </c>
      <c r="G10" s="1418">
        <v>13000</v>
      </c>
      <c r="H10" s="1419"/>
      <c r="J10" s="1418">
        <v>13000</v>
      </c>
      <c r="K10" s="1419"/>
      <c r="L10" s="843"/>
      <c r="M10" s="1418"/>
      <c r="N10" s="1419"/>
      <c r="P10" s="1418"/>
      <c r="Q10" s="1419"/>
      <c r="S10" s="1418"/>
      <c r="T10" s="1419"/>
      <c r="V10" s="1450"/>
      <c r="W10" s="1451"/>
    </row>
    <row r="11" spans="1:23" s="449" customFormat="1" ht="12.6" customHeight="1">
      <c r="B11" s="449" t="s">
        <v>675</v>
      </c>
      <c r="G11" s="1418">
        <v>3000</v>
      </c>
      <c r="H11" s="1419"/>
      <c r="J11" s="1418">
        <v>3000</v>
      </c>
      <c r="K11" s="1419"/>
      <c r="L11" s="843"/>
      <c r="M11" s="1418"/>
      <c r="N11" s="1419"/>
      <c r="P11" s="1418"/>
      <c r="Q11" s="1419"/>
      <c r="S11" s="1418"/>
      <c r="T11" s="1419"/>
      <c r="V11" s="1450"/>
      <c r="W11" s="1451"/>
    </row>
    <row r="12" spans="1:23" s="449" customFormat="1" ht="12.6" customHeight="1">
      <c r="B12" s="449" t="s">
        <v>3508</v>
      </c>
      <c r="G12" s="1418">
        <v>8000</v>
      </c>
      <c r="H12" s="1419"/>
      <c r="J12" s="1418">
        <v>8000</v>
      </c>
      <c r="K12" s="1419"/>
      <c r="L12" s="843"/>
      <c r="M12" s="1418"/>
      <c r="N12" s="1419"/>
      <c r="P12" s="1418"/>
      <c r="Q12" s="1419"/>
      <c r="S12" s="1418"/>
      <c r="T12" s="1419"/>
      <c r="V12" s="1450"/>
      <c r="W12" s="1451"/>
    </row>
    <row r="13" spans="1:23" s="449" customFormat="1" ht="12.6" customHeight="1">
      <c r="B13" s="449" t="s">
        <v>229</v>
      </c>
      <c r="G13" s="1418"/>
      <c r="H13" s="1419"/>
      <c r="J13" s="1418"/>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3399</v>
      </c>
      <c r="D14" s="1298"/>
      <c r="E14" s="1298"/>
      <c r="F14" s="1299"/>
      <c r="G14" s="1418"/>
      <c r="H14" s="1419"/>
      <c r="J14" s="1418"/>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3399</v>
      </c>
      <c r="D15" s="1298"/>
      <c r="E15" s="1298"/>
      <c r="F15" s="1299"/>
      <c r="G15" s="1418"/>
      <c r="H15" s="1419"/>
      <c r="J15" s="1418"/>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3399</v>
      </c>
      <c r="D16" s="1298"/>
      <c r="E16" s="1298"/>
      <c r="F16" s="1299"/>
      <c r="G16" s="1418"/>
      <c r="H16" s="1419"/>
      <c r="J16" s="1452"/>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5">
        <f>SUM(G8:H16)</f>
        <v>35500</v>
      </c>
      <c r="H17" s="1016"/>
      <c r="J17" s="1015">
        <f>SUM(J8:K16)</f>
        <v>35500</v>
      </c>
      <c r="K17" s="1028"/>
      <c r="L17" s="843"/>
      <c r="M17" s="1015">
        <f>SUM(M8:N16)</f>
        <v>0</v>
      </c>
      <c r="N17" s="1016"/>
      <c r="P17" s="1015">
        <f>SUM(P8:Q16)</f>
        <v>0</v>
      </c>
      <c r="Q17" s="1016"/>
      <c r="S17" s="1015">
        <f>SUM(S8:T16)</f>
        <v>0</v>
      </c>
      <c r="T17" s="1016"/>
      <c r="V17" s="1454"/>
      <c r="W17" s="1455"/>
    </row>
    <row r="18" spans="2:23" s="449" customFormat="1" ht="13.15" customHeight="1">
      <c r="B18" s="452" t="s">
        <v>3094</v>
      </c>
      <c r="J18" s="512"/>
      <c r="K18" s="512"/>
      <c r="M18" s="512"/>
      <c r="N18" s="512"/>
      <c r="O18" s="514" t="str">
        <f>B18</f>
        <v>ACQUISITION</v>
      </c>
      <c r="P18" s="512"/>
      <c r="Q18" s="512"/>
      <c r="S18" s="512"/>
      <c r="T18" s="512"/>
      <c r="V18" s="449" t="str">
        <f>B18</f>
        <v>ACQUISITION</v>
      </c>
    </row>
    <row r="19" spans="2:23" s="449" customFormat="1" ht="12.6" customHeight="1">
      <c r="B19" s="449" t="s">
        <v>3095</v>
      </c>
      <c r="G19" s="1418"/>
      <c r="H19" s="1419"/>
      <c r="J19" s="515"/>
      <c r="K19" s="512"/>
      <c r="L19" s="515"/>
      <c r="M19" s="515"/>
      <c r="N19" s="512"/>
      <c r="P19" s="515"/>
      <c r="Q19" s="512"/>
      <c r="S19" s="1418"/>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c r="H22" s="1457"/>
      <c r="J22" s="515"/>
      <c r="K22" s="512"/>
      <c r="L22" s="515"/>
      <c r="M22" s="1456"/>
      <c r="N22" s="1457"/>
      <c r="P22" s="515"/>
      <c r="Q22" s="512"/>
      <c r="S22" s="1418"/>
      <c r="T22" s="1419"/>
      <c r="V22" s="1450"/>
      <c r="W22" s="1451"/>
    </row>
    <row r="23" spans="2:23" s="449" customFormat="1" ht="12.6" customHeight="1" thickTop="1">
      <c r="F23" s="513" t="s">
        <v>230</v>
      </c>
      <c r="G23" s="1015">
        <f>SUM(G19:H22)</f>
        <v>0</v>
      </c>
      <c r="H23" s="1016"/>
      <c r="J23" s="515"/>
      <c r="K23" s="512"/>
      <c r="L23" s="515"/>
      <c r="M23" s="1015">
        <f>SUM(M21:N22)</f>
        <v>0</v>
      </c>
      <c r="N23" s="1016"/>
      <c r="P23" s="515"/>
      <c r="Q23" s="512"/>
      <c r="S23" s="1015">
        <f>SUM(S19:T22)</f>
        <v>0</v>
      </c>
      <c r="T23" s="1016"/>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v>375000</v>
      </c>
      <c r="H25" s="1419"/>
      <c r="J25" s="1452">
        <v>375000</v>
      </c>
      <c r="K25" s="1453"/>
      <c r="L25" s="843"/>
      <c r="M25" s="1452"/>
      <c r="N25" s="1453"/>
      <c r="P25" s="1452"/>
      <c r="Q25" s="1453"/>
      <c r="S25" s="1418"/>
      <c r="T25" s="1419"/>
      <c r="V25" s="1448"/>
      <c r="W25" s="1449"/>
    </row>
    <row r="26" spans="2:23" s="449" customFormat="1" ht="12.6" customHeight="1" thickBot="1">
      <c r="B26" s="449" t="s">
        <v>1635</v>
      </c>
      <c r="G26" s="1418"/>
      <c r="H26" s="1419"/>
      <c r="J26" s="1452"/>
      <c r="K26" s="1453"/>
      <c r="L26" s="516"/>
      <c r="M26" s="1029"/>
      <c r="N26" s="1029"/>
      <c r="P26" s="1029"/>
      <c r="Q26" s="1029"/>
      <c r="S26" s="1418"/>
      <c r="T26" s="1419"/>
      <c r="V26" s="1450"/>
      <c r="W26" s="1451"/>
    </row>
    <row r="27" spans="2:23" s="449" customFormat="1" ht="12.6" customHeight="1" thickTop="1">
      <c r="F27" s="513" t="s">
        <v>230</v>
      </c>
      <c r="G27" s="1015">
        <f>SUM(G25:H26)</f>
        <v>375000</v>
      </c>
      <c r="H27" s="1016"/>
      <c r="J27" s="1015">
        <f>SUM(J25:K26)</f>
        <v>375000</v>
      </c>
      <c r="K27" s="1016"/>
      <c r="L27" s="515"/>
      <c r="M27" s="1015">
        <f>M25</f>
        <v>0</v>
      </c>
      <c r="N27" s="1016"/>
      <c r="P27" s="1015">
        <f>P25</f>
        <v>0</v>
      </c>
      <c r="Q27" s="1016"/>
      <c r="S27" s="1015">
        <f>SUM(S25:T26)</f>
        <v>0</v>
      </c>
      <c r="T27" s="1016"/>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v>2550000</v>
      </c>
      <c r="H29" s="1419"/>
      <c r="J29" s="1418">
        <v>2550000</v>
      </c>
      <c r="K29" s="1419"/>
      <c r="L29" s="843"/>
      <c r="M29" s="1418"/>
      <c r="N29" s="1419"/>
      <c r="P29" s="1418"/>
      <c r="Q29" s="1419"/>
      <c r="S29" s="1418"/>
      <c r="T29" s="1419"/>
      <c r="V29" s="1448"/>
      <c r="W29" s="1449"/>
    </row>
    <row r="30" spans="2:23" s="449" customFormat="1" ht="12.6" customHeight="1">
      <c r="B30" s="449" t="s">
        <v>1638</v>
      </c>
      <c r="G30" s="1418"/>
      <c r="H30" s="1419"/>
      <c r="J30" s="1418"/>
      <c r="K30" s="1419"/>
      <c r="L30" s="843"/>
      <c r="M30" s="1418"/>
      <c r="N30" s="1419"/>
      <c r="P30" s="1418"/>
      <c r="Q30" s="1419"/>
      <c r="S30" s="1418"/>
      <c r="T30" s="1419"/>
      <c r="V30" s="1450"/>
      <c r="W30" s="1451"/>
    </row>
    <row r="31" spans="2:23" ht="12.6" customHeight="1" thickBot="1">
      <c r="B31" s="449" t="s">
        <v>1639</v>
      </c>
      <c r="G31" s="1418">
        <v>110000</v>
      </c>
      <c r="H31" s="1419"/>
      <c r="I31" s="449"/>
      <c r="J31" s="1418">
        <v>110000</v>
      </c>
      <c r="K31" s="1419"/>
      <c r="L31" s="843"/>
      <c r="M31" s="1418"/>
      <c r="N31" s="1419"/>
      <c r="O31" s="449"/>
      <c r="P31" s="1418"/>
      <c r="Q31" s="1419"/>
      <c r="R31" s="449"/>
      <c r="S31" s="1418"/>
      <c r="T31" s="1419"/>
      <c r="V31" s="1450"/>
      <c r="W31" s="1451"/>
    </row>
    <row r="32" spans="2:23" s="449" customFormat="1" ht="12.6" customHeight="1" thickTop="1">
      <c r="C32" s="1022"/>
      <c r="D32" s="1022"/>
      <c r="E32" s="845"/>
      <c r="F32" s="513" t="s">
        <v>230</v>
      </c>
      <c r="G32" s="1015">
        <f>SUM(G29:H31)</f>
        <v>2660000</v>
      </c>
      <c r="H32" s="1016"/>
      <c r="J32" s="1015">
        <f>SUM(J29:K31)</f>
        <v>2660000</v>
      </c>
      <c r="K32" s="1016"/>
      <c r="L32" s="843"/>
      <c r="M32" s="1015">
        <f>SUM(M29:N31)</f>
        <v>0</v>
      </c>
      <c r="N32" s="1016"/>
      <c r="P32" s="1015">
        <f>SUM(P29:Q31)</f>
        <v>0</v>
      </c>
      <c r="Q32" s="1016"/>
      <c r="S32" s="1015">
        <f>SUM(S29:T31)</f>
        <v>0</v>
      </c>
      <c r="T32" s="1016"/>
      <c r="V32" s="1454"/>
      <c r="W32" s="1455"/>
    </row>
    <row r="33" spans="1:23" s="449" customFormat="1" ht="13.15" customHeight="1">
      <c r="B33" s="452" t="s">
        <v>3269</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3270</v>
      </c>
      <c r="E34" s="517">
        <f>'DCA Underwriting Assumptions'!$R$38</f>
        <v>0.06</v>
      </c>
      <c r="F34" s="605">
        <f>E34*($G$27+$G$32)</f>
        <v>182100</v>
      </c>
      <c r="G34" s="1418">
        <v>182000</v>
      </c>
      <c r="H34" s="1419"/>
      <c r="I34" s="472"/>
      <c r="J34" s="1418">
        <v>182000</v>
      </c>
      <c r="K34" s="1419"/>
      <c r="L34" s="843"/>
      <c r="M34" s="1418"/>
      <c r="N34" s="1419"/>
      <c r="P34" s="1418"/>
      <c r="Q34" s="1419"/>
      <c r="S34" s="1418"/>
      <c r="T34" s="1419"/>
      <c r="V34" s="1448"/>
      <c r="W34" s="1449"/>
    </row>
    <row r="35" spans="1:23" s="449" customFormat="1" ht="12.6" customHeight="1" thickBot="1">
      <c r="B35" s="449" t="s">
        <v>2924</v>
      </c>
      <c r="E35" s="604">
        <f>'DCA Underwriting Assumptions'!$R$39+'DCA Underwriting Assumptions'!$R$40</f>
        <v>0.08</v>
      </c>
      <c r="F35" s="605">
        <f>E35*($G$27+$G$32)</f>
        <v>242800</v>
      </c>
      <c r="G35" s="1418">
        <v>242000</v>
      </c>
      <c r="H35" s="1419"/>
      <c r="I35" s="472"/>
      <c r="J35" s="1418">
        <v>242000</v>
      </c>
      <c r="K35" s="1419"/>
      <c r="L35" s="843"/>
      <c r="M35" s="1418"/>
      <c r="N35" s="1419"/>
      <c r="P35" s="1418"/>
      <c r="Q35" s="1419"/>
      <c r="S35" s="1418"/>
      <c r="T35" s="1419"/>
      <c r="V35" s="1450"/>
      <c r="W35" s="1451"/>
    </row>
    <row r="36" spans="1:23" s="449" customFormat="1" ht="12.6" customHeight="1" thickTop="1">
      <c r="B36" s="449" t="s">
        <v>2925</v>
      </c>
      <c r="D36" s="520"/>
      <c r="E36" s="833"/>
      <c r="F36" s="606" t="s">
        <v>230</v>
      </c>
      <c r="G36" s="1015">
        <f>SUM(G34:H35)</f>
        <v>424000</v>
      </c>
      <c r="H36" s="1016"/>
      <c r="J36" s="1015">
        <f>SUM(J34:K35)</f>
        <v>424000</v>
      </c>
      <c r="K36" s="1016"/>
      <c r="L36" s="515"/>
      <c r="M36" s="1015">
        <f>SUM(M34:N35)</f>
        <v>0</v>
      </c>
      <c r="N36" s="1016"/>
      <c r="P36" s="1015">
        <f>SUM(P34:Q35)</f>
        <v>0</v>
      </c>
      <c r="Q36" s="1016"/>
      <c r="S36" s="1015">
        <f>SUM(S34:T35)</f>
        <v>0</v>
      </c>
      <c r="T36" s="1016"/>
      <c r="V36" s="1454"/>
      <c r="W36" s="1455"/>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104818.18181818182</v>
      </c>
      <c r="E38" s="523"/>
      <c r="F38" s="524" t="s">
        <v>1974</v>
      </c>
      <c r="V38" s="1448"/>
      <c r="W38" s="1449"/>
    </row>
    <row r="39" spans="1:23" s="449" customFormat="1" ht="12.6" customHeight="1">
      <c r="B39" s="1030">
        <f>G27+G32+G36</f>
        <v>3459000</v>
      </c>
      <c r="C39" s="1031"/>
      <c r="D39" s="525">
        <f>B39/'Part VI-Revenues &amp; Expenses'!$M$100</f>
        <v>92.679920690209528</v>
      </c>
      <c r="E39" s="525"/>
      <c r="F39" s="526" t="s">
        <v>1242</v>
      </c>
      <c r="J39" s="512"/>
      <c r="K39" s="512"/>
      <c r="L39" s="527"/>
      <c r="M39" s="512"/>
      <c r="N39" s="843"/>
      <c r="P39" s="512"/>
      <c r="Q39" s="843"/>
      <c r="S39" s="512"/>
      <c r="T39" s="843"/>
      <c r="V39" s="1454"/>
      <c r="W39" s="1455"/>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2841</v>
      </c>
      <c r="F42" s="623">
        <f>G42/$B$39</f>
        <v>4.9147152356172306E-2</v>
      </c>
      <c r="G42" s="1418">
        <v>170000</v>
      </c>
      <c r="H42" s="1419"/>
      <c r="I42" s="449"/>
      <c r="J42" s="1418">
        <v>170000</v>
      </c>
      <c r="K42" s="1419"/>
      <c r="L42" s="843"/>
      <c r="M42" s="1418"/>
      <c r="N42" s="1419"/>
      <c r="O42" s="449"/>
      <c r="P42" s="1418"/>
      <c r="Q42" s="1419"/>
      <c r="R42" s="449"/>
      <c r="S42" s="1418"/>
      <c r="T42" s="1419"/>
      <c r="V42" s="1458"/>
      <c r="W42" s="1459"/>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3866</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3272</v>
      </c>
      <c r="G48" s="1418">
        <v>40000</v>
      </c>
      <c r="H48" s="1419"/>
      <c r="J48" s="1418">
        <v>40000</v>
      </c>
      <c r="K48" s="1419"/>
      <c r="L48" s="843"/>
      <c r="M48" s="1418"/>
      <c r="N48" s="1419"/>
      <c r="P48" s="1418"/>
      <c r="Q48" s="1419"/>
      <c r="S48" s="1418"/>
      <c r="T48" s="1419"/>
      <c r="V48" s="1448"/>
      <c r="W48" s="1449"/>
    </row>
    <row r="49" spans="1:23" s="449" customFormat="1" ht="12" customHeight="1">
      <c r="B49" s="449" t="s">
        <v>3273</v>
      </c>
      <c r="G49" s="1418">
        <v>119000</v>
      </c>
      <c r="H49" s="1419"/>
      <c r="J49" s="1418">
        <v>119000</v>
      </c>
      <c r="K49" s="1419"/>
      <c r="L49" s="843"/>
      <c r="M49" s="1418"/>
      <c r="N49" s="1419"/>
      <c r="P49" s="1418"/>
      <c r="Q49" s="1419"/>
      <c r="S49" s="1418"/>
      <c r="T49" s="1419"/>
      <c r="V49" s="1450"/>
      <c r="W49" s="1451"/>
    </row>
    <row r="50" spans="1:23" s="449" customFormat="1" ht="12" customHeight="1">
      <c r="B50" s="449" t="s">
        <v>3274</v>
      </c>
      <c r="G50" s="1418">
        <v>15000</v>
      </c>
      <c r="H50" s="1419"/>
      <c r="J50" s="1418">
        <v>15000</v>
      </c>
      <c r="K50" s="1419"/>
      <c r="L50" s="843"/>
      <c r="M50" s="1418"/>
      <c r="N50" s="1419"/>
      <c r="P50" s="1418"/>
      <c r="Q50" s="1419"/>
      <c r="S50" s="1418"/>
      <c r="T50" s="1419"/>
      <c r="V50" s="1450"/>
      <c r="W50" s="1451"/>
    </row>
    <row r="51" spans="1:23" s="449" customFormat="1" ht="12" customHeight="1">
      <c r="B51" s="449" t="s">
        <v>3935</v>
      </c>
      <c r="G51" s="1418">
        <v>8000</v>
      </c>
      <c r="H51" s="1419"/>
      <c r="J51" s="1418">
        <v>8000</v>
      </c>
      <c r="K51" s="1419"/>
      <c r="L51" s="843"/>
      <c r="M51" s="1418"/>
      <c r="N51" s="1419"/>
      <c r="P51" s="1418"/>
      <c r="Q51" s="1419"/>
      <c r="S51" s="1418"/>
      <c r="T51" s="1419"/>
      <c r="V51" s="1450"/>
      <c r="W51" s="1451"/>
    </row>
    <row r="52" spans="1:23" s="449" customFormat="1" ht="12" customHeight="1">
      <c r="B52" s="449" t="s">
        <v>1004</v>
      </c>
      <c r="G52" s="1418">
        <v>2000</v>
      </c>
      <c r="H52" s="1419"/>
      <c r="J52" s="1418">
        <v>2000</v>
      </c>
      <c r="K52" s="1419"/>
      <c r="L52" s="843"/>
      <c r="M52" s="1418"/>
      <c r="N52" s="1419"/>
      <c r="P52" s="1418"/>
      <c r="Q52" s="1419"/>
      <c r="S52" s="1418"/>
      <c r="T52" s="1419"/>
      <c r="V52" s="1450"/>
      <c r="W52" s="1451"/>
    </row>
    <row r="53" spans="1:23" s="449" customFormat="1" ht="12" customHeight="1">
      <c r="B53" s="449" t="s">
        <v>3275</v>
      </c>
      <c r="G53" s="1418">
        <v>7500</v>
      </c>
      <c r="H53" s="1419"/>
      <c r="J53" s="1418">
        <v>7500</v>
      </c>
      <c r="K53" s="1419"/>
      <c r="L53" s="843"/>
      <c r="M53" s="1418"/>
      <c r="N53" s="1419"/>
      <c r="P53" s="1418"/>
      <c r="Q53" s="1419"/>
      <c r="S53" s="1418"/>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1674</v>
      </c>
      <c r="D55" s="517"/>
      <c r="E55" s="517"/>
      <c r="F55" s="518"/>
      <c r="G55" s="1418"/>
      <c r="H55" s="1419"/>
      <c r="I55" s="472"/>
      <c r="J55" s="1418"/>
      <c r="K55" s="1419"/>
      <c r="L55" s="843"/>
      <c r="M55" s="1418"/>
      <c r="N55" s="1419"/>
      <c r="P55" s="1418"/>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t="s">
        <v>3399</v>
      </c>
      <c r="D56" s="1298"/>
      <c r="E56" s="1298"/>
      <c r="F56" s="1299"/>
      <c r="G56" s="1456"/>
      <c r="H56" s="1457"/>
      <c r="J56" s="1456"/>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5">
        <f>SUM(G48:H56)</f>
        <v>191500</v>
      </c>
      <c r="H57" s="1016"/>
      <c r="J57" s="1015">
        <f>SUM(J48:K56)</f>
        <v>191500</v>
      </c>
      <c r="K57" s="1016"/>
      <c r="L57" s="515"/>
      <c r="M57" s="1015">
        <f>SUM(M48:N56)</f>
        <v>0</v>
      </c>
      <c r="N57" s="1016"/>
      <c r="P57" s="1015">
        <f>SUM(P48:Q56)</f>
        <v>0</v>
      </c>
      <c r="Q57" s="1016"/>
      <c r="S57" s="1015">
        <f>SUM(S48:T56)</f>
        <v>0</v>
      </c>
      <c r="T57" s="1016"/>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140000</v>
      </c>
      <c r="H59" s="1419"/>
      <c r="J59" s="1418">
        <v>140000</v>
      </c>
      <c r="K59" s="1419"/>
      <c r="L59" s="843"/>
      <c r="M59" s="1418"/>
      <c r="N59" s="1419"/>
      <c r="P59" s="1418"/>
      <c r="Q59" s="1419"/>
      <c r="S59" s="1418"/>
      <c r="T59" s="1419"/>
      <c r="V59" s="1448"/>
      <c r="W59" s="1449"/>
    </row>
    <row r="60" spans="1:23" s="449" customFormat="1" ht="12" customHeight="1">
      <c r="B60" s="449" t="s">
        <v>663</v>
      </c>
      <c r="G60" s="1418">
        <v>23000</v>
      </c>
      <c r="H60" s="1419"/>
      <c r="J60" s="1418">
        <v>23000</v>
      </c>
      <c r="K60" s="1419"/>
      <c r="L60" s="843"/>
      <c r="M60" s="1418"/>
      <c r="N60" s="1419"/>
      <c r="P60" s="1418"/>
      <c r="Q60" s="1419"/>
      <c r="S60" s="1418"/>
      <c r="T60" s="1419"/>
      <c r="V60" s="1450"/>
      <c r="W60" s="1451"/>
    </row>
    <row r="61" spans="1:23" s="449" customFormat="1" ht="12" customHeight="1">
      <c r="B61" s="449" t="s">
        <v>1643</v>
      </c>
      <c r="G61" s="1418">
        <v>16000</v>
      </c>
      <c r="H61" s="1419"/>
      <c r="J61" s="1418">
        <v>16000</v>
      </c>
      <c r="K61" s="1419"/>
      <c r="L61" s="843"/>
      <c r="M61" s="1418"/>
      <c r="N61" s="1419"/>
      <c r="P61" s="1418"/>
      <c r="Q61" s="1419"/>
      <c r="S61" s="1418"/>
      <c r="T61" s="1419"/>
      <c r="V61" s="1450"/>
      <c r="W61" s="1451"/>
    </row>
    <row r="62" spans="1:23" s="449" customFormat="1" ht="12" customHeight="1">
      <c r="B62" s="449" t="s">
        <v>1644</v>
      </c>
      <c r="G62" s="1418">
        <v>10000</v>
      </c>
      <c r="H62" s="1419"/>
      <c r="J62" s="1418">
        <v>10000</v>
      </c>
      <c r="K62" s="1419"/>
      <c r="L62" s="843"/>
      <c r="M62" s="1418"/>
      <c r="N62" s="1419"/>
      <c r="P62" s="1418"/>
      <c r="Q62" s="1419"/>
      <c r="S62" s="1418"/>
      <c r="T62" s="1419"/>
      <c r="V62" s="1450"/>
      <c r="W62" s="1451"/>
    </row>
    <row r="63" spans="1:23" s="449" customFormat="1" ht="12" customHeight="1">
      <c r="B63" s="449" t="s">
        <v>1645</v>
      </c>
      <c r="G63" s="1418">
        <v>7000</v>
      </c>
      <c r="H63" s="1419"/>
      <c r="J63" s="1418">
        <v>7000</v>
      </c>
      <c r="K63" s="1419"/>
      <c r="L63" s="843"/>
      <c r="M63" s="1418"/>
      <c r="N63" s="1419"/>
      <c r="P63" s="1418"/>
      <c r="Q63" s="1419"/>
      <c r="S63" s="1418"/>
      <c r="T63" s="1419"/>
      <c r="V63" s="1450"/>
      <c r="W63" s="1451"/>
    </row>
    <row r="64" spans="1:23" s="449" customFormat="1" ht="12" customHeight="1">
      <c r="B64" s="449" t="s">
        <v>1646</v>
      </c>
      <c r="G64" s="1418">
        <v>20000</v>
      </c>
      <c r="H64" s="1419"/>
      <c r="J64" s="1418">
        <v>20000</v>
      </c>
      <c r="K64" s="1419"/>
      <c r="L64" s="843"/>
      <c r="M64" s="1418"/>
      <c r="N64" s="1419"/>
      <c r="P64" s="1418"/>
      <c r="Q64" s="1419"/>
      <c r="S64" s="1418"/>
      <c r="T64" s="1419"/>
      <c r="V64" s="1450"/>
      <c r="W64" s="1451"/>
    </row>
    <row r="65" spans="1:23" s="449" customFormat="1" ht="12" customHeight="1">
      <c r="B65" s="449" t="s">
        <v>664</v>
      </c>
      <c r="G65" s="1418">
        <v>42000</v>
      </c>
      <c r="H65" s="1419"/>
      <c r="J65" s="1418">
        <v>42000</v>
      </c>
      <c r="K65" s="1419"/>
      <c r="L65" s="843"/>
      <c r="M65" s="1418"/>
      <c r="N65" s="1419"/>
      <c r="P65" s="1418"/>
      <c r="Q65" s="1419"/>
      <c r="S65" s="1418"/>
      <c r="T65" s="1419"/>
      <c r="V65" s="1450"/>
      <c r="W65" s="1451"/>
    </row>
    <row r="66" spans="1:23" s="449" customFormat="1" ht="12" customHeight="1">
      <c r="B66" s="449" t="s">
        <v>665</v>
      </c>
      <c r="G66" s="1418">
        <v>65000</v>
      </c>
      <c r="H66" s="1419"/>
      <c r="J66" s="1418">
        <v>65000</v>
      </c>
      <c r="K66" s="1419"/>
      <c r="L66" s="843"/>
      <c r="M66" s="1418"/>
      <c r="N66" s="1419"/>
      <c r="P66" s="1418"/>
      <c r="Q66" s="1419"/>
      <c r="S66" s="1418"/>
      <c r="T66" s="1419"/>
      <c r="V66" s="1450"/>
      <c r="W66" s="1451"/>
    </row>
    <row r="67" spans="1:23" s="449" customFormat="1" ht="12" customHeight="1">
      <c r="B67" s="449" t="s">
        <v>2935</v>
      </c>
      <c r="G67" s="1418">
        <v>17000</v>
      </c>
      <c r="H67" s="1419"/>
      <c r="J67" s="1418">
        <v>17000</v>
      </c>
      <c r="K67" s="1419"/>
      <c r="L67" s="843"/>
      <c r="M67" s="1418"/>
      <c r="N67" s="1419"/>
      <c r="P67" s="1418"/>
      <c r="Q67" s="1419"/>
      <c r="S67" s="1418"/>
      <c r="T67" s="1419"/>
      <c r="V67" s="1450"/>
      <c r="W67" s="1451"/>
    </row>
    <row r="68" spans="1:23" s="449" customFormat="1" ht="12" customHeight="1" thickBot="1">
      <c r="A68" s="548" t="str">
        <f>IF(AND(G68&gt;0,OR(C68="",C68="&lt;Enter detailed description here; use Comments section if needed&gt;")),"X","")</f>
        <v/>
      </c>
      <c r="B68" s="449" t="s">
        <v>1137</v>
      </c>
      <c r="C68" s="1298" t="s">
        <v>3399</v>
      </c>
      <c r="D68" s="1298"/>
      <c r="E68" s="1298"/>
      <c r="F68" s="1299"/>
      <c r="G68" s="1418"/>
      <c r="H68" s="1419"/>
      <c r="J68" s="1418"/>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5">
        <f>SUM(G59:H68)</f>
        <v>340000</v>
      </c>
      <c r="H69" s="1016"/>
      <c r="J69" s="1015">
        <f>SUM(J59:K68)</f>
        <v>340000</v>
      </c>
      <c r="K69" s="1016"/>
      <c r="L69" s="515"/>
      <c r="M69" s="1015">
        <f>SUM(M59:N68)</f>
        <v>0</v>
      </c>
      <c r="N69" s="1016"/>
      <c r="P69" s="1015">
        <f>SUM(P59:Q68)</f>
        <v>0</v>
      </c>
      <c r="Q69" s="1016"/>
      <c r="S69" s="1015">
        <f>SUM(S59:T68)</f>
        <v>0</v>
      </c>
      <c r="T69" s="1016"/>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22055</v>
      </c>
      <c r="H71" s="1419"/>
      <c r="J71" s="1418">
        <v>22055</v>
      </c>
      <c r="K71" s="1419"/>
      <c r="L71" s="843"/>
      <c r="M71" s="1418"/>
      <c r="N71" s="1419"/>
      <c r="P71" s="1418"/>
      <c r="Q71" s="1419"/>
      <c r="S71" s="1418"/>
      <c r="T71" s="1419"/>
      <c r="V71" s="1460"/>
      <c r="W71" s="1461"/>
    </row>
    <row r="72" spans="1:23" s="449" customFormat="1" ht="12" customHeight="1">
      <c r="B72" s="449" t="s">
        <v>1826</v>
      </c>
      <c r="G72" s="1418"/>
      <c r="H72" s="1419"/>
      <c r="J72" s="1418"/>
      <c r="K72" s="1419"/>
      <c r="L72" s="843"/>
      <c r="M72" s="1418"/>
      <c r="N72" s="1419"/>
      <c r="P72" s="1418"/>
      <c r="Q72" s="1419"/>
      <c r="S72" s="1418"/>
      <c r="T72" s="1419"/>
      <c r="V72" s="1462"/>
      <c r="W72" s="1463"/>
    </row>
    <row r="73" spans="1:23" s="449" customFormat="1" ht="12" customHeight="1">
      <c r="B73" s="449" t="s">
        <v>1827</v>
      </c>
      <c r="D73" s="529" t="s">
        <v>1975</v>
      </c>
      <c r="E73" s="1464" t="s">
        <v>3978</v>
      </c>
      <c r="G73" s="1418">
        <v>32250</v>
      </c>
      <c r="H73" s="1419"/>
      <c r="I73" s="472"/>
      <c r="J73" s="1418">
        <v>32250</v>
      </c>
      <c r="K73" s="1419"/>
      <c r="L73" s="843"/>
      <c r="M73" s="1418"/>
      <c r="N73" s="1419"/>
      <c r="P73" s="1418"/>
      <c r="Q73" s="1419"/>
      <c r="S73" s="1418"/>
      <c r="T73" s="1419"/>
      <c r="V73" s="1462"/>
      <c r="W73" s="1463"/>
    </row>
    <row r="74" spans="1:23" s="449" customFormat="1" ht="12" customHeight="1" thickBot="1">
      <c r="B74" s="449" t="s">
        <v>1828</v>
      </c>
      <c r="D74" s="529" t="s">
        <v>1975</v>
      </c>
      <c r="E74" s="1464" t="s">
        <v>3978</v>
      </c>
      <c r="G74" s="1418">
        <v>2050</v>
      </c>
      <c r="H74" s="1419"/>
      <c r="I74" s="472"/>
      <c r="J74" s="1418">
        <v>2050</v>
      </c>
      <c r="K74" s="1419"/>
      <c r="L74" s="843"/>
      <c r="M74" s="1418"/>
      <c r="N74" s="1419"/>
      <c r="P74" s="1418"/>
      <c r="Q74" s="1419"/>
      <c r="S74" s="1418"/>
      <c r="T74" s="1419"/>
      <c r="V74" s="1462"/>
      <c r="W74" s="1463"/>
    </row>
    <row r="75" spans="1:23" s="449" customFormat="1" ht="12" customHeight="1" thickTop="1">
      <c r="F75" s="513" t="s">
        <v>230</v>
      </c>
      <c r="G75" s="1015">
        <f>SUM(G71:H74)</f>
        <v>56355</v>
      </c>
      <c r="H75" s="1016"/>
      <c r="J75" s="1015">
        <f>SUM(J71:K74)</f>
        <v>56355</v>
      </c>
      <c r="K75" s="1016"/>
      <c r="L75" s="515"/>
      <c r="M75" s="1015">
        <f>SUM(M71:N74)</f>
        <v>0</v>
      </c>
      <c r="N75" s="1016"/>
      <c r="P75" s="1015">
        <f>SUM(P71:Q74)</f>
        <v>0</v>
      </c>
      <c r="Q75" s="1016"/>
      <c r="S75" s="1015">
        <f>SUM(S71:T74)</f>
        <v>0</v>
      </c>
      <c r="T75" s="1016"/>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c r="H77" s="1419"/>
      <c r="J77" s="1009"/>
      <c r="K77" s="1009"/>
      <c r="L77" s="843"/>
      <c r="M77" s="1009"/>
      <c r="N77" s="1009"/>
      <c r="P77" s="1009"/>
      <c r="Q77" s="1009"/>
      <c r="S77" s="1418"/>
      <c r="T77" s="1419"/>
      <c r="V77" s="1460"/>
      <c r="W77" s="1461"/>
    </row>
    <row r="78" spans="1:23" s="449" customFormat="1" ht="12" customHeight="1">
      <c r="B78" s="449" t="s">
        <v>1830</v>
      </c>
      <c r="G78" s="1418"/>
      <c r="H78" s="1419"/>
      <c r="J78" s="1027"/>
      <c r="K78" s="1027"/>
      <c r="L78" s="843"/>
      <c r="M78" s="1027"/>
      <c r="N78" s="1027"/>
      <c r="P78" s="1027"/>
      <c r="Q78" s="1027"/>
      <c r="S78" s="1418"/>
      <c r="T78" s="1419"/>
      <c r="V78" s="1462"/>
      <c r="W78" s="1463"/>
    </row>
    <row r="79" spans="1:23" s="449" customFormat="1" ht="12" customHeight="1">
      <c r="B79" s="449" t="s">
        <v>1831</v>
      </c>
      <c r="G79" s="1418">
        <v>10000</v>
      </c>
      <c r="H79" s="1419"/>
      <c r="J79" s="1418">
        <v>10000</v>
      </c>
      <c r="K79" s="1419"/>
      <c r="L79" s="843"/>
      <c r="M79" s="1418"/>
      <c r="N79" s="1419"/>
      <c r="P79" s="1418"/>
      <c r="Q79" s="1419"/>
      <c r="S79" s="1418"/>
      <c r="T79" s="1419"/>
      <c r="V79" s="1462"/>
      <c r="W79" s="1463"/>
    </row>
    <row r="80" spans="1:23" s="449" customFormat="1" ht="12" customHeight="1">
      <c r="B80" s="449" t="s">
        <v>1832</v>
      </c>
      <c r="G80" s="1418">
        <v>8000</v>
      </c>
      <c r="H80" s="1419"/>
      <c r="J80" s="1418">
        <v>8000</v>
      </c>
      <c r="K80" s="1419"/>
      <c r="L80" s="843"/>
      <c r="M80" s="1418"/>
      <c r="N80" s="1419"/>
      <c r="P80" s="1418"/>
      <c r="Q80" s="1419"/>
      <c r="S80" s="1418"/>
      <c r="T80" s="1419"/>
      <c r="V80" s="1462"/>
      <c r="W80" s="1463"/>
    </row>
    <row r="81" spans="1:23" s="449" customFormat="1" ht="12" customHeight="1">
      <c r="B81" s="449" t="s">
        <v>1833</v>
      </c>
      <c r="G81" s="1418"/>
      <c r="H81" s="1419"/>
      <c r="J81" s="1418"/>
      <c r="K81" s="1419"/>
      <c r="L81" s="843"/>
      <c r="M81" s="1418"/>
      <c r="N81" s="1419"/>
      <c r="P81" s="1418"/>
      <c r="Q81" s="1419"/>
      <c r="S81" s="1418"/>
      <c r="T81" s="1419"/>
      <c r="V81" s="1462"/>
      <c r="W81" s="1463"/>
    </row>
    <row r="82" spans="1:23" s="449" customFormat="1" ht="12" customHeight="1">
      <c r="B82" s="449" t="s">
        <v>3217</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3399</v>
      </c>
      <c r="D83" s="1298"/>
      <c r="E83" s="1298"/>
      <c r="F83" s="1299"/>
      <c r="G83" s="1418"/>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5">
        <f>SUM(G77:H83)</f>
        <v>18000</v>
      </c>
      <c r="H84" s="1016"/>
      <c r="J84" s="1015">
        <f>SUM(J79:K83)</f>
        <v>18000</v>
      </c>
      <c r="K84" s="1016"/>
      <c r="L84" s="515"/>
      <c r="M84" s="1015">
        <f>SUM(M79:N83)</f>
        <v>0</v>
      </c>
      <c r="N84" s="1016"/>
      <c r="P84" s="1015">
        <f>SUM(P79:Q83)</f>
        <v>0</v>
      </c>
      <c r="Q84" s="1016"/>
      <c r="S84" s="1015">
        <f>SUM(S77:T83)</f>
        <v>0</v>
      </c>
      <c r="T84" s="1016"/>
      <c r="V84" s="1465"/>
      <c r="W84" s="1466"/>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3866</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c r="H89" s="1419"/>
      <c r="J89" s="515"/>
      <c r="K89" s="515"/>
      <c r="L89" s="843"/>
      <c r="M89" s="515"/>
      <c r="N89" s="515"/>
      <c r="P89" s="515"/>
      <c r="Q89" s="515"/>
      <c r="S89" s="1418"/>
      <c r="T89" s="1419"/>
      <c r="V89" s="1460"/>
      <c r="W89" s="1461"/>
    </row>
    <row r="90" spans="1:23" s="449" customFormat="1" ht="12.6" customHeight="1">
      <c r="B90" s="449" t="s">
        <v>1735</v>
      </c>
      <c r="G90" s="1418">
        <v>6500</v>
      </c>
      <c r="H90" s="1419"/>
      <c r="J90" s="515"/>
      <c r="K90" s="515"/>
      <c r="L90" s="530"/>
      <c r="M90" s="515"/>
      <c r="N90" s="515"/>
      <c r="P90" s="515"/>
      <c r="Q90" s="515"/>
      <c r="S90" s="1418"/>
      <c r="T90" s="1419"/>
      <c r="V90" s="1462"/>
      <c r="W90" s="1463"/>
    </row>
    <row r="91" spans="1:23" s="449" customFormat="1" ht="12.6" customHeight="1">
      <c r="B91" s="449" t="s">
        <v>3954</v>
      </c>
      <c r="G91" s="1418"/>
      <c r="H91" s="1419"/>
      <c r="J91" s="515"/>
      <c r="K91" s="515"/>
      <c r="L91" s="530"/>
      <c r="M91" s="515"/>
      <c r="N91" s="515"/>
      <c r="O91" s="833"/>
      <c r="P91" s="515"/>
      <c r="Q91" s="515"/>
      <c r="S91" s="1418"/>
      <c r="T91" s="1419"/>
      <c r="V91" s="1462"/>
      <c r="W91" s="1463"/>
    </row>
    <row r="92" spans="1:23" s="449" customFormat="1" ht="12.6" customHeight="1">
      <c r="B92" s="449" t="s">
        <v>754</v>
      </c>
      <c r="E92" s="1032">
        <f ca="1">'DCA Underwriting Assumptions'!$Q$41*$J$165</f>
        <v>38320</v>
      </c>
      <c r="F92" s="1033"/>
      <c r="G92" s="1418">
        <v>38320</v>
      </c>
      <c r="H92" s="1419"/>
      <c r="J92" s="515"/>
      <c r="K92" s="515"/>
      <c r="L92" s="843"/>
      <c r="M92" s="515"/>
      <c r="N92" s="515"/>
      <c r="O92" s="833"/>
      <c r="P92" s="515"/>
      <c r="Q92" s="515"/>
      <c r="S92" s="1418"/>
      <c r="T92" s="1419"/>
      <c r="V92" s="1462"/>
      <c r="W92" s="1463"/>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26400</v>
      </c>
      <c r="F93" s="1033"/>
      <c r="G93" s="1418">
        <v>26400</v>
      </c>
      <c r="H93" s="1419"/>
      <c r="J93" s="416"/>
      <c r="K93" s="416"/>
      <c r="L93" s="416"/>
      <c r="M93" s="416"/>
      <c r="N93" s="416"/>
      <c r="O93" s="416"/>
      <c r="P93" s="416"/>
      <c r="Q93" s="416"/>
      <c r="S93" s="1418"/>
      <c r="T93" s="1419"/>
      <c r="V93" s="1462"/>
      <c r="W93" s="1463"/>
    </row>
    <row r="94" spans="1:23" s="449" customFormat="1" ht="12.6" customHeight="1">
      <c r="B94" s="449" t="s">
        <v>672</v>
      </c>
      <c r="G94" s="1418"/>
      <c r="H94" s="1419"/>
      <c r="J94" s="416"/>
      <c r="K94" s="416"/>
      <c r="L94" s="416"/>
      <c r="M94" s="416"/>
      <c r="N94" s="416"/>
      <c r="O94" s="416"/>
      <c r="P94" s="416"/>
      <c r="Q94" s="416"/>
      <c r="S94" s="1418"/>
      <c r="T94" s="1419"/>
      <c r="V94" s="1462"/>
      <c r="W94" s="1463"/>
    </row>
    <row r="95" spans="1:23" s="449" customFormat="1" ht="12.6" customHeight="1">
      <c r="B95" s="449" t="s">
        <v>3316</v>
      </c>
      <c r="G95" s="1418">
        <v>3000</v>
      </c>
      <c r="H95" s="1419"/>
      <c r="J95" s="416"/>
      <c r="K95" s="416"/>
      <c r="L95" s="416"/>
      <c r="M95" s="416"/>
      <c r="N95" s="416"/>
      <c r="O95" s="416"/>
      <c r="P95" s="416"/>
      <c r="Q95" s="416"/>
      <c r="S95" s="1418"/>
      <c r="T95" s="1419"/>
      <c r="V95" s="1462"/>
      <c r="W95" s="1463"/>
    </row>
    <row r="96" spans="1:23" s="449" customFormat="1" ht="12.6" customHeight="1">
      <c r="A96" s="548" t="str">
        <f>IF(AND(G96&gt;0,OR(C96="",C96="&lt;Enter detailed description here; use Comments section if needed&gt;")),"X","")</f>
        <v/>
      </c>
      <c r="B96" s="449" t="s">
        <v>1137</v>
      </c>
      <c r="C96" s="1298" t="s">
        <v>3399</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3399</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5">
        <f>SUM(G89:H97)</f>
        <v>74220</v>
      </c>
      <c r="H98" s="1016"/>
      <c r="J98" s="515"/>
      <c r="K98" s="515"/>
      <c r="L98" s="843"/>
      <c r="M98" s="515"/>
      <c r="N98" s="515"/>
      <c r="P98" s="515"/>
      <c r="Q98" s="515"/>
      <c r="S98" s="1015">
        <f>SUM(S89:T97)</f>
        <v>0</v>
      </c>
      <c r="T98" s="1016"/>
      <c r="V98" s="1465"/>
      <c r="W98" s="1466"/>
    </row>
    <row r="99" spans="1:23" s="449" customFormat="1" ht="13.15" customHeight="1">
      <c r="B99" s="452" t="s">
        <v>3218</v>
      </c>
      <c r="J99" s="515"/>
      <c r="K99" s="515"/>
      <c r="M99" s="515"/>
      <c r="N99" s="515"/>
      <c r="O99" s="514" t="str">
        <f>B99</f>
        <v>EQUITY COSTS</v>
      </c>
      <c r="P99" s="515"/>
      <c r="Q99" s="515"/>
      <c r="S99" s="515"/>
      <c r="T99" s="515"/>
      <c r="V99" s="449" t="str">
        <f>B99</f>
        <v>EQUITY COSTS</v>
      </c>
    </row>
    <row r="100" spans="1:23" s="449" customFormat="1" ht="12.6" customHeight="1">
      <c r="B100" s="449" t="s">
        <v>344</v>
      </c>
      <c r="G100" s="1418">
        <v>5000</v>
      </c>
      <c r="H100" s="1419"/>
      <c r="J100" s="1009"/>
      <c r="K100" s="1009"/>
      <c r="L100" s="843"/>
      <c r="M100" s="1009"/>
      <c r="N100" s="1009"/>
      <c r="O100" s="833"/>
      <c r="P100" s="1009"/>
      <c r="Q100" s="1009"/>
      <c r="S100" s="1418"/>
      <c r="T100" s="1419"/>
      <c r="V100" s="1460"/>
      <c r="W100" s="1461"/>
    </row>
    <row r="101" spans="1:23" s="449" customFormat="1" ht="12.6" customHeight="1">
      <c r="B101" s="449" t="s">
        <v>346</v>
      </c>
      <c r="G101" s="1418">
        <v>5000</v>
      </c>
      <c r="H101" s="1419"/>
      <c r="J101" s="1009"/>
      <c r="K101" s="1009"/>
      <c r="L101" s="843"/>
      <c r="M101" s="1009"/>
      <c r="N101" s="1009"/>
      <c r="O101" s="833"/>
      <c r="P101" s="1009"/>
      <c r="Q101" s="1009"/>
      <c r="S101" s="1418"/>
      <c r="T101" s="1419"/>
      <c r="V101" s="1462"/>
      <c r="W101" s="1463"/>
    </row>
    <row r="102" spans="1:23" s="449" customFormat="1" ht="12.6" customHeight="1">
      <c r="B102" s="449" t="s">
        <v>3360</v>
      </c>
      <c r="G102" s="1418"/>
      <c r="H102" s="1419"/>
      <c r="J102" s="1009"/>
      <c r="K102" s="1009"/>
      <c r="L102" s="843"/>
      <c r="M102" s="1009"/>
      <c r="N102" s="1009"/>
      <c r="O102" s="833"/>
      <c r="P102" s="1009"/>
      <c r="Q102" s="1009"/>
      <c r="S102" s="1418"/>
      <c r="T102" s="1419"/>
      <c r="V102" s="1462"/>
      <c r="W102" s="1463"/>
    </row>
    <row r="103" spans="1:23" s="449" customFormat="1" ht="12.6" customHeight="1" thickBot="1">
      <c r="A103" s="548" t="str">
        <f>IF(AND(G103&gt;0,OR(C103="",C103="&lt;Enter detailed description here; use Comments section if needed&gt;")),"X","")</f>
        <v/>
      </c>
      <c r="B103" s="449" t="s">
        <v>1137</v>
      </c>
      <c r="C103" s="1298" t="s">
        <v>3399</v>
      </c>
      <c r="D103" s="1298"/>
      <c r="E103" s="1298"/>
      <c r="F103" s="1299"/>
      <c r="G103" s="1418"/>
      <c r="H103" s="1419"/>
      <c r="J103" s="1009"/>
      <c r="K103" s="1009"/>
      <c r="L103" s="843"/>
      <c r="M103" s="1009"/>
      <c r="N103" s="1009"/>
      <c r="O103" s="833"/>
      <c r="P103" s="1009"/>
      <c r="Q103" s="1009"/>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5">
        <f>SUM(G100:H103)</f>
        <v>10000</v>
      </c>
      <c r="H104" s="1016"/>
      <c r="J104" s="1009"/>
      <c r="K104" s="1009"/>
      <c r="L104" s="843"/>
      <c r="M104" s="1009"/>
      <c r="N104" s="1009"/>
      <c r="O104" s="833"/>
      <c r="P104" s="1009"/>
      <c r="Q104" s="1009"/>
      <c r="S104" s="1015">
        <f>SUM(S100:T103)</f>
        <v>0</v>
      </c>
      <c r="T104" s="1016"/>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2732</v>
      </c>
      <c r="F106" s="624">
        <f>G106/$G$109</f>
        <v>0.21875</v>
      </c>
      <c r="G106" s="1418">
        <v>140000</v>
      </c>
      <c r="H106" s="1419"/>
      <c r="J106" s="1418">
        <v>140000</v>
      </c>
      <c r="K106" s="1419"/>
      <c r="L106" s="514"/>
      <c r="M106" s="1418"/>
      <c r="N106" s="1419"/>
      <c r="P106" s="1418"/>
      <c r="Q106" s="1419"/>
      <c r="S106" s="1418"/>
      <c r="T106" s="1419"/>
      <c r="V106" s="1460"/>
      <c r="W106" s="1461"/>
    </row>
    <row r="107" spans="1:23" s="449" customFormat="1" ht="12.6" customHeight="1">
      <c r="B107" s="449" t="s">
        <v>2733</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2725</v>
      </c>
      <c r="F108" s="624">
        <f>G108/$G$109</f>
        <v>0.78125</v>
      </c>
      <c r="G108" s="1418">
        <v>500000</v>
      </c>
      <c r="H108" s="1419"/>
      <c r="J108" s="1418">
        <v>500000</v>
      </c>
      <c r="K108" s="1419"/>
      <c r="L108" s="843"/>
      <c r="M108" s="1418"/>
      <c r="N108" s="1419"/>
      <c r="P108" s="1418"/>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5">
        <f>SUM(G106:H108)</f>
        <v>640000</v>
      </c>
      <c r="H109" s="1016"/>
      <c r="J109" s="1015">
        <f>SUM(J106:K108)</f>
        <v>640000</v>
      </c>
      <c r="K109" s="1016"/>
      <c r="L109" s="843"/>
      <c r="M109" s="1015">
        <f>SUM(M106:N108)</f>
        <v>0</v>
      </c>
      <c r="N109" s="1016"/>
      <c r="P109" s="1015">
        <f>SUM(P106:Q108)</f>
        <v>0</v>
      </c>
      <c r="Q109" s="1016"/>
      <c r="S109" s="1015">
        <f>SUM(S106:T108)</f>
        <v>0</v>
      </c>
      <c r="T109" s="1016"/>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8000</v>
      </c>
      <c r="H111" s="1419"/>
      <c r="J111" s="531"/>
      <c r="K111" s="531"/>
      <c r="L111" s="531"/>
      <c r="M111" s="531"/>
      <c r="N111" s="531"/>
      <c r="P111" s="531"/>
      <c r="Q111" s="531"/>
      <c r="S111" s="1418"/>
      <c r="T111" s="1419"/>
      <c r="V111" s="1460"/>
      <c r="W111" s="1461"/>
    </row>
    <row r="112" spans="1:23" s="449" customFormat="1" ht="12.6" customHeight="1">
      <c r="B112" s="449" t="s">
        <v>2137</v>
      </c>
      <c r="G112" s="1418">
        <v>28000</v>
      </c>
      <c r="H112" s="1419"/>
      <c r="J112" s="1009"/>
      <c r="K112" s="1009"/>
      <c r="L112" s="843"/>
      <c r="M112" s="1009"/>
      <c r="N112" s="1009"/>
      <c r="O112" s="833"/>
      <c r="P112" s="1009"/>
      <c r="Q112" s="1009"/>
      <c r="R112" s="833"/>
      <c r="S112" s="1418"/>
      <c r="T112" s="1419"/>
      <c r="V112" s="1462"/>
      <c r="W112" s="1463"/>
    </row>
    <row r="113" spans="1:23" s="449" customFormat="1" ht="12.6" customHeight="1">
      <c r="B113" s="449" t="s">
        <v>948</v>
      </c>
      <c r="F113" s="472"/>
      <c r="G113" s="1418">
        <v>55000</v>
      </c>
      <c r="H113" s="1419"/>
      <c r="J113" s="530"/>
      <c r="K113" s="530"/>
      <c r="L113" s="530"/>
      <c r="M113" s="530"/>
      <c r="N113" s="530"/>
      <c r="O113" s="833"/>
      <c r="P113" s="530"/>
      <c r="Q113" s="530"/>
      <c r="R113" s="833"/>
      <c r="S113" s="1418"/>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500</v>
      </c>
      <c r="G115" s="1418">
        <v>16500</v>
      </c>
      <c r="H115" s="1419"/>
      <c r="J115" s="1418">
        <v>16500</v>
      </c>
      <c r="K115" s="1419"/>
      <c r="L115" s="843"/>
      <c r="M115" s="1418"/>
      <c r="N115" s="1419"/>
      <c r="P115" s="1418"/>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3399</v>
      </c>
      <c r="D116" s="1298"/>
      <c r="E116" s="1298"/>
      <c r="F116" s="1299"/>
      <c r="G116" s="1418"/>
      <c r="H116" s="1419"/>
      <c r="J116" s="1418"/>
      <c r="K116" s="1419"/>
      <c r="L116" s="843"/>
      <c r="M116" s="1418"/>
      <c r="N116" s="1419"/>
      <c r="P116" s="1418"/>
      <c r="Q116" s="1419"/>
      <c r="S116" s="1418"/>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5">
        <f>SUM(G111:H116)</f>
        <v>107500</v>
      </c>
      <c r="H117" s="1016"/>
      <c r="J117" s="1015">
        <f>SUM(J115:K116)</f>
        <v>16500</v>
      </c>
      <c r="K117" s="1016"/>
      <c r="L117" s="843"/>
      <c r="M117" s="1015">
        <f>SUM(M115:N116)</f>
        <v>0</v>
      </c>
      <c r="N117" s="1016"/>
      <c r="P117" s="1015">
        <f>SUM(P115:Q116)</f>
        <v>0</v>
      </c>
      <c r="Q117" s="1016"/>
      <c r="S117" s="1015">
        <f>SUM(S111:T116)</f>
        <v>0</v>
      </c>
      <c r="T117" s="1016"/>
      <c r="V117" s="1465"/>
      <c r="W117" s="1466"/>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18"/>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3399</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462"/>
      <c r="W121" s="1463"/>
    </row>
    <row r="122" spans="1:23" s="449" customFormat="1" ht="3" customHeight="1" thickBot="1">
      <c r="C122" s="826"/>
      <c r="H122" s="528"/>
      <c r="I122" s="528"/>
      <c r="L122" s="833"/>
      <c r="V122" s="1462"/>
      <c r="W122" s="1463"/>
    </row>
    <row r="123" spans="1:23" s="449" customFormat="1" ht="13.9" customHeight="1" thickBot="1">
      <c r="B123" s="456" t="s">
        <v>348</v>
      </c>
      <c r="G123" s="1048">
        <f>G17+G23+G27+G32+G36+G42+G57+G69+G75+G84+G98+G104+G109+G117+G121</f>
        <v>5102075</v>
      </c>
      <c r="H123" s="1049"/>
      <c r="J123" s="1048">
        <f>J17+J23+J27+J32+J36+J42+J57+J69+J75+J84+J98+J104+J109+J117+J121</f>
        <v>4926855</v>
      </c>
      <c r="K123" s="1049"/>
      <c r="M123" s="1048">
        <f>M17+M23+M27+M32+M36+M42+M57+M69+M75+M84+M98+M104+M109+M117+M121</f>
        <v>0</v>
      </c>
      <c r="N123" s="1049"/>
      <c r="P123" s="1048">
        <f>P17+P23+P27+P32+P36+P42+P57+P69+P75+P84+P98+P104+P109+P117+P121</f>
        <v>0</v>
      </c>
      <c r="Q123" s="1049"/>
      <c r="S123" s="1048">
        <f>S17+S23+S27+S32+S36+S42+S57+S69+S75+S84+S98+S104+S109+S117+S121</f>
        <v>0</v>
      </c>
      <c r="T123" s="1049"/>
      <c r="V123" s="1465"/>
      <c r="W123" s="1466"/>
    </row>
    <row r="124" spans="1:23" s="449" customFormat="1" ht="3" customHeight="1" thickBot="1">
      <c r="C124" s="826"/>
      <c r="H124" s="528"/>
      <c r="I124" s="528"/>
      <c r="L124" s="833"/>
    </row>
    <row r="125" spans="1:23" s="449" customFormat="1" ht="13.9" customHeight="1" thickBot="1">
      <c r="B125" s="456" t="s">
        <v>3622</v>
      </c>
      <c r="D125" s="1074">
        <f>IF(AND($T$155 = "Yes", 'Part IX A-Scoring Criteria'!$O$246 &gt; 0),'DCA Underwriting Assumptions'!$R$13, IF(AND('Part IV-Uses of Funds'!$T$156="Yes", 'Part IX A-Scoring Criteria'!$O$67&gt;0),'DCA Underwriting Assumptions'!$R$12, 'DCA Underwriting Assumptions'!$R$11))</f>
        <v>5153579</v>
      </c>
      <c r="E125" s="1075"/>
      <c r="F125" s="452" t="s">
        <v>957</v>
      </c>
      <c r="G125" s="1053">
        <f>G123/'Part VI-Revenues &amp; Expenses'!$M$62</f>
        <v>154608.33333333334</v>
      </c>
      <c r="H125" s="1054"/>
      <c r="I125" s="533"/>
      <c r="J125" s="456" t="s">
        <v>958</v>
      </c>
      <c r="M125" s="1053">
        <f>G123/'Part VI-Revenues &amp; Expenses'!$M$100</f>
        <v>136.70422271046567</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2930</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67"/>
      <c r="K131" s="1468"/>
      <c r="P131" s="1467"/>
      <c r="Q131" s="1468"/>
      <c r="V131" s="1460"/>
      <c r="W131" s="1461"/>
    </row>
    <row r="132" spans="2:23" s="449" customFormat="1" ht="13.9" customHeight="1">
      <c r="B132" s="833" t="s">
        <v>3045</v>
      </c>
      <c r="D132" s="833"/>
      <c r="E132" s="833"/>
      <c r="F132" s="833"/>
      <c r="G132" s="833"/>
      <c r="H132" s="833"/>
      <c r="I132" s="535"/>
      <c r="J132" s="1467"/>
      <c r="K132" s="1468"/>
      <c r="P132" s="1467"/>
      <c r="Q132" s="1468"/>
      <c r="V132" s="1462"/>
      <c r="W132" s="1463"/>
    </row>
    <row r="133" spans="2:23" s="449" customFormat="1" ht="13.9" customHeight="1">
      <c r="B133" s="833" t="s">
        <v>2735</v>
      </c>
      <c r="D133" s="833"/>
      <c r="E133" s="833"/>
      <c r="I133" s="535"/>
      <c r="J133" s="1467"/>
      <c r="K133" s="1468"/>
      <c r="P133" s="1467"/>
      <c r="Q133" s="1468"/>
      <c r="V133" s="1462"/>
      <c r="W133" s="1463"/>
    </row>
    <row r="134" spans="2:23" s="449" customFormat="1" ht="13.9" customHeight="1">
      <c r="B134" s="833" t="s">
        <v>2736</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2210</v>
      </c>
      <c r="C136" s="1298" t="s">
        <v>3399</v>
      </c>
      <c r="D136" s="1298"/>
      <c r="E136" s="1298"/>
      <c r="F136" s="1298"/>
      <c r="G136" s="1298"/>
      <c r="H136" s="1298"/>
      <c r="I136" s="1299"/>
      <c r="J136" s="1467"/>
      <c r="K136" s="1468"/>
      <c r="P136" s="1467"/>
      <c r="Q136" s="1468"/>
      <c r="V136" s="1462"/>
      <c r="W136" s="1463"/>
    </row>
    <row r="137" spans="2:23" s="449" customFormat="1" ht="13.9" customHeight="1" thickBot="1">
      <c r="B137" s="461" t="s">
        <v>2737</v>
      </c>
      <c r="C137" s="464"/>
      <c r="J137" s="978">
        <f>SUM(J131:K136)</f>
        <v>0</v>
      </c>
      <c r="K137" s="979"/>
      <c r="P137" s="978">
        <f>SUM(P131:Q136)</f>
        <v>0</v>
      </c>
      <c r="Q137" s="979"/>
      <c r="V137" s="1465"/>
      <c r="W137" s="1466"/>
    </row>
    <row r="138" spans="2:23" s="449" customFormat="1" ht="3" customHeight="1"/>
    <row r="139" spans="2:23" s="449" customFormat="1" ht="15" customHeight="1" thickBot="1">
      <c r="B139" s="452" t="s">
        <v>3265</v>
      </c>
      <c r="V139" s="449" t="str">
        <f>B139</f>
        <v>Eligible Basis Calculation</v>
      </c>
    </row>
    <row r="140" spans="2:23" s="449" customFormat="1" ht="13.9" customHeight="1">
      <c r="B140" s="449" t="s">
        <v>2646</v>
      </c>
      <c r="J140" s="1034">
        <f>J123</f>
        <v>4926855</v>
      </c>
      <c r="K140" s="1035"/>
      <c r="M140" s="1050">
        <f>M123</f>
        <v>0</v>
      </c>
      <c r="N140" s="1051"/>
      <c r="P140" s="1034">
        <f>P123</f>
        <v>0</v>
      </c>
      <c r="Q140" s="1035"/>
      <c r="V140" s="1460"/>
      <c r="W140" s="1461"/>
    </row>
    <row r="141" spans="2:23" s="449" customFormat="1" ht="13.9" customHeight="1">
      <c r="B141" s="449" t="s">
        <v>3129</v>
      </c>
      <c r="J141" s="1036">
        <f>J137</f>
        <v>0</v>
      </c>
      <c r="K141" s="1037"/>
      <c r="M141" s="1040"/>
      <c r="N141" s="1040"/>
      <c r="P141" s="1036">
        <f>P137</f>
        <v>0</v>
      </c>
      <c r="Q141" s="1037"/>
      <c r="V141" s="1462"/>
      <c r="W141" s="1463"/>
    </row>
    <row r="142" spans="2:23" s="449" customFormat="1" ht="13.9" customHeight="1">
      <c r="B142" s="449" t="s">
        <v>3130</v>
      </c>
      <c r="J142" s="1036">
        <f>J140-J141</f>
        <v>4926855</v>
      </c>
      <c r="K142" s="1037"/>
      <c r="M142" s="1036">
        <f>M140</f>
        <v>0</v>
      </c>
      <c r="N142" s="1037"/>
      <c r="P142" s="1036">
        <f>P140-P141</f>
        <v>0</v>
      </c>
      <c r="Q142" s="1037"/>
      <c r="V142" s="1462"/>
      <c r="W142" s="1463"/>
    </row>
    <row r="143" spans="2:23" s="449" customFormat="1" ht="13.9" customHeight="1">
      <c r="B143" s="449" t="s">
        <v>2080</v>
      </c>
      <c r="G143" s="830" t="s">
        <v>2563</v>
      </c>
      <c r="H143" s="1286" t="s">
        <v>3991</v>
      </c>
      <c r="I143" s="1287"/>
      <c r="J143" s="1469">
        <v>1.3</v>
      </c>
      <c r="K143" s="1470"/>
      <c r="M143" s="1052"/>
      <c r="N143" s="1052"/>
      <c r="P143" s="1469"/>
      <c r="Q143" s="1470"/>
      <c r="V143" s="1462"/>
      <c r="W143" s="1463"/>
    </row>
    <row r="144" spans="2:23" s="449" customFormat="1" ht="13.9" customHeight="1">
      <c r="B144" s="449" t="s">
        <v>2943</v>
      </c>
      <c r="J144" s="1036">
        <f>J142*J143</f>
        <v>6404911.5</v>
      </c>
      <c r="K144" s="1037"/>
      <c r="M144" s="1036">
        <f>+M142</f>
        <v>0</v>
      </c>
      <c r="N144" s="1037"/>
      <c r="P144" s="1036">
        <f>P142*P143</f>
        <v>0</v>
      </c>
      <c r="Q144" s="1037"/>
      <c r="V144" s="1462"/>
      <c r="W144" s="1463"/>
    </row>
    <row r="145" spans="1:23" s="449" customFormat="1" ht="13.9" customHeight="1">
      <c r="B145" s="449" t="s">
        <v>3567</v>
      </c>
      <c r="J145" s="1038">
        <f>MIN('Part VI-Revenues &amp; Expenses'!$M$58/'Part VI-Revenues &amp; Expenses'!$M$60,'Part VI-Revenues &amp; Expenses'!$M$96/'Part VI-Revenues &amp; Expenses'!$M$98)</f>
        <v>1</v>
      </c>
      <c r="K145" s="1039"/>
      <c r="M145" s="1038">
        <f>MIN('Part VI-Revenues &amp; Expenses'!$M$58/'Part VI-Revenues &amp; Expenses'!$M$60,'Part VI-Revenues &amp; Expenses'!$M$96/'Part VI-Revenues &amp; Expenses'!$M$98)</f>
        <v>1</v>
      </c>
      <c r="N145" s="1039"/>
      <c r="P145" s="1038">
        <f>MIN('Part VI-Revenues &amp; Expenses'!$M$58/'Part VI-Revenues &amp; Expenses'!$M$60,'Part VI-Revenues &amp; Expenses'!$M$96/'Part VI-Revenues &amp; Expenses'!$M$98)</f>
        <v>1</v>
      </c>
      <c r="Q145" s="1039"/>
      <c r="V145" s="1462"/>
      <c r="W145" s="1463"/>
    </row>
    <row r="146" spans="1:23" s="449" customFormat="1" ht="13.9" customHeight="1">
      <c r="B146" s="449" t="s">
        <v>2931</v>
      </c>
      <c r="J146" s="1036">
        <f>J144*J145</f>
        <v>6404911.5</v>
      </c>
      <c r="K146" s="1037"/>
      <c r="M146" s="1036">
        <f>M144*M145</f>
        <v>0</v>
      </c>
      <c r="N146" s="1037"/>
      <c r="P146" s="1036">
        <f>P144*P145</f>
        <v>0</v>
      </c>
      <c r="Q146" s="1037"/>
      <c r="V146" s="1462"/>
      <c r="W146" s="1463"/>
    </row>
    <row r="147" spans="1:23" s="449" customFormat="1" ht="13.9" customHeight="1">
      <c r="B147" s="449" t="s">
        <v>2932</v>
      </c>
      <c r="J147" s="1469">
        <v>7.4800000000000005E-2</v>
      </c>
      <c r="K147" s="1470"/>
      <c r="M147" s="1469"/>
      <c r="N147" s="1470"/>
      <c r="P147" s="1469"/>
      <c r="Q147" s="1470"/>
      <c r="V147" s="1462"/>
      <c r="W147" s="1463"/>
    </row>
    <row r="148" spans="1:23" s="449" customFormat="1" ht="13.9" customHeight="1" thickBot="1">
      <c r="B148" s="449" t="s">
        <v>3568</v>
      </c>
      <c r="J148" s="1046">
        <f>J146*J147</f>
        <v>479087.38020000001</v>
      </c>
      <c r="K148" s="1047"/>
      <c r="M148" s="1046">
        <f>M146*M147</f>
        <v>0</v>
      </c>
      <c r="N148" s="1047"/>
      <c r="P148" s="1046">
        <f>P146*P147</f>
        <v>0</v>
      </c>
      <c r="Q148" s="1047"/>
      <c r="V148" s="1462"/>
      <c r="W148" s="1463"/>
    </row>
    <row r="149" spans="1:23" s="449" customFormat="1" ht="13.9" customHeight="1" thickBot="1">
      <c r="B149" s="452" t="s">
        <v>2004</v>
      </c>
      <c r="J149" s="978">
        <f>J148+M148+P148</f>
        <v>479087.38020000001</v>
      </c>
      <c r="K149" s="1045"/>
      <c r="L149" s="1045"/>
      <c r="M149" s="1045"/>
      <c r="N149" s="1045"/>
      <c r="O149" s="1045"/>
      <c r="P149" s="1045"/>
      <c r="Q149" s="979"/>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5102075</v>
      </c>
      <c r="K152" s="1062"/>
      <c r="L152" s="1062"/>
      <c r="M152" s="1067" t="s">
        <v>3958</v>
      </c>
      <c r="N152" s="1068"/>
      <c r="O152" s="1068"/>
      <c r="P152" s="1068"/>
      <c r="Q152" s="1068"/>
      <c r="R152" s="1069"/>
      <c r="S152" s="1057"/>
      <c r="T152" s="1058"/>
      <c r="V152" s="1460"/>
      <c r="W152" s="1461"/>
    </row>
    <row r="153" spans="1:23" s="449" customFormat="1" ht="13.9" customHeight="1">
      <c r="B153" s="449" t="s">
        <v>2491</v>
      </c>
      <c r="J153" s="1471">
        <v>5099624</v>
      </c>
      <c r="K153" s="1472"/>
      <c r="L153" s="1472"/>
      <c r="M153" s="1067"/>
      <c r="N153" s="1068"/>
      <c r="O153" s="1068"/>
      <c r="P153" s="1068"/>
      <c r="Q153" s="1068"/>
      <c r="R153" s="1069"/>
      <c r="S153" s="1057"/>
      <c r="T153" s="1058"/>
      <c r="V153" s="1462"/>
      <c r="W153" s="1463"/>
    </row>
    <row r="154" spans="1:23" s="449" customFormat="1" ht="13.9" customHeight="1">
      <c r="B154" s="449" t="s">
        <v>320</v>
      </c>
      <c r="J154" s="1036">
        <f ca="1">'Part III A-Sources of Funds'!$H$49-'Part III A-Sources of Funds'!$H$37-'Part III A-Sources of Funds'!$H$40-'Part III A-Sources of Funds'!$H$41</f>
        <v>0</v>
      </c>
      <c r="K154" s="1040"/>
      <c r="L154" s="1040"/>
      <c r="M154" s="1067"/>
      <c r="N154" s="1068"/>
      <c r="O154" s="1068"/>
      <c r="P154" s="1068"/>
      <c r="Q154" s="1068"/>
      <c r="R154" s="1069"/>
      <c r="S154" s="648"/>
      <c r="T154" s="651" t="s">
        <v>322</v>
      </c>
      <c r="V154" s="1462"/>
      <c r="W154" s="1463"/>
    </row>
    <row r="155" spans="1:23" s="449" customFormat="1" ht="13.9" customHeight="1">
      <c r="B155" s="449" t="s">
        <v>3142</v>
      </c>
      <c r="J155" s="1036">
        <f ca="1">+J153-J154</f>
        <v>5099624</v>
      </c>
      <c r="K155" s="1040"/>
      <c r="L155" s="1040"/>
      <c r="M155" s="1073" t="s">
        <v>3888</v>
      </c>
      <c r="N155" s="1473"/>
      <c r="O155" s="1473"/>
      <c r="P155" s="1473"/>
      <c r="Q155" s="1473"/>
      <c r="R155" s="1474"/>
      <c r="S155" s="649" t="s">
        <v>2493</v>
      </c>
      <c r="T155" s="1475" t="s">
        <v>3978</v>
      </c>
      <c r="V155" s="1462"/>
      <c r="W155" s="1463"/>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476" t="s">
        <v>3978</v>
      </c>
      <c r="V156" s="1462"/>
      <c r="W156" s="1463"/>
    </row>
    <row r="157" spans="1:23" s="449" customFormat="1" ht="13.9" customHeight="1">
      <c r="B157" s="449" t="s">
        <v>1854</v>
      </c>
      <c r="J157" s="1036">
        <f ca="1">J155/10</f>
        <v>509962.4</v>
      </c>
      <c r="K157" s="1040"/>
      <c r="L157" s="1037"/>
      <c r="M157" s="472"/>
      <c r="N157" s="888" t="s">
        <v>1855</v>
      </c>
      <c r="O157" s="888"/>
      <c r="Q157" s="888" t="s">
        <v>2655</v>
      </c>
      <c r="R157" s="888"/>
      <c r="V157" s="1462"/>
      <c r="W157" s="1463"/>
    </row>
    <row r="158" spans="1:23" s="449" customFormat="1" ht="13.9" customHeight="1" thickBot="1">
      <c r="B158" s="449" t="s">
        <v>2079</v>
      </c>
      <c r="J158" s="1059">
        <f>N158+Q158</f>
        <v>1.06</v>
      </c>
      <c r="K158" s="1060"/>
      <c r="L158" s="1061"/>
      <c r="M158" s="830" t="s">
        <v>1856</v>
      </c>
      <c r="N158" s="1477">
        <v>0.81</v>
      </c>
      <c r="O158" s="1478"/>
      <c r="P158" s="830" t="s">
        <v>868</v>
      </c>
      <c r="Q158" s="1477">
        <v>0.25</v>
      </c>
      <c r="R158" s="1478"/>
      <c r="V158" s="1462"/>
      <c r="W158" s="1463"/>
    </row>
    <row r="159" spans="1:23" s="449" customFormat="1" ht="13.9" customHeight="1" thickBot="1">
      <c r="B159" s="452" t="s">
        <v>2005</v>
      </c>
      <c r="J159" s="978">
        <f ca="1">IF(J158=0,"",J157/J158)</f>
        <v>481096.60377358488</v>
      </c>
      <c r="K159" s="1045"/>
      <c r="L159" s="979"/>
      <c r="M159" s="472"/>
      <c r="N159" s="833"/>
      <c r="O159" s="833"/>
      <c r="V159" s="1462"/>
      <c r="W159" s="1463"/>
    </row>
    <row r="160" spans="1:23" s="449" customFormat="1" ht="9" customHeight="1">
      <c r="J160" s="538"/>
      <c r="K160" s="538"/>
      <c r="L160" s="538"/>
      <c r="M160" s="472"/>
      <c r="N160" s="839"/>
      <c r="O160" s="839"/>
      <c r="V160" s="1462"/>
      <c r="W160" s="1463"/>
    </row>
    <row r="161" spans="1:23" s="449" customFormat="1" ht="16.149999999999999" customHeight="1">
      <c r="B161" s="452" t="s">
        <v>420</v>
      </c>
      <c r="J161" s="1042">
        <f ca="1">+MIN(J149,J159,'DCA Underwriting Assumptions'!$R$6)</f>
        <v>479087.38020000001</v>
      </c>
      <c r="K161" s="1043"/>
      <c r="L161" s="1044"/>
      <c r="M161" s="472"/>
      <c r="N161" s="839"/>
      <c r="O161" s="839"/>
      <c r="V161" s="1462"/>
      <c r="W161" s="1463"/>
    </row>
    <row r="162" spans="1:23" s="449" customFormat="1" ht="9.6" customHeight="1">
      <c r="J162" s="538"/>
      <c r="K162" s="538"/>
      <c r="L162" s="538"/>
      <c r="M162" s="472"/>
      <c r="N162" s="839"/>
      <c r="O162" s="839"/>
      <c r="V162" s="1462"/>
      <c r="W162" s="1463"/>
    </row>
    <row r="163" spans="1:23" s="449" customFormat="1" ht="16.149999999999999" customHeight="1">
      <c r="B163" s="452" t="s">
        <v>421</v>
      </c>
      <c r="J163" s="1479">
        <v>479000</v>
      </c>
      <c r="K163" s="1480"/>
      <c r="L163" s="1481"/>
      <c r="M163" s="539" t="str">
        <f ca="1">IF(J161=0,"",IF(J163&gt;J161,"ALLOCATION CANNOT EXCEED MAXIMUM - REVISE REQUEST!",""))</f>
        <v/>
      </c>
      <c r="N163" s="839"/>
      <c r="O163" s="839"/>
      <c r="V163" s="1462"/>
      <c r="W163" s="1463"/>
    </row>
    <row r="164" spans="1:23" s="449" customFormat="1" ht="9.6" customHeight="1">
      <c r="J164" s="538"/>
      <c r="K164" s="538"/>
      <c r="L164" s="538"/>
      <c r="M164" s="472"/>
      <c r="N164" s="839"/>
      <c r="O164" s="839"/>
      <c r="V164" s="1462"/>
      <c r="W164" s="1463"/>
    </row>
    <row r="165" spans="1:23" s="449" customFormat="1" ht="16.149999999999999" customHeight="1">
      <c r="A165" s="685" t="s">
        <v>2648</v>
      </c>
      <c r="B165" s="685" t="s">
        <v>3671</v>
      </c>
      <c r="D165" s="472"/>
      <c r="E165" s="472"/>
      <c r="F165" s="455"/>
      <c r="J165" s="1042">
        <f ca="1">IF(J163="",0,+MIN(J161,J163))</f>
        <v>479000</v>
      </c>
      <c r="K165" s="1043"/>
      <c r="L165" s="1044"/>
      <c r="N165" s="1482"/>
      <c r="O165" s="1482"/>
      <c r="P165" s="1482"/>
      <c r="Q165" s="1482"/>
      <c r="R165" s="1482"/>
      <c r="S165" s="1482"/>
      <c r="T165" s="1482"/>
      <c r="V165" s="1465"/>
      <c r="W165" s="1466"/>
    </row>
    <row r="166" spans="1:23" ht="3" customHeight="1"/>
    <row r="167" spans="1:23" ht="6" customHeight="1"/>
    <row r="168" spans="1:23" ht="12" customHeight="1">
      <c r="A168" s="452" t="s">
        <v>2650</v>
      </c>
      <c r="B168" s="481" t="s">
        <v>815</v>
      </c>
      <c r="K168" s="452" t="s">
        <v>765</v>
      </c>
      <c r="L168" s="452" t="s">
        <v>85</v>
      </c>
    </row>
    <row r="169" spans="1:23" ht="146.44999999999999" customHeight="1">
      <c r="A169" s="1483" t="s">
        <v>4085</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52" t="s">
        <v>3965</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2012-047 Magnolia Pointe Apartments, Montezuma, Macon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Middle</v>
      </c>
    </row>
    <row r="4" spans="1:20" s="9" customFormat="1"/>
    <row r="5" spans="1:20" s="9" customFormat="1">
      <c r="A5" s="16" t="s">
        <v>873</v>
      </c>
      <c r="B5" s="16" t="s">
        <v>3137</v>
      </c>
      <c r="F5" s="9" t="s">
        <v>3533</v>
      </c>
      <c r="I5" s="1487" t="s">
        <v>3986</v>
      </c>
      <c r="J5" s="1488"/>
      <c r="K5" s="1488"/>
      <c r="L5" s="1488"/>
      <c r="M5" s="1489"/>
    </row>
    <row r="6" spans="1:20" s="9" customFormat="1" ht="13.15" customHeight="1">
      <c r="A6" s="16"/>
      <c r="F6" s="9" t="s">
        <v>895</v>
      </c>
      <c r="H6" s="31"/>
      <c r="I6" s="1490">
        <v>40695</v>
      </c>
      <c r="J6" s="1491"/>
      <c r="K6" s="74" t="s">
        <v>776</v>
      </c>
      <c r="L6" s="1492" t="s">
        <v>47</v>
      </c>
      <c r="M6" s="1489"/>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2722</v>
      </c>
      <c r="I9" s="339">
        <v>0</v>
      </c>
      <c r="J9" s="340">
        <v>1</v>
      </c>
      <c r="K9" s="340">
        <v>2</v>
      </c>
      <c r="L9" s="340">
        <v>3</v>
      </c>
      <c r="M9" s="340">
        <v>4</v>
      </c>
    </row>
    <row r="10" spans="1:20" s="9" customFormat="1">
      <c r="B10" s="341" t="s">
        <v>2724</v>
      </c>
      <c r="C10" s="342"/>
      <c r="D10" s="1493" t="s">
        <v>3987</v>
      </c>
      <c r="E10" s="1494"/>
      <c r="F10" s="1495" t="s">
        <v>612</v>
      </c>
      <c r="G10" s="1495"/>
      <c r="H10" s="343"/>
      <c r="I10" s="1496"/>
      <c r="J10" s="1496">
        <v>7</v>
      </c>
      <c r="K10" s="1496">
        <v>9</v>
      </c>
      <c r="L10" s="1496">
        <v>13</v>
      </c>
      <c r="M10" s="1496"/>
    </row>
    <row r="11" spans="1:20" s="9" customFormat="1">
      <c r="B11" s="344" t="s">
        <v>644</v>
      </c>
      <c r="C11" s="345"/>
      <c r="D11" s="344" t="s">
        <v>2204</v>
      </c>
      <c r="E11" s="345"/>
      <c r="F11" s="1497" t="s">
        <v>612</v>
      </c>
      <c r="G11" s="1497"/>
      <c r="H11" s="346"/>
      <c r="I11" s="1498"/>
      <c r="J11" s="1498">
        <v>32</v>
      </c>
      <c r="K11" s="1498">
        <v>41</v>
      </c>
      <c r="L11" s="1499">
        <v>49</v>
      </c>
      <c r="M11" s="1499"/>
    </row>
    <row r="12" spans="1:20" s="9" customFormat="1">
      <c r="B12" s="344" t="s">
        <v>2205</v>
      </c>
      <c r="C12" s="345"/>
      <c r="D12" s="1500" t="s">
        <v>2204</v>
      </c>
      <c r="E12" s="1501"/>
      <c r="F12" s="1497" t="s">
        <v>612</v>
      </c>
      <c r="G12" s="1497"/>
      <c r="H12" s="346"/>
      <c r="I12" s="1498"/>
      <c r="J12" s="1498">
        <v>9</v>
      </c>
      <c r="K12" s="1498">
        <v>12</v>
      </c>
      <c r="L12" s="1499">
        <v>14</v>
      </c>
      <c r="M12" s="1499"/>
    </row>
    <row r="13" spans="1:20" s="9" customFormat="1">
      <c r="B13" s="344" t="s">
        <v>2206</v>
      </c>
      <c r="C13" s="345"/>
      <c r="D13" s="1500" t="s">
        <v>2204</v>
      </c>
      <c r="E13" s="1501"/>
      <c r="F13" s="1497" t="s">
        <v>612</v>
      </c>
      <c r="G13" s="1497"/>
      <c r="H13" s="346"/>
      <c r="I13" s="1498"/>
      <c r="J13" s="1498">
        <v>28</v>
      </c>
      <c r="K13" s="1498">
        <v>36</v>
      </c>
      <c r="L13" s="1499">
        <v>44</v>
      </c>
      <c r="M13" s="1499"/>
    </row>
    <row r="14" spans="1:20" s="9" customFormat="1">
      <c r="B14" s="344" t="s">
        <v>2207</v>
      </c>
      <c r="C14" s="345"/>
      <c r="D14" s="344" t="s">
        <v>2204</v>
      </c>
      <c r="E14" s="347"/>
      <c r="F14" s="1497" t="s">
        <v>612</v>
      </c>
      <c r="G14" s="1497"/>
      <c r="H14" s="346"/>
      <c r="I14" s="1498"/>
      <c r="J14" s="1498">
        <v>26</v>
      </c>
      <c r="K14" s="1498">
        <v>33</v>
      </c>
      <c r="L14" s="1499">
        <v>41</v>
      </c>
      <c r="M14" s="1499"/>
    </row>
    <row r="15" spans="1:20" s="9" customFormat="1">
      <c r="B15" s="344" t="s">
        <v>1938</v>
      </c>
      <c r="C15" s="345"/>
      <c r="D15" s="344" t="s">
        <v>3136</v>
      </c>
      <c r="E15" s="1502" t="s">
        <v>3976</v>
      </c>
      <c r="F15" s="1497" t="s">
        <v>612</v>
      </c>
      <c r="G15" s="1497"/>
      <c r="H15" s="346"/>
      <c r="I15" s="1498"/>
      <c r="J15" s="1498">
        <v>50</v>
      </c>
      <c r="K15" s="1498">
        <v>64</v>
      </c>
      <c r="L15" s="1499">
        <v>78</v>
      </c>
      <c r="M15" s="1499"/>
    </row>
    <row r="16" spans="1:20" s="9" customFormat="1">
      <c r="B16" s="348" t="s">
        <v>2723</v>
      </c>
      <c r="C16" s="349"/>
      <c r="D16" s="348"/>
      <c r="E16" s="315"/>
      <c r="F16" s="1503"/>
      <c r="G16" s="1503" t="s">
        <v>612</v>
      </c>
      <c r="H16" s="350"/>
      <c r="I16" s="1504"/>
      <c r="J16" s="1504"/>
      <c r="K16" s="1504"/>
      <c r="L16" s="1505"/>
      <c r="M16" s="1505"/>
    </row>
    <row r="17" spans="1:19" s="9" customFormat="1">
      <c r="B17" s="338" t="s">
        <v>1526</v>
      </c>
      <c r="D17" s="31"/>
      <c r="E17" s="31"/>
      <c r="F17" s="108"/>
      <c r="G17" s="108"/>
      <c r="I17" s="847">
        <f>SUM(I10:I16)</f>
        <v>0</v>
      </c>
      <c r="J17" s="847">
        <f>SUM(J10:J16)</f>
        <v>152</v>
      </c>
      <c r="K17" s="847">
        <f>SUM(K10:K16)</f>
        <v>195</v>
      </c>
      <c r="L17" s="847">
        <f>SUM(L10:L16)</f>
        <v>239</v>
      </c>
      <c r="M17" s="847">
        <f>SUM(M10:M16)</f>
        <v>0</v>
      </c>
    </row>
    <row r="18" spans="1:19" s="9" customFormat="1" ht="11.25" customHeight="1">
      <c r="M18" s="31"/>
      <c r="N18" s="31"/>
      <c r="O18" s="31"/>
      <c r="P18" s="31"/>
      <c r="Q18" s="31"/>
      <c r="R18" s="31"/>
      <c r="S18" s="31"/>
    </row>
    <row r="19" spans="1:19" s="9" customFormat="1">
      <c r="A19" s="16" t="s">
        <v>1136</v>
      </c>
      <c r="B19" s="16" t="s">
        <v>3138</v>
      </c>
      <c r="F19" s="9" t="s">
        <v>3533</v>
      </c>
      <c r="I19" s="1492"/>
      <c r="J19" s="1488"/>
      <c r="K19" s="1488"/>
      <c r="L19" s="1488"/>
      <c r="M19" s="1489"/>
    </row>
    <row r="20" spans="1:19" s="9" customFormat="1" ht="13.15" customHeight="1">
      <c r="A20" s="16"/>
      <c r="B20" s="16"/>
      <c r="F20" s="9" t="s">
        <v>895</v>
      </c>
      <c r="H20" s="31"/>
      <c r="I20" s="1490"/>
      <c r="J20" s="1491"/>
      <c r="K20" s="74" t="s">
        <v>776</v>
      </c>
      <c r="L20" s="1492"/>
      <c r="M20" s="1489"/>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2722</v>
      </c>
      <c r="I23" s="339">
        <v>0</v>
      </c>
      <c r="J23" s="340">
        <v>1</v>
      </c>
      <c r="K23" s="340">
        <v>2</v>
      </c>
      <c r="L23" s="340">
        <v>3</v>
      </c>
      <c r="M23" s="340">
        <v>4</v>
      </c>
    </row>
    <row r="24" spans="1:19" s="9" customFormat="1">
      <c r="B24" s="341" t="s">
        <v>2724</v>
      </c>
      <c r="C24" s="342"/>
      <c r="D24" s="1493" t="s">
        <v>2684</v>
      </c>
      <c r="E24" s="1494"/>
      <c r="F24" s="1495"/>
      <c r="G24" s="1495"/>
      <c r="H24" s="343"/>
      <c r="I24" s="1496"/>
      <c r="J24" s="1496"/>
      <c r="K24" s="1496"/>
      <c r="L24" s="1496"/>
      <c r="M24" s="1496"/>
    </row>
    <row r="25" spans="1:19" s="9" customFormat="1">
      <c r="B25" s="344" t="s">
        <v>644</v>
      </c>
      <c r="C25" s="345"/>
      <c r="D25" s="344" t="s">
        <v>2204</v>
      </c>
      <c r="E25" s="345"/>
      <c r="F25" s="1497"/>
      <c r="G25" s="1497"/>
      <c r="H25" s="346"/>
      <c r="I25" s="1498"/>
      <c r="J25" s="1498"/>
      <c r="K25" s="1498"/>
      <c r="L25" s="1499"/>
      <c r="M25" s="1499"/>
    </row>
    <row r="26" spans="1:19" s="9" customFormat="1">
      <c r="B26" s="344" t="s">
        <v>2205</v>
      </c>
      <c r="C26" s="345"/>
      <c r="D26" s="1500" t="s">
        <v>2684</v>
      </c>
      <c r="E26" s="1501"/>
      <c r="F26" s="1497"/>
      <c r="G26" s="1497"/>
      <c r="H26" s="346"/>
      <c r="I26" s="1498"/>
      <c r="J26" s="1498"/>
      <c r="K26" s="1498"/>
      <c r="L26" s="1499"/>
      <c r="M26" s="1499"/>
    </row>
    <row r="27" spans="1:19" s="9" customFormat="1">
      <c r="B27" s="344" t="s">
        <v>2206</v>
      </c>
      <c r="C27" s="345"/>
      <c r="D27" s="1500" t="s">
        <v>2684</v>
      </c>
      <c r="E27" s="1501"/>
      <c r="F27" s="1497"/>
      <c r="G27" s="1497"/>
      <c r="H27" s="346"/>
      <c r="I27" s="1498"/>
      <c r="J27" s="1498"/>
      <c r="K27" s="1498"/>
      <c r="L27" s="1499"/>
      <c r="M27" s="1499"/>
    </row>
    <row r="28" spans="1:19" s="9" customFormat="1">
      <c r="B28" s="344" t="s">
        <v>2207</v>
      </c>
      <c r="C28" s="345"/>
      <c r="D28" s="344" t="s">
        <v>2204</v>
      </c>
      <c r="E28" s="347"/>
      <c r="F28" s="1497"/>
      <c r="G28" s="1497"/>
      <c r="H28" s="346"/>
      <c r="I28" s="1498"/>
      <c r="J28" s="1498"/>
      <c r="K28" s="1498"/>
      <c r="L28" s="1499"/>
      <c r="M28" s="1499"/>
    </row>
    <row r="29" spans="1:19" s="9" customFormat="1">
      <c r="B29" s="344" t="s">
        <v>1938</v>
      </c>
      <c r="C29" s="345"/>
      <c r="D29" s="344" t="s">
        <v>3136</v>
      </c>
      <c r="E29" s="1502" t="s">
        <v>240</v>
      </c>
      <c r="F29" s="1497"/>
      <c r="G29" s="1497"/>
      <c r="H29" s="346"/>
      <c r="I29" s="1498"/>
      <c r="J29" s="1498"/>
      <c r="K29" s="1498"/>
      <c r="L29" s="1499"/>
      <c r="M29" s="1499"/>
    </row>
    <row r="30" spans="1:19" s="9" customFormat="1">
      <c r="B30" s="348" t="s">
        <v>2723</v>
      </c>
      <c r="C30" s="349"/>
      <c r="D30" s="348"/>
      <c r="E30" s="315"/>
      <c r="F30" s="1503"/>
      <c r="G30" s="1503"/>
      <c r="H30" s="350"/>
      <c r="I30" s="1504"/>
      <c r="J30" s="1504"/>
      <c r="K30" s="1504"/>
      <c r="L30" s="1505"/>
      <c r="M30" s="150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6" t="s">
        <v>4031</v>
      </c>
      <c r="C36" s="1507"/>
      <c r="D36" s="1507"/>
      <c r="E36" s="1507"/>
      <c r="F36" s="1507"/>
      <c r="G36" s="1507"/>
      <c r="H36" s="1507"/>
      <c r="I36" s="1507"/>
      <c r="J36" s="1507"/>
      <c r="K36" s="1507"/>
      <c r="L36" s="1507"/>
      <c r="M36" s="1508"/>
      <c r="N36" s="31"/>
      <c r="O36" s="886" t="s">
        <v>3965</v>
      </c>
      <c r="P36" s="886"/>
      <c r="Q36" s="886"/>
      <c r="R36" s="886"/>
      <c r="S36" s="886"/>
    </row>
    <row r="37" spans="1:19" s="9" customFormat="1" ht="3" customHeight="1">
      <c r="M37" s="31"/>
      <c r="N37" s="31"/>
      <c r="O37" s="886"/>
      <c r="P37" s="886"/>
      <c r="Q37" s="886"/>
      <c r="R37" s="886"/>
      <c r="S37" s="886"/>
    </row>
    <row r="38" spans="1:19" s="9" customFormat="1" ht="12" customHeight="1">
      <c r="A38" s="16"/>
      <c r="B38" s="16" t="s">
        <v>2717</v>
      </c>
      <c r="M38" s="31"/>
      <c r="N38" s="31"/>
      <c r="O38" s="886"/>
      <c r="P38" s="886"/>
      <c r="Q38" s="886"/>
      <c r="R38" s="886"/>
      <c r="S38" s="886"/>
    </row>
    <row r="39" spans="1:19" s="9" customFormat="1" ht="24.75" customHeight="1">
      <c r="B39" s="1509"/>
      <c r="C39" s="1510"/>
      <c r="D39" s="1510"/>
      <c r="E39" s="1510"/>
      <c r="F39" s="1510"/>
      <c r="G39" s="1510"/>
      <c r="H39" s="1510"/>
      <c r="I39" s="1510"/>
      <c r="J39" s="1510"/>
      <c r="K39" s="1510"/>
      <c r="L39" s="1510"/>
      <c r="M39" s="1511"/>
      <c r="N39" s="31"/>
      <c r="O39" s="886"/>
      <c r="P39" s="886"/>
      <c r="Q39" s="886"/>
      <c r="R39" s="886"/>
      <c r="S39" s="886"/>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2012-06-14T17:27:32Z</cp:lastPrinted>
  <dcterms:created xsi:type="dcterms:W3CDTF">2005-09-15T20:51:37Z</dcterms:created>
  <dcterms:modified xsi:type="dcterms:W3CDTF">2012-08-03T21:33:28Z</dcterms:modified>
</cp:coreProperties>
</file>